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75" windowHeight="1204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iterateDelta="1E-4"/>
</workbook>
</file>

<file path=xl/calcChain.xml><?xml version="1.0" encoding="utf-8"?>
<calcChain xmlns="http://schemas.openxmlformats.org/spreadsheetml/2006/main">
  <c r="D467" i="1" l="1"/>
  <c r="V459" i="1"/>
  <c r="V458" i="1"/>
  <c r="V460" i="1" s="1"/>
  <c r="V456" i="1"/>
  <c r="W455" i="1"/>
  <c r="V455" i="1"/>
  <c r="W454" i="1"/>
  <c r="N454" i="1"/>
  <c r="V451" i="1"/>
  <c r="V450" i="1"/>
  <c r="W449" i="1"/>
  <c r="X449" i="1" s="1"/>
  <c r="X448" i="1"/>
  <c r="X450" i="1" s="1"/>
  <c r="W448" i="1"/>
  <c r="V446" i="1"/>
  <c r="V445" i="1"/>
  <c r="W444" i="1"/>
  <c r="X444" i="1" s="1"/>
  <c r="W443" i="1"/>
  <c r="W441" i="1"/>
  <c r="V441" i="1"/>
  <c r="V440" i="1"/>
  <c r="X439" i="1"/>
  <c r="W439" i="1"/>
  <c r="W438" i="1"/>
  <c r="W436" i="1"/>
  <c r="V436" i="1"/>
  <c r="V435" i="1"/>
  <c r="W434" i="1"/>
  <c r="X434" i="1" s="1"/>
  <c r="W433" i="1"/>
  <c r="V429" i="1"/>
  <c r="W428" i="1"/>
  <c r="V428" i="1"/>
  <c r="W427" i="1"/>
  <c r="X427" i="1" s="1"/>
  <c r="N427" i="1"/>
  <c r="W426" i="1"/>
  <c r="W429" i="1" s="1"/>
  <c r="N426" i="1"/>
  <c r="V424" i="1"/>
  <c r="V423" i="1"/>
  <c r="W422" i="1"/>
  <c r="X422" i="1" s="1"/>
  <c r="X421" i="1"/>
  <c r="W421" i="1"/>
  <c r="W420" i="1"/>
  <c r="X420" i="1" s="1"/>
  <c r="W419" i="1"/>
  <c r="X419" i="1" s="1"/>
  <c r="N419" i="1"/>
  <c r="W418" i="1"/>
  <c r="X418" i="1" s="1"/>
  <c r="N418" i="1"/>
  <c r="W417" i="1"/>
  <c r="X417" i="1" s="1"/>
  <c r="N417" i="1"/>
  <c r="W415" i="1"/>
  <c r="V415" i="1"/>
  <c r="W414" i="1"/>
  <c r="V414" i="1"/>
  <c r="W413" i="1"/>
  <c r="X413" i="1" s="1"/>
  <c r="N413" i="1"/>
  <c r="X412" i="1"/>
  <c r="X414" i="1" s="1"/>
  <c r="W412" i="1"/>
  <c r="N412" i="1"/>
  <c r="V410" i="1"/>
  <c r="V409" i="1"/>
  <c r="X408" i="1"/>
  <c r="W408" i="1"/>
  <c r="N408" i="1"/>
  <c r="W407" i="1"/>
  <c r="X407" i="1" s="1"/>
  <c r="N407" i="1"/>
  <c r="W406" i="1"/>
  <c r="X406" i="1" s="1"/>
  <c r="N406" i="1"/>
  <c r="W405" i="1"/>
  <c r="X405" i="1" s="1"/>
  <c r="N405" i="1"/>
  <c r="X404" i="1"/>
  <c r="W404" i="1"/>
  <c r="N404" i="1"/>
  <c r="W403" i="1"/>
  <c r="X403" i="1" s="1"/>
  <c r="N403" i="1"/>
  <c r="W402" i="1"/>
  <c r="X402" i="1" s="1"/>
  <c r="N402" i="1"/>
  <c r="W401" i="1"/>
  <c r="X401" i="1" s="1"/>
  <c r="N401" i="1"/>
  <c r="X400" i="1"/>
  <c r="W400" i="1"/>
  <c r="N400" i="1"/>
  <c r="W396" i="1"/>
  <c r="V396" i="1"/>
  <c r="W395" i="1"/>
  <c r="V395" i="1"/>
  <c r="X394" i="1"/>
  <c r="X395" i="1" s="1"/>
  <c r="W394" i="1"/>
  <c r="N394" i="1"/>
  <c r="W392" i="1"/>
  <c r="V392" i="1"/>
  <c r="V391" i="1"/>
  <c r="X390" i="1"/>
  <c r="W390" i="1"/>
  <c r="N390" i="1"/>
  <c r="X389" i="1"/>
  <c r="W389" i="1"/>
  <c r="N389" i="1"/>
  <c r="W388" i="1"/>
  <c r="X388" i="1" s="1"/>
  <c r="N388" i="1"/>
  <c r="W387" i="1"/>
  <c r="X387" i="1" s="1"/>
  <c r="X386" i="1"/>
  <c r="W386" i="1"/>
  <c r="N386" i="1"/>
  <c r="W385" i="1"/>
  <c r="X385" i="1" s="1"/>
  <c r="N385" i="1"/>
  <c r="W384" i="1"/>
  <c r="X384" i="1" s="1"/>
  <c r="N384" i="1"/>
  <c r="W382" i="1"/>
  <c r="V382" i="1"/>
  <c r="W381" i="1"/>
  <c r="V381" i="1"/>
  <c r="W380" i="1"/>
  <c r="X380" i="1" s="1"/>
  <c r="N380" i="1"/>
  <c r="X379" i="1"/>
  <c r="X381" i="1" s="1"/>
  <c r="W379" i="1"/>
  <c r="N379" i="1"/>
  <c r="W376" i="1"/>
  <c r="V376" i="1"/>
  <c r="W375" i="1"/>
  <c r="V375" i="1"/>
  <c r="X374" i="1"/>
  <c r="X375" i="1" s="1"/>
  <c r="W374" i="1"/>
  <c r="V372" i="1"/>
  <c r="V371" i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X363" i="1"/>
  <c r="X367" i="1" s="1"/>
  <c r="W363" i="1"/>
  <c r="N363" i="1"/>
  <c r="V361" i="1"/>
  <c r="V360" i="1"/>
  <c r="X359" i="1"/>
  <c r="W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W349" i="1"/>
  <c r="X349" i="1" s="1"/>
  <c r="N349" i="1"/>
  <c r="X348" i="1"/>
  <c r="W348" i="1"/>
  <c r="N348" i="1"/>
  <c r="W347" i="1"/>
  <c r="N347" i="1"/>
  <c r="V345" i="1"/>
  <c r="V344" i="1"/>
  <c r="W343" i="1"/>
  <c r="X343" i="1" s="1"/>
  <c r="N343" i="1"/>
  <c r="W342" i="1"/>
  <c r="N342" i="1"/>
  <c r="V338" i="1"/>
  <c r="V337" i="1"/>
  <c r="W336" i="1"/>
  <c r="N336" i="1"/>
  <c r="V334" i="1"/>
  <c r="W333" i="1"/>
  <c r="V333" i="1"/>
  <c r="W332" i="1"/>
  <c r="X332" i="1" s="1"/>
  <c r="N332" i="1"/>
  <c r="W331" i="1"/>
  <c r="X331" i="1" s="1"/>
  <c r="N331" i="1"/>
  <c r="X330" i="1"/>
  <c r="W330" i="1"/>
  <c r="N330" i="1"/>
  <c r="W329" i="1"/>
  <c r="W334" i="1" s="1"/>
  <c r="N329" i="1"/>
  <c r="V327" i="1"/>
  <c r="V326" i="1"/>
  <c r="W325" i="1"/>
  <c r="X325" i="1" s="1"/>
  <c r="N325" i="1"/>
  <c r="W324" i="1"/>
  <c r="N324" i="1"/>
  <c r="V322" i="1"/>
  <c r="V321" i="1"/>
  <c r="W320" i="1"/>
  <c r="X320" i="1" s="1"/>
  <c r="N320" i="1"/>
  <c r="W319" i="1"/>
  <c r="X319" i="1" s="1"/>
  <c r="N319" i="1"/>
  <c r="X318" i="1"/>
  <c r="W318" i="1"/>
  <c r="N318" i="1"/>
  <c r="W317" i="1"/>
  <c r="N317" i="1"/>
  <c r="V314" i="1"/>
  <c r="V313" i="1"/>
  <c r="W312" i="1"/>
  <c r="N312" i="1"/>
  <c r="V310" i="1"/>
  <c r="V309" i="1"/>
  <c r="W308" i="1"/>
  <c r="N308" i="1"/>
  <c r="V306" i="1"/>
  <c r="V305" i="1"/>
  <c r="W304" i="1"/>
  <c r="X304" i="1" s="1"/>
  <c r="N304" i="1"/>
  <c r="W303" i="1"/>
  <c r="X303" i="1" s="1"/>
  <c r="N303" i="1"/>
  <c r="W302" i="1"/>
  <c r="V300" i="1"/>
  <c r="V299" i="1"/>
  <c r="X298" i="1"/>
  <c r="W298" i="1"/>
  <c r="N298" i="1"/>
  <c r="W297" i="1"/>
  <c r="X297" i="1" s="1"/>
  <c r="N297" i="1"/>
  <c r="W296" i="1"/>
  <c r="X296" i="1" s="1"/>
  <c r="X295" i="1"/>
  <c r="W295" i="1"/>
  <c r="N295" i="1"/>
  <c r="X294" i="1"/>
  <c r="W294" i="1"/>
  <c r="N294" i="1"/>
  <c r="W293" i="1"/>
  <c r="X293" i="1" s="1"/>
  <c r="N293" i="1"/>
  <c r="W292" i="1"/>
  <c r="X292" i="1" s="1"/>
  <c r="N292" i="1"/>
  <c r="X291" i="1"/>
  <c r="W291" i="1"/>
  <c r="N467" i="1" s="1"/>
  <c r="N291" i="1"/>
  <c r="W287" i="1"/>
  <c r="V287" i="1"/>
  <c r="W286" i="1"/>
  <c r="V286" i="1"/>
  <c r="X285" i="1"/>
  <c r="X286" i="1" s="1"/>
  <c r="W285" i="1"/>
  <c r="N285" i="1"/>
  <c r="W283" i="1"/>
  <c r="V283" i="1"/>
  <c r="W282" i="1"/>
  <c r="V282" i="1"/>
  <c r="X281" i="1"/>
  <c r="X282" i="1" s="1"/>
  <c r="W281" i="1"/>
  <c r="N281" i="1"/>
  <c r="W279" i="1"/>
  <c r="V279" i="1"/>
  <c r="V278" i="1"/>
  <c r="X277" i="1"/>
  <c r="W277" i="1"/>
  <c r="W276" i="1"/>
  <c r="X276" i="1" s="1"/>
  <c r="N276" i="1"/>
  <c r="W275" i="1"/>
  <c r="X275" i="1" s="1"/>
  <c r="N275" i="1"/>
  <c r="W273" i="1"/>
  <c r="V273" i="1"/>
  <c r="W272" i="1"/>
  <c r="V272" i="1"/>
  <c r="W271" i="1"/>
  <c r="X271" i="1" s="1"/>
  <c r="X272" i="1" s="1"/>
  <c r="N271" i="1"/>
  <c r="W268" i="1"/>
  <c r="V268" i="1"/>
  <c r="W267" i="1"/>
  <c r="V267" i="1"/>
  <c r="W266" i="1"/>
  <c r="X266" i="1" s="1"/>
  <c r="N266" i="1"/>
  <c r="X265" i="1"/>
  <c r="X267" i="1" s="1"/>
  <c r="W265" i="1"/>
  <c r="N265" i="1"/>
  <c r="W263" i="1"/>
  <c r="V263" i="1"/>
  <c r="V262" i="1"/>
  <c r="X261" i="1"/>
  <c r="W261" i="1"/>
  <c r="N261" i="1"/>
  <c r="X260" i="1"/>
  <c r="W260" i="1"/>
  <c r="N260" i="1"/>
  <c r="W259" i="1"/>
  <c r="X259" i="1" s="1"/>
  <c r="N259" i="1"/>
  <c r="W258" i="1"/>
  <c r="X258" i="1" s="1"/>
  <c r="N258" i="1"/>
  <c r="X257" i="1"/>
  <c r="W257" i="1"/>
  <c r="W256" i="1"/>
  <c r="X256" i="1" s="1"/>
  <c r="N256" i="1"/>
  <c r="W255" i="1"/>
  <c r="L467" i="1" s="1"/>
  <c r="N255" i="1"/>
  <c r="V252" i="1"/>
  <c r="V251" i="1"/>
  <c r="W250" i="1"/>
  <c r="X250" i="1" s="1"/>
  <c r="N250" i="1"/>
  <c r="X249" i="1"/>
  <c r="W249" i="1"/>
  <c r="N249" i="1"/>
  <c r="X248" i="1"/>
  <c r="X251" i="1" s="1"/>
  <c r="W248" i="1"/>
  <c r="W251" i="1" s="1"/>
  <c r="N248" i="1"/>
  <c r="V246" i="1"/>
  <c r="V245" i="1"/>
  <c r="X244" i="1"/>
  <c r="W244" i="1"/>
  <c r="N244" i="1"/>
  <c r="W243" i="1"/>
  <c r="X242" i="1"/>
  <c r="W242" i="1"/>
  <c r="V240" i="1"/>
  <c r="V239" i="1"/>
  <c r="W238" i="1"/>
  <c r="X238" i="1" s="1"/>
  <c r="N238" i="1"/>
  <c r="W237" i="1"/>
  <c r="X237" i="1" s="1"/>
  <c r="N237" i="1"/>
  <c r="W236" i="1"/>
  <c r="W239" i="1" s="1"/>
  <c r="N236" i="1"/>
  <c r="V234" i="1"/>
  <c r="V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W227" i="1"/>
  <c r="X227" i="1" s="1"/>
  <c r="N227" i="1"/>
  <c r="W226" i="1"/>
  <c r="X226" i="1" s="1"/>
  <c r="N226" i="1"/>
  <c r="W225" i="1"/>
  <c r="X225" i="1" s="1"/>
  <c r="N225" i="1"/>
  <c r="V223" i="1"/>
  <c r="V222" i="1"/>
  <c r="W221" i="1"/>
  <c r="X221" i="1" s="1"/>
  <c r="N221" i="1"/>
  <c r="X220" i="1"/>
  <c r="W220" i="1"/>
  <c r="N220" i="1"/>
  <c r="W219" i="1"/>
  <c r="X219" i="1" s="1"/>
  <c r="N219" i="1"/>
  <c r="W218" i="1"/>
  <c r="X218" i="1" s="1"/>
  <c r="N218" i="1"/>
  <c r="V216" i="1"/>
  <c r="W215" i="1"/>
  <c r="V215" i="1"/>
  <c r="W214" i="1"/>
  <c r="N214" i="1"/>
  <c r="V212" i="1"/>
  <c r="V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W198" i="1"/>
  <c r="X198" i="1" s="1"/>
  <c r="N198" i="1"/>
  <c r="W197" i="1"/>
  <c r="X197" i="1" s="1"/>
  <c r="N197" i="1"/>
  <c r="X196" i="1"/>
  <c r="W196" i="1"/>
  <c r="N196" i="1"/>
  <c r="V193" i="1"/>
  <c r="V192" i="1"/>
  <c r="X191" i="1"/>
  <c r="W191" i="1"/>
  <c r="N191" i="1"/>
  <c r="W190" i="1"/>
  <c r="W192" i="1" s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X176" i="1"/>
  <c r="W176" i="1"/>
  <c r="W175" i="1"/>
  <c r="X175" i="1" s="1"/>
  <c r="N175" i="1"/>
  <c r="W174" i="1"/>
  <c r="X174" i="1" s="1"/>
  <c r="N174" i="1"/>
  <c r="X173" i="1"/>
  <c r="W173" i="1"/>
  <c r="W172" i="1"/>
  <c r="X172" i="1" s="1"/>
  <c r="N172" i="1"/>
  <c r="W171" i="1"/>
  <c r="X171" i="1" s="1"/>
  <c r="X170" i="1"/>
  <c r="W170" i="1"/>
  <c r="N170" i="1"/>
  <c r="V168" i="1"/>
  <c r="X167" i="1"/>
  <c r="V167" i="1"/>
  <c r="X166" i="1"/>
  <c r="W166" i="1"/>
  <c r="N166" i="1"/>
  <c r="W165" i="1"/>
  <c r="X165" i="1" s="1"/>
  <c r="N165" i="1"/>
  <c r="W164" i="1"/>
  <c r="X164" i="1" s="1"/>
  <c r="N164" i="1"/>
  <c r="X163" i="1"/>
  <c r="W163" i="1"/>
  <c r="W167" i="1" s="1"/>
  <c r="N163" i="1"/>
  <c r="W161" i="1"/>
  <c r="V161" i="1"/>
  <c r="V160" i="1"/>
  <c r="X159" i="1"/>
  <c r="W159" i="1"/>
  <c r="N159" i="1"/>
  <c r="X158" i="1"/>
  <c r="X160" i="1" s="1"/>
  <c r="W158" i="1"/>
  <c r="W160" i="1" s="1"/>
  <c r="V156" i="1"/>
  <c r="V155" i="1"/>
  <c r="W154" i="1"/>
  <c r="X154" i="1" s="1"/>
  <c r="N154" i="1"/>
  <c r="W153" i="1"/>
  <c r="N153" i="1"/>
  <c r="V150" i="1"/>
  <c r="V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W144" i="1"/>
  <c r="X144" i="1" s="1"/>
  <c r="N144" i="1"/>
  <c r="X143" i="1"/>
  <c r="W143" i="1"/>
  <c r="N143" i="1"/>
  <c r="X142" i="1"/>
  <c r="W142" i="1"/>
  <c r="N142" i="1"/>
  <c r="W141" i="1"/>
  <c r="W150" i="1" s="1"/>
  <c r="N141" i="1"/>
  <c r="V138" i="1"/>
  <c r="W137" i="1"/>
  <c r="V137" i="1"/>
  <c r="X136" i="1"/>
  <c r="W136" i="1"/>
  <c r="N136" i="1"/>
  <c r="W135" i="1"/>
  <c r="X135" i="1" s="1"/>
  <c r="N135" i="1"/>
  <c r="X134" i="1"/>
  <c r="W134" i="1"/>
  <c r="N134" i="1"/>
  <c r="V130" i="1"/>
  <c r="V129" i="1"/>
  <c r="X128" i="1"/>
  <c r="W128" i="1"/>
  <c r="N128" i="1"/>
  <c r="W127" i="1"/>
  <c r="W129" i="1" s="1"/>
  <c r="N127" i="1"/>
  <c r="X126" i="1"/>
  <c r="W126" i="1"/>
  <c r="N126" i="1"/>
  <c r="V123" i="1"/>
  <c r="V122" i="1"/>
  <c r="X121" i="1"/>
  <c r="W121" i="1"/>
  <c r="X120" i="1"/>
  <c r="W120" i="1"/>
  <c r="N120" i="1"/>
  <c r="W119" i="1"/>
  <c r="W122" i="1" s="1"/>
  <c r="W118" i="1"/>
  <c r="X118" i="1" s="1"/>
  <c r="N118" i="1"/>
  <c r="X117" i="1"/>
  <c r="W117" i="1"/>
  <c r="W123" i="1" s="1"/>
  <c r="N117" i="1"/>
  <c r="V115" i="1"/>
  <c r="V114" i="1"/>
  <c r="X113" i="1"/>
  <c r="W113" i="1"/>
  <c r="X112" i="1"/>
  <c r="W112" i="1"/>
  <c r="N112" i="1"/>
  <c r="W111" i="1"/>
  <c r="X111" i="1" s="1"/>
  <c r="W110" i="1"/>
  <c r="X110" i="1" s="1"/>
  <c r="W109" i="1"/>
  <c r="X109" i="1" s="1"/>
  <c r="W108" i="1"/>
  <c r="X108" i="1" s="1"/>
  <c r="N108" i="1"/>
  <c r="X107" i="1"/>
  <c r="W107" i="1"/>
  <c r="N107" i="1"/>
  <c r="W106" i="1"/>
  <c r="X106" i="1" s="1"/>
  <c r="W105" i="1"/>
  <c r="W114" i="1" s="1"/>
  <c r="V103" i="1"/>
  <c r="V102" i="1"/>
  <c r="X101" i="1"/>
  <c r="W101" i="1"/>
  <c r="X100" i="1"/>
  <c r="W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W103" i="1" s="1"/>
  <c r="N92" i="1"/>
  <c r="V90" i="1"/>
  <c r="V89" i="1"/>
  <c r="W88" i="1"/>
  <c r="X88" i="1" s="1"/>
  <c r="N88" i="1"/>
  <c r="X87" i="1"/>
  <c r="W87" i="1"/>
  <c r="N87" i="1"/>
  <c r="W86" i="1"/>
  <c r="X86" i="1" s="1"/>
  <c r="W85" i="1"/>
  <c r="X85" i="1" s="1"/>
  <c r="W84" i="1"/>
  <c r="X84" i="1" s="1"/>
  <c r="W83" i="1"/>
  <c r="W89" i="1" s="1"/>
  <c r="N83" i="1"/>
  <c r="X82" i="1"/>
  <c r="W82" i="1"/>
  <c r="V80" i="1"/>
  <c r="V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W80" i="1" s="1"/>
  <c r="N65" i="1"/>
  <c r="X64" i="1"/>
  <c r="W64" i="1"/>
  <c r="N64" i="1"/>
  <c r="W63" i="1"/>
  <c r="W79" i="1" s="1"/>
  <c r="V60" i="1"/>
  <c r="V59" i="1"/>
  <c r="X58" i="1"/>
  <c r="W58" i="1"/>
  <c r="X57" i="1"/>
  <c r="W57" i="1"/>
  <c r="N57" i="1"/>
  <c r="W56" i="1"/>
  <c r="X56" i="1" s="1"/>
  <c r="N56" i="1"/>
  <c r="X55" i="1"/>
  <c r="W55" i="1"/>
  <c r="W60" i="1" s="1"/>
  <c r="V52" i="1"/>
  <c r="V51" i="1"/>
  <c r="W50" i="1"/>
  <c r="W51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3" i="1" s="1"/>
  <c r="N26" i="1"/>
  <c r="W24" i="1"/>
  <c r="V24" i="1"/>
  <c r="V457" i="1" s="1"/>
  <c r="V23" i="1"/>
  <c r="V461" i="1" s="1"/>
  <c r="W22" i="1"/>
  <c r="W23" i="1" s="1"/>
  <c r="N22" i="1"/>
  <c r="H10" i="1"/>
  <c r="H9" i="1"/>
  <c r="A9" i="1"/>
  <c r="F10" i="1" s="1"/>
  <c r="D7" i="1"/>
  <c r="O6" i="1"/>
  <c r="N2" i="1"/>
  <c r="X137" i="1" l="1"/>
  <c r="X187" i="1"/>
  <c r="X211" i="1"/>
  <c r="X59" i="1"/>
  <c r="O467" i="1"/>
  <c r="W322" i="1"/>
  <c r="W338" i="1"/>
  <c r="X336" i="1"/>
  <c r="X337" i="1" s="1"/>
  <c r="X423" i="1"/>
  <c r="W32" i="1"/>
  <c r="W461" i="1" s="1"/>
  <c r="W309" i="1"/>
  <c r="W310" i="1"/>
  <c r="J9" i="1"/>
  <c r="C467" i="1"/>
  <c r="X50" i="1"/>
  <c r="X51" i="1" s="1"/>
  <c r="X65" i="1"/>
  <c r="X83" i="1"/>
  <c r="X89" i="1" s="1"/>
  <c r="X92" i="1"/>
  <c r="X102" i="1" s="1"/>
  <c r="X105" i="1"/>
  <c r="X114" i="1" s="1"/>
  <c r="W115" i="1"/>
  <c r="X119" i="1"/>
  <c r="X122" i="1" s="1"/>
  <c r="F467" i="1"/>
  <c r="X127" i="1"/>
  <c r="X129" i="1" s="1"/>
  <c r="W130" i="1"/>
  <c r="X141" i="1"/>
  <c r="X149" i="1" s="1"/>
  <c r="X190" i="1"/>
  <c r="X192" i="1" s="1"/>
  <c r="J467" i="1"/>
  <c r="W245" i="1"/>
  <c r="W252" i="1"/>
  <c r="X278" i="1"/>
  <c r="X299" i="1"/>
  <c r="W300" i="1"/>
  <c r="X308" i="1"/>
  <c r="X309" i="1" s="1"/>
  <c r="X317" i="1"/>
  <c r="X321" i="1" s="1"/>
  <c r="W367" i="1"/>
  <c r="R467" i="1"/>
  <c r="W410" i="1"/>
  <c r="W424" i="1"/>
  <c r="W440" i="1"/>
  <c r="X438" i="1"/>
  <c r="X440" i="1" s="1"/>
  <c r="W451" i="1"/>
  <c r="W450" i="1"/>
  <c r="T467" i="1"/>
  <c r="W456" i="1"/>
  <c r="X454" i="1"/>
  <c r="X455" i="1" s="1"/>
  <c r="H467" i="1"/>
  <c r="W102" i="1"/>
  <c r="W233" i="1"/>
  <c r="A10" i="1"/>
  <c r="B467" i="1"/>
  <c r="W458" i="1"/>
  <c r="W52" i="1"/>
  <c r="W457" i="1" s="1"/>
  <c r="W59" i="1"/>
  <c r="E467" i="1"/>
  <c r="W90" i="1"/>
  <c r="W149" i="1"/>
  <c r="W156" i="1"/>
  <c r="W155" i="1"/>
  <c r="W211" i="1"/>
  <c r="W216" i="1"/>
  <c r="X214" i="1"/>
  <c r="X215" i="1" s="1"/>
  <c r="W222" i="1"/>
  <c r="X233" i="1"/>
  <c r="W234" i="1"/>
  <c r="W305" i="1"/>
  <c r="W313" i="1"/>
  <c r="W314" i="1"/>
  <c r="W321" i="1"/>
  <c r="W326" i="1"/>
  <c r="W327" i="1"/>
  <c r="X324" i="1"/>
  <c r="X326" i="1" s="1"/>
  <c r="W337" i="1"/>
  <c r="P467" i="1"/>
  <c r="W344" i="1"/>
  <c r="W345" i="1"/>
  <c r="X342" i="1"/>
  <c r="X344" i="1" s="1"/>
  <c r="W360" i="1"/>
  <c r="W371" i="1"/>
  <c r="W372" i="1"/>
  <c r="X409" i="1"/>
  <c r="S467" i="1"/>
  <c r="W435" i="1"/>
  <c r="W459" i="1"/>
  <c r="M467" i="1"/>
  <c r="X222" i="1"/>
  <c r="W223" i="1"/>
  <c r="F9" i="1"/>
  <c r="X22" i="1"/>
  <c r="X23" i="1" s="1"/>
  <c r="X26" i="1"/>
  <c r="X32" i="1" s="1"/>
  <c r="X63" i="1"/>
  <c r="X79" i="1" s="1"/>
  <c r="G467" i="1"/>
  <c r="W138" i="1"/>
  <c r="W187" i="1"/>
  <c r="W188" i="1"/>
  <c r="W193" i="1"/>
  <c r="W246" i="1"/>
  <c r="X243" i="1"/>
  <c r="X245" i="1" s="1"/>
  <c r="X312" i="1"/>
  <c r="X313" i="1" s="1"/>
  <c r="X329" i="1"/>
  <c r="X333" i="1" s="1"/>
  <c r="X347" i="1"/>
  <c r="X360" i="1" s="1"/>
  <c r="W361" i="1"/>
  <c r="X370" i="1"/>
  <c r="X371" i="1" s="1"/>
  <c r="X391" i="1"/>
  <c r="W423" i="1"/>
  <c r="X433" i="1"/>
  <c r="X435" i="1" s="1"/>
  <c r="W445" i="1"/>
  <c r="Q467" i="1"/>
  <c r="W168" i="1"/>
  <c r="W240" i="1"/>
  <c r="W262" i="1"/>
  <c r="W278" i="1"/>
  <c r="W299" i="1"/>
  <c r="W306" i="1"/>
  <c r="W368" i="1"/>
  <c r="W391" i="1"/>
  <c r="W409" i="1"/>
  <c r="W446" i="1"/>
  <c r="I467" i="1"/>
  <c r="X153" i="1"/>
  <c r="X155" i="1" s="1"/>
  <c r="W212" i="1"/>
  <c r="X236" i="1"/>
  <c r="X239" i="1" s="1"/>
  <c r="X255" i="1"/>
  <c r="X262" i="1" s="1"/>
  <c r="X302" i="1"/>
  <c r="X305" i="1" s="1"/>
  <c r="X426" i="1"/>
  <c r="X428" i="1" s="1"/>
  <c r="X443" i="1"/>
  <c r="X445" i="1" s="1"/>
  <c r="X462" i="1" l="1"/>
  <c r="W460" i="1"/>
</calcChain>
</file>

<file path=xl/sharedStrings.xml><?xml version="1.0" encoding="utf-8"?>
<sst xmlns="http://schemas.openxmlformats.org/spreadsheetml/2006/main" count="1919" uniqueCount="652">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</sst>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yy;@"/>
    <numFmt numFmtId="165" formatCode="[$-419]dd/mm/yyyy"/>
    <numFmt numFmtId="166" formatCode="#,##0_ ;[Red]\-#,##0\ "/>
    <numFmt numFmtId="167" formatCode="h:mm;@"/>
    <numFmt numFmtId="168" formatCode="0.000"/>
    <numFmt numFmtId="169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62">
    <xf numFmtId="0" fontId="0" fillId="0" borderId="0" xfId="0"/>
    <xf numFmtId="0" fontId="0" fillId="0" borderId="0" xfId="0" applyProtection="1"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65" fontId="20" fillId="24" borderId="0" xfId="39" applyNumberFormat="1" applyFont="1" applyFill="1" applyAlignment="1">
      <alignment vertical="center" wrapText="1"/>
    </xf>
    <xf numFmtId="165" fontId="20" fillId="24" borderId="0" xfId="39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0" fontId="33" fillId="0" borderId="0" xfId="0" applyFont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7" fontId="26" fillId="0" borderId="0" xfId="0" applyNumberFormat="1" applyFont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7" fontId="0" fillId="0" borderId="0" xfId="0" applyNumberFormat="1" applyAlignment="1">
      <alignment horizontal="center"/>
    </xf>
    <xf numFmtId="2" fontId="45" fillId="0" borderId="0" xfId="0" applyNumberFormat="1" applyFont="1" applyAlignment="1">
      <alignment horizontal="center" vertical="center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9" fontId="51" fillId="25" borderId="10" xfId="0" applyNumberFormat="1" applyFont="1" applyFill="1" applyBorder="1" applyAlignment="1" applyProtection="1">
      <alignment horizontal="right"/>
      <protection locked="0"/>
    </xf>
    <xf numFmtId="169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>
      <alignment horizontal="right"/>
    </xf>
    <xf numFmtId="169" fontId="33" fillId="24" borderId="0" xfId="0" applyNumberFormat="1" applyFont="1" applyFill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4" fontId="57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Border="1"/>
    <xf numFmtId="0" fontId="21" fillId="0" borderId="0" xfId="0" applyFont="1" applyProtection="1"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166" fontId="18" fillId="0" borderId="0" xfId="0" applyNumberFormat="1" applyFont="1" applyAlignment="1" applyProtection="1">
      <alignment horizontal="center"/>
      <protection hidden="1"/>
    </xf>
    <xf numFmtId="166" fontId="33" fillId="24" borderId="10" xfId="0" applyNumberFormat="1" applyFont="1" applyFill="1" applyBorder="1" applyAlignment="1">
      <alignment horizontal="right"/>
    </xf>
    <xf numFmtId="0" fontId="49" fillId="0" borderId="10" xfId="0" applyFont="1" applyBorder="1" applyAlignment="1">
      <alignment horizontal="left" vertical="center" wrapText="1"/>
    </xf>
    <xf numFmtId="0" fontId="0" fillId="0" borderId="30" xfId="0" applyBorder="1"/>
    <xf numFmtId="0" fontId="0" fillId="0" borderId="16" xfId="0" applyBorder="1"/>
    <xf numFmtId="0" fontId="54" fillId="0" borderId="10" xfId="0" applyFont="1" applyBorder="1" applyAlignment="1">
      <alignment horizontal="left" vertical="center" wrapText="1"/>
    </xf>
    <xf numFmtId="1" fontId="48" fillId="0" borderId="10" xfId="0" applyNumberFormat="1" applyFont="1" applyBorder="1" applyAlignment="1">
      <alignment horizontal="center" vertical="center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24" borderId="1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9" xfId="0" applyBorder="1" applyProtection="1"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0" xfId="0" applyBorder="1" applyProtection="1">
      <protection locked="0" hidden="1"/>
    </xf>
    <xf numFmtId="0" fontId="0" fillId="0" borderId="16" xfId="0" applyBorder="1" applyProtection="1">
      <protection locked="0"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0" fillId="0" borderId="35" xfId="0" applyBorder="1" applyProtection="1">
      <protection hidden="1"/>
    </xf>
    <xf numFmtId="49" fontId="26" fillId="0" borderId="13" xfId="0" applyNumberFormat="1" applyFont="1" applyBorder="1" applyAlignment="1">
      <alignment horizontal="center" vertical="center"/>
    </xf>
    <xf numFmtId="0" fontId="0" fillId="0" borderId="29" xfId="0" applyBorder="1"/>
    <xf numFmtId="0" fontId="0" fillId="0" borderId="26" xfId="0" applyBorder="1" applyProtection="1"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0" fillId="0" borderId="36" xfId="0" applyBorder="1" applyProtection="1">
      <protection locked="0"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0" fillId="0" borderId="30" xfId="0" applyBorder="1" applyProtection="1">
      <protection hidden="1"/>
    </xf>
    <xf numFmtId="0" fontId="0" fillId="0" borderId="16" xfId="0" applyBorder="1" applyProtection="1">
      <protection hidden="1"/>
    </xf>
    <xf numFmtId="2" fontId="45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33" fillId="0" borderId="12" xfId="0" applyFont="1" applyBorder="1" applyAlignment="1" applyProtection="1">
      <alignment horizontal="center" vertical="center"/>
      <protection hidden="1"/>
    </xf>
    <xf numFmtId="0" fontId="0" fillId="0" borderId="12" xfId="0" applyBorder="1" applyProtection="1"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44" fillId="0" borderId="0" xfId="0" applyFont="1" applyAlignment="1" applyProtection="1">
      <alignment horizontal="center" vertical="center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8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3" xfId="0" applyBorder="1" applyProtection="1">
      <protection locked="0" hidden="1"/>
    </xf>
    <xf numFmtId="0" fontId="0" fillId="0" borderId="34" xfId="0" applyBorder="1" applyProtection="1">
      <protection locked="0" hidden="1"/>
    </xf>
    <xf numFmtId="0" fontId="20" fillId="24" borderId="0" xfId="39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0" fillId="0" borderId="1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36" xfId="0" applyBorder="1" applyProtection="1">
      <protection hidden="1"/>
    </xf>
    <xf numFmtId="49" fontId="26" fillId="0" borderId="10" xfId="0" applyNumberFormat="1" applyFont="1" applyBorder="1" applyAlignment="1">
      <alignment horizontal="center" vertical="center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0" fillId="0" borderId="17" xfId="0" applyBorder="1" applyProtection="1"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Alignment="1" applyProtection="1">
      <alignment horizontal="center" vertical="center" wrapText="1"/>
      <protection locked="0" hidden="1"/>
    </xf>
    <xf numFmtId="0" fontId="32" fillId="26" borderId="0" xfId="0" applyFont="1" applyFill="1" applyAlignment="1" applyProtection="1">
      <alignment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0" fillId="0" borderId="15" xfId="0" applyBorder="1"/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4" fontId="35" fillId="0" borderId="10" xfId="0" applyNumberFormat="1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41" xfId="0" applyBorder="1"/>
    <xf numFmtId="0" fontId="0" fillId="0" borderId="36" xfId="0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0" fontId="0" fillId="0" borderId="18" xfId="0" applyBorder="1" applyProtection="1">
      <protection locked="0"/>
    </xf>
    <xf numFmtId="0" fontId="0" fillId="0" borderId="29" xfId="0" applyBorder="1" applyProtection="1">
      <protection locked="0"/>
    </xf>
    <xf numFmtId="0" fontId="0" fillId="24" borderId="12" xfId="0" applyFill="1" applyBorder="1" applyAlignment="1" applyProtection="1">
      <alignment horizontal="center"/>
      <protection hidden="1"/>
    </xf>
    <xf numFmtId="164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37" xfId="0" applyBorder="1" applyProtection="1">
      <protection hidden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0" fontId="0" fillId="0" borderId="30" xfId="0" applyBorder="1" applyProtection="1">
      <protection locked="0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0" fontId="0" fillId="0" borderId="34" xfId="0" applyBorder="1" applyProtection="1">
      <protection locked="0"/>
    </xf>
    <xf numFmtId="0" fontId="32" fillId="24" borderId="22" xfId="0" applyFont="1" applyFill="1" applyBorder="1" applyAlignment="1" applyProtection="1">
      <alignment horizontal="center" vertical="center" wrapText="1"/>
      <protection hidden="1"/>
    </xf>
    <xf numFmtId="0" fontId="0" fillId="0" borderId="27" xfId="0" applyBorder="1" applyProtection="1">
      <protection hidden="1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165" fontId="20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7"/>
  <sheetViews>
    <sheetView showGridLines="0" tabSelected="1" topLeftCell="F2" zoomScaleNormal="100" workbookViewId="0">
      <selection activeCell="V22" sqref="V22"/>
    </sheetView>
  </sheetViews>
  <sheetFormatPr defaultColWidth="9.140625" defaultRowHeight="12.75" x14ac:dyDescent="0.2"/>
  <cols>
    <col min="1" max="1" width="9.140625" style="1" customWidth="1"/>
    <col min="2" max="2" width="10.85546875" style="69" customWidth="1"/>
    <col min="3" max="3" width="12.5703125" style="69" customWidth="1"/>
    <col min="4" max="4" width="6.42578125" style="69" customWidth="1"/>
    <col min="5" max="5" width="6.85546875" style="69" customWidth="1"/>
    <col min="6" max="6" width="8.42578125" style="69" customWidth="1"/>
    <col min="7" max="7" width="9.42578125" style="69" customWidth="1"/>
    <col min="8" max="8" width="11.85546875" style="69" customWidth="1"/>
    <col min="9" max="9" width="9.42578125" style="69" customWidth="1"/>
    <col min="10" max="10" width="9.140625" style="2" customWidth="1"/>
    <col min="11" max="11" width="13.85546875" style="2" hidden="1" customWidth="1"/>
    <col min="12" max="12" width="9.42578125" style="2" customWidth="1"/>
    <col min="13" max="13" width="10.42578125" style="69" customWidth="1"/>
    <col min="14" max="14" width="7.42578125" style="3" customWidth="1"/>
    <col min="15" max="15" width="15.5703125" style="3" customWidth="1"/>
    <col min="16" max="16" width="8.140625" style="1" customWidth="1"/>
    <col min="17" max="17" width="6.140625" style="1" customWidth="1"/>
    <col min="18" max="18" width="10.85546875" style="4" customWidth="1"/>
    <col min="19" max="19" width="10.42578125" style="4" customWidth="1"/>
    <col min="20" max="20" width="9.42578125" style="4" customWidth="1"/>
    <col min="21" max="21" width="8.42578125" style="4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2" customWidth="1"/>
    <col min="28" max="28" width="9.140625" style="62" customWidth="1"/>
    <col min="29" max="29" width="8.85546875" style="62" customWidth="1"/>
    <col min="30" max="30" width="13.5703125" style="1" customWidth="1"/>
    <col min="31" max="1025" width="9.140625" style="1" customWidth="1"/>
  </cols>
  <sheetData>
    <row r="1" spans="1:29" s="64" customFormat="1" ht="45" customHeight="1" x14ac:dyDescent="0.2">
      <c r="A1" s="5"/>
      <c r="B1" s="5"/>
      <c r="C1" s="5"/>
      <c r="D1" s="118" t="s">
        <v>0</v>
      </c>
      <c r="E1" s="119"/>
      <c r="F1" s="119"/>
      <c r="G1" s="6" t="s">
        <v>1</v>
      </c>
      <c r="H1" s="118" t="s">
        <v>2</v>
      </c>
      <c r="I1" s="119"/>
      <c r="J1" s="119"/>
      <c r="K1" s="119"/>
      <c r="L1" s="119"/>
      <c r="M1" s="119"/>
      <c r="N1" s="119"/>
      <c r="O1" s="119"/>
      <c r="P1" s="161" t="s">
        <v>3</v>
      </c>
      <c r="Q1" s="119"/>
      <c r="R1" s="119"/>
      <c r="S1" s="7"/>
      <c r="T1" s="7"/>
      <c r="U1" s="7"/>
      <c r="V1" s="7"/>
      <c r="W1" s="7"/>
      <c r="X1" s="7"/>
      <c r="Y1" s="7"/>
      <c r="Z1" s="8"/>
      <c r="AA1" s="8"/>
      <c r="AB1" s="8"/>
      <c r="AC1" s="8"/>
    </row>
    <row r="2" spans="1:29" s="64" customFormat="1" ht="16.5" customHeight="1" x14ac:dyDescent="0.2">
      <c r="A2" s="9" t="s">
        <v>4</v>
      </c>
      <c r="B2" s="10" t="s">
        <v>5</v>
      </c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0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80"/>
      <c r="P2" s="80"/>
      <c r="Q2" s="80"/>
      <c r="R2" s="80"/>
      <c r="S2" s="80"/>
      <c r="T2" s="80"/>
      <c r="U2" s="80"/>
      <c r="V2" s="13"/>
      <c r="W2" s="13"/>
      <c r="X2" s="13"/>
      <c r="Y2" s="13"/>
      <c r="Z2" s="14"/>
      <c r="AA2" s="14"/>
      <c r="AB2" s="14"/>
    </row>
    <row r="3" spans="1:29" s="64" customFormat="1" ht="11.25" customHeight="1" x14ac:dyDescent="0.2">
      <c r="A3" s="15"/>
      <c r="B3" s="16" t="s">
        <v>6</v>
      </c>
      <c r="C3" s="17"/>
      <c r="D3" s="17"/>
      <c r="E3" s="18"/>
      <c r="F3" s="19" t="s">
        <v>7</v>
      </c>
      <c r="G3" s="12"/>
      <c r="H3" s="12"/>
      <c r="I3" s="12"/>
      <c r="J3" s="19"/>
      <c r="K3" s="19"/>
      <c r="L3" s="12"/>
      <c r="M3" s="12"/>
      <c r="N3" s="80"/>
      <c r="O3" s="80"/>
      <c r="P3" s="80"/>
      <c r="Q3" s="80"/>
      <c r="R3" s="80"/>
      <c r="S3" s="80"/>
      <c r="T3" s="80"/>
      <c r="U3" s="80"/>
      <c r="V3" s="13"/>
      <c r="W3" s="13"/>
      <c r="X3" s="13"/>
      <c r="Y3" s="13"/>
      <c r="Z3" s="14"/>
      <c r="AA3" s="14"/>
      <c r="AB3" s="14"/>
    </row>
    <row r="4" spans="1:29" s="6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14"/>
      <c r="AA4" s="14"/>
      <c r="AB4" s="14"/>
    </row>
    <row r="5" spans="1:29" s="64" customFormat="1" ht="23.45" customHeight="1" x14ac:dyDescent="0.2">
      <c r="A5" s="126" t="s">
        <v>8</v>
      </c>
      <c r="B5" s="99"/>
      <c r="C5" s="100"/>
      <c r="D5" s="88"/>
      <c r="E5" s="90"/>
      <c r="F5" s="155" t="s">
        <v>9</v>
      </c>
      <c r="G5" s="100"/>
      <c r="H5" s="88" t="s">
        <v>651</v>
      </c>
      <c r="I5" s="89"/>
      <c r="J5" s="89"/>
      <c r="K5" s="89"/>
      <c r="L5" s="90"/>
      <c r="N5" s="24" t="s">
        <v>10</v>
      </c>
      <c r="O5" s="144">
        <v>45253</v>
      </c>
      <c r="P5" s="114"/>
      <c r="R5" s="158" t="s">
        <v>11</v>
      </c>
      <c r="S5" s="104"/>
      <c r="T5" s="134" t="s">
        <v>12</v>
      </c>
      <c r="U5" s="114"/>
      <c r="Z5" s="14"/>
      <c r="AA5" s="14"/>
      <c r="AB5" s="14"/>
    </row>
    <row r="6" spans="1:29" s="64" customFormat="1" ht="24" customHeight="1" x14ac:dyDescent="0.2">
      <c r="A6" s="126" t="s">
        <v>13</v>
      </c>
      <c r="B6" s="99"/>
      <c r="C6" s="100"/>
      <c r="D6" s="148" t="s">
        <v>14</v>
      </c>
      <c r="E6" s="149"/>
      <c r="F6" s="149"/>
      <c r="G6" s="149"/>
      <c r="H6" s="149"/>
      <c r="I6" s="149"/>
      <c r="J6" s="149"/>
      <c r="K6" s="149"/>
      <c r="L6" s="114"/>
      <c r="N6" s="24" t="s">
        <v>15</v>
      </c>
      <c r="O6" s="125" t="str">
        <f>IF(O5=0," ",CHOOSE(WEEKDAY(O5,2),"Понедельник","Вторник","Среда","Четверг","Пятница","Суббота","Воскресенье"))</f>
        <v>Четверг</v>
      </c>
      <c r="P6" s="73"/>
      <c r="R6" s="103" t="s">
        <v>16</v>
      </c>
      <c r="S6" s="104"/>
      <c r="T6" s="135" t="s">
        <v>17</v>
      </c>
      <c r="U6" s="94"/>
      <c r="Z6" s="14"/>
      <c r="AA6" s="14"/>
      <c r="AB6" s="14"/>
    </row>
    <row r="7" spans="1:29" s="64" customFormat="1" ht="21.75" hidden="1" customHeight="1" x14ac:dyDescent="0.2">
      <c r="A7" s="25"/>
      <c r="B7" s="25"/>
      <c r="C7" s="25"/>
      <c r="D7" s="140" t="str">
        <f>IFERROR(VLOOKUP(DeliveryAddress,Table,3,0),1)</f>
        <v>1</v>
      </c>
      <c r="E7" s="141"/>
      <c r="F7" s="141"/>
      <c r="G7" s="141"/>
      <c r="H7" s="141"/>
      <c r="I7" s="141"/>
      <c r="J7" s="141"/>
      <c r="K7" s="141"/>
      <c r="L7" s="142"/>
      <c r="N7" s="24"/>
      <c r="O7" s="26"/>
      <c r="P7" s="26"/>
      <c r="R7" s="80"/>
      <c r="S7" s="104"/>
      <c r="T7" s="136"/>
      <c r="U7" s="137"/>
      <c r="Z7" s="14"/>
      <c r="AA7" s="14"/>
      <c r="AB7" s="14"/>
    </row>
    <row r="8" spans="1:29" s="64" customFormat="1" ht="25.5" customHeight="1" x14ac:dyDescent="0.2">
      <c r="A8" s="160" t="s">
        <v>18</v>
      </c>
      <c r="B8" s="77"/>
      <c r="C8" s="78"/>
      <c r="D8" s="115"/>
      <c r="E8" s="116"/>
      <c r="F8" s="116"/>
      <c r="G8" s="116"/>
      <c r="H8" s="116"/>
      <c r="I8" s="116"/>
      <c r="J8" s="116"/>
      <c r="K8" s="116"/>
      <c r="L8" s="117"/>
      <c r="N8" s="24" t="s">
        <v>19</v>
      </c>
      <c r="O8" s="113">
        <v>0.54166666666666663</v>
      </c>
      <c r="P8" s="114"/>
      <c r="R8" s="80"/>
      <c r="S8" s="104"/>
      <c r="T8" s="136"/>
      <c r="U8" s="137"/>
      <c r="Z8" s="14"/>
      <c r="AA8" s="14"/>
      <c r="AB8" s="14"/>
    </row>
    <row r="9" spans="1:29" s="64" customFormat="1" ht="39.950000000000003" customHeight="1" x14ac:dyDescent="0.2">
      <c r="A9" s="131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80"/>
      <c r="C9" s="80"/>
      <c r="D9" s="130"/>
      <c r="E9" s="84"/>
      <c r="F9" s="1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"/>
      <c r="H9" s="83" t="str">
        <f>IF(AND($A$9="Тип доверенности/получателя при получении в адресе перегруза:",$D$9="Разовая доверенность"),"Введите ФИО","")</f>
        <v/>
      </c>
      <c r="I9" s="84"/>
      <c r="J9" s="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4"/>
      <c r="L9" s="84"/>
      <c r="N9" s="27" t="s">
        <v>20</v>
      </c>
      <c r="O9" s="144"/>
      <c r="P9" s="114"/>
      <c r="R9" s="80"/>
      <c r="S9" s="104"/>
      <c r="T9" s="138"/>
      <c r="U9" s="139"/>
      <c r="V9" s="28"/>
      <c r="W9" s="28"/>
      <c r="X9" s="28"/>
      <c r="Y9" s="28"/>
      <c r="Z9" s="14"/>
      <c r="AA9" s="14"/>
      <c r="AB9" s="14"/>
    </row>
    <row r="10" spans="1:29" s="64" customFormat="1" ht="26.45" customHeight="1" x14ac:dyDescent="0.2">
      <c r="A10" s="1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"/>
      <c r="C10" s="80"/>
      <c r="D10" s="130"/>
      <c r="E10" s="84"/>
      <c r="F10" s="1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"/>
      <c r="H10" s="146" t="str">
        <f>IFERROR(VLOOKUP($D$10,Proxy,2,0),"")</f>
        <v/>
      </c>
      <c r="I10" s="80"/>
      <c r="J10" s="80"/>
      <c r="K10" s="80"/>
      <c r="L10" s="80"/>
      <c r="N10" s="27" t="s">
        <v>21</v>
      </c>
      <c r="O10" s="113"/>
      <c r="P10" s="114"/>
      <c r="S10" s="24" t="s">
        <v>22</v>
      </c>
      <c r="T10" s="93" t="s">
        <v>23</v>
      </c>
      <c r="U10" s="94"/>
      <c r="V10" s="29"/>
      <c r="W10" s="29"/>
      <c r="X10" s="29"/>
      <c r="Y10" s="29"/>
      <c r="Z10" s="14"/>
      <c r="AA10" s="14"/>
      <c r="AB10" s="14"/>
    </row>
    <row r="11" spans="1:29" s="64" customFormat="1" ht="15.95" customHeight="1" x14ac:dyDescent="0.2">
      <c r="A11" s="30" t="s">
        <v>24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N11" s="27" t="s">
        <v>25</v>
      </c>
      <c r="O11" s="113"/>
      <c r="P11" s="114"/>
      <c r="S11" s="24" t="s">
        <v>26</v>
      </c>
      <c r="T11" s="150" t="s">
        <v>27</v>
      </c>
      <c r="U11" s="151"/>
      <c r="V11" s="32"/>
      <c r="W11" s="32"/>
      <c r="X11" s="32"/>
      <c r="Y11" s="32"/>
      <c r="Z11" s="14"/>
      <c r="AA11" s="14"/>
      <c r="AB11" s="14"/>
    </row>
    <row r="12" spans="1:29" s="64" customFormat="1" ht="18.600000000000001" customHeight="1" x14ac:dyDescent="0.2">
      <c r="A12" s="154" t="s">
        <v>28</v>
      </c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100"/>
      <c r="N12" s="24" t="s">
        <v>29</v>
      </c>
      <c r="O12" s="147"/>
      <c r="P12" s="142"/>
      <c r="Q12" s="33"/>
      <c r="S12" s="24"/>
      <c r="T12" s="119"/>
      <c r="U12" s="80"/>
      <c r="Z12" s="14"/>
      <c r="AA12" s="14"/>
      <c r="AB12" s="14"/>
    </row>
    <row r="13" spans="1:29" s="64" customFormat="1" ht="23.25" customHeight="1" x14ac:dyDescent="0.2">
      <c r="A13" s="154" t="s">
        <v>30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100"/>
      <c r="M13" s="27"/>
      <c r="N13" s="27" t="s">
        <v>31</v>
      </c>
      <c r="O13" s="150"/>
      <c r="P13" s="151"/>
      <c r="Q13" s="33"/>
      <c r="V13" s="34"/>
      <c r="W13" s="34"/>
      <c r="X13" s="34"/>
      <c r="Y13" s="34"/>
      <c r="Z13" s="14"/>
      <c r="AA13" s="14"/>
      <c r="AB13" s="14"/>
    </row>
    <row r="14" spans="1:29" s="64" customFormat="1" ht="18.600000000000001" customHeight="1" x14ac:dyDescent="0.2">
      <c r="A14" s="154" t="s">
        <v>32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100"/>
      <c r="V14" s="35"/>
      <c r="W14" s="35"/>
      <c r="X14" s="35"/>
      <c r="Y14" s="35"/>
      <c r="Z14" s="14"/>
      <c r="AA14" s="14"/>
      <c r="AB14" s="14"/>
    </row>
    <row r="15" spans="1:29" s="64" customFormat="1" ht="22.5" customHeight="1" x14ac:dyDescent="0.2">
      <c r="A15" s="157" t="s">
        <v>33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100"/>
      <c r="N15" s="132" t="s">
        <v>34</v>
      </c>
      <c r="O15" s="119"/>
      <c r="P15" s="119"/>
      <c r="Q15" s="119"/>
      <c r="R15" s="119"/>
      <c r="Z15" s="14"/>
      <c r="AA15" s="14"/>
      <c r="AB15" s="14"/>
    </row>
    <row r="16" spans="1:29" ht="18.75" customHeight="1" x14ac:dyDescent="0.2">
      <c r="B16" s="36"/>
      <c r="C16" s="36"/>
      <c r="D16" s="37"/>
      <c r="E16" s="37"/>
      <c r="F16" s="37"/>
      <c r="G16" s="37"/>
      <c r="H16" s="38"/>
      <c r="I16" s="38"/>
      <c r="J16" s="38"/>
      <c r="K16" s="38"/>
      <c r="L16" s="38"/>
      <c r="M16" s="38"/>
      <c r="N16" s="133"/>
      <c r="O16" s="133"/>
      <c r="P16" s="133"/>
      <c r="Q16" s="133"/>
      <c r="R16" s="133"/>
      <c r="S16" s="38"/>
      <c r="T16" s="38"/>
      <c r="U16" s="39"/>
      <c r="V16" s="40"/>
      <c r="W16" s="40"/>
      <c r="X16" s="40"/>
      <c r="Y16" s="40"/>
      <c r="Z16" s="40"/>
    </row>
    <row r="17" spans="1:53" ht="27.75" customHeight="1" x14ac:dyDescent="0.2">
      <c r="A17" s="91" t="s">
        <v>35</v>
      </c>
      <c r="B17" s="91" t="s">
        <v>36</v>
      </c>
      <c r="C17" s="129" t="s">
        <v>37</v>
      </c>
      <c r="D17" s="91" t="s">
        <v>38</v>
      </c>
      <c r="E17" s="121"/>
      <c r="F17" s="91" t="s">
        <v>39</v>
      </c>
      <c r="G17" s="91" t="s">
        <v>40</v>
      </c>
      <c r="H17" s="91" t="s">
        <v>41</v>
      </c>
      <c r="I17" s="91" t="s">
        <v>42</v>
      </c>
      <c r="J17" s="91" t="s">
        <v>43</v>
      </c>
      <c r="K17" s="91" t="s">
        <v>44</v>
      </c>
      <c r="L17" s="91" t="s">
        <v>45</v>
      </c>
      <c r="M17" s="91" t="s">
        <v>46</v>
      </c>
      <c r="N17" s="91" t="s">
        <v>47</v>
      </c>
      <c r="O17" s="120"/>
      <c r="P17" s="120"/>
      <c r="Q17" s="120"/>
      <c r="R17" s="121"/>
      <c r="S17" s="159" t="s">
        <v>48</v>
      </c>
      <c r="T17" s="100"/>
      <c r="U17" s="91" t="s">
        <v>49</v>
      </c>
      <c r="V17" s="91" t="s">
        <v>50</v>
      </c>
      <c r="W17" s="96" t="s">
        <v>51</v>
      </c>
      <c r="X17" s="91" t="s">
        <v>52</v>
      </c>
      <c r="Y17" s="107" t="s">
        <v>53</v>
      </c>
      <c r="Z17" s="107" t="s">
        <v>54</v>
      </c>
      <c r="AA17" s="107" t="s">
        <v>55</v>
      </c>
      <c r="AB17" s="108"/>
      <c r="AC17" s="109"/>
      <c r="AD17" s="127"/>
      <c r="BA17" s="106" t="s">
        <v>56</v>
      </c>
    </row>
    <row r="18" spans="1:53" ht="14.25" customHeight="1" x14ac:dyDescent="0.2">
      <c r="A18" s="92"/>
      <c r="B18" s="92"/>
      <c r="C18" s="92"/>
      <c r="D18" s="122"/>
      <c r="E18" s="124"/>
      <c r="F18" s="92"/>
      <c r="G18" s="92"/>
      <c r="H18" s="92"/>
      <c r="I18" s="92"/>
      <c r="J18" s="92"/>
      <c r="K18" s="92"/>
      <c r="L18" s="92"/>
      <c r="M18" s="92"/>
      <c r="N18" s="122"/>
      <c r="O18" s="123"/>
      <c r="P18" s="123"/>
      <c r="Q18" s="123"/>
      <c r="R18" s="124"/>
      <c r="S18" s="65" t="s">
        <v>57</v>
      </c>
      <c r="T18" s="65" t="s">
        <v>58</v>
      </c>
      <c r="U18" s="92"/>
      <c r="V18" s="92"/>
      <c r="W18" s="97"/>
      <c r="X18" s="92"/>
      <c r="Y18" s="145"/>
      <c r="Z18" s="145"/>
      <c r="AA18" s="110"/>
      <c r="AB18" s="111"/>
      <c r="AC18" s="112"/>
      <c r="AD18" s="128"/>
      <c r="BA18" s="80"/>
    </row>
    <row r="19" spans="1:53" ht="27.75" customHeight="1" x14ac:dyDescent="0.2">
      <c r="A19" s="101" t="s">
        <v>59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41"/>
      <c r="Z19" s="41"/>
    </row>
    <row r="20" spans="1:53" ht="16.5" customHeight="1" x14ac:dyDescent="0.25">
      <c r="A20" s="87" t="s">
        <v>59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66"/>
      <c r="Z20" s="66"/>
    </row>
    <row r="21" spans="1:53" ht="14.25" customHeight="1" x14ac:dyDescent="0.25">
      <c r="A21" s="82" t="s">
        <v>60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67"/>
      <c r="Z21" s="67"/>
    </row>
    <row r="22" spans="1:53" ht="27" customHeight="1" x14ac:dyDescent="0.25">
      <c r="A22" s="42" t="s">
        <v>61</v>
      </c>
      <c r="B22" s="42" t="s">
        <v>62</v>
      </c>
      <c r="C22" s="43">
        <v>4301031106</v>
      </c>
      <c r="D22" s="75">
        <v>4607091389258</v>
      </c>
      <c r="E22" s="73"/>
      <c r="F22" s="44">
        <v>0.3</v>
      </c>
      <c r="G22" s="45">
        <v>6</v>
      </c>
      <c r="H22" s="44">
        <v>1.8</v>
      </c>
      <c r="I22" s="44">
        <v>2</v>
      </c>
      <c r="J22" s="45">
        <v>156</v>
      </c>
      <c r="K22" s="45" t="s">
        <v>63</v>
      </c>
      <c r="L22" s="46" t="s">
        <v>64</v>
      </c>
      <c r="M22" s="45">
        <v>35</v>
      </c>
      <c r="N22" s="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72"/>
      <c r="P22" s="72"/>
      <c r="Q22" s="72"/>
      <c r="R22" s="73"/>
      <c r="S22" s="47"/>
      <c r="T22" s="47"/>
      <c r="U22" s="48" t="s">
        <v>65</v>
      </c>
      <c r="V22" s="49">
        <v>0</v>
      </c>
      <c r="W22" s="50">
        <f>IFERROR(IF(V22="",0,CEILING((V22/$H22),1)*$H22),"")</f>
        <v>0</v>
      </c>
      <c r="X22" s="51" t="str">
        <f>IFERROR(IF(W22=0,"",ROUNDUP(W22/H22,0)*0.00753),"")</f>
        <v/>
      </c>
      <c r="Y22" s="52"/>
      <c r="Z22" s="53"/>
      <c r="AD22" s="54"/>
      <c r="BA22" s="55" t="s">
        <v>1</v>
      </c>
    </row>
    <row r="23" spans="1:53" x14ac:dyDescent="0.2">
      <c r="A23" s="79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1"/>
      <c r="N23" s="76" t="s">
        <v>66</v>
      </c>
      <c r="O23" s="77"/>
      <c r="P23" s="77"/>
      <c r="Q23" s="77"/>
      <c r="R23" s="77"/>
      <c r="S23" s="77"/>
      <c r="T23" s="78"/>
      <c r="U23" s="56" t="s">
        <v>67</v>
      </c>
      <c r="V23" s="57">
        <f>IFERROR(V22/H22,"0")</f>
        <v>0</v>
      </c>
      <c r="W23" s="57">
        <f>IFERROR(W22/H22,"0")</f>
        <v>0</v>
      </c>
      <c r="X23" s="57">
        <f>IFERROR(IF(X22="",0,X22),"0")</f>
        <v>0</v>
      </c>
      <c r="Y23" s="58"/>
      <c r="Z23" s="58"/>
    </row>
    <row r="24" spans="1:53" x14ac:dyDescent="0.2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1"/>
      <c r="N24" s="76" t="s">
        <v>66</v>
      </c>
      <c r="O24" s="77"/>
      <c r="P24" s="77"/>
      <c r="Q24" s="77"/>
      <c r="R24" s="77"/>
      <c r="S24" s="77"/>
      <c r="T24" s="78"/>
      <c r="U24" s="56" t="s">
        <v>65</v>
      </c>
      <c r="V24" s="57">
        <f>IFERROR(SUM(V22:V22),"0")</f>
        <v>0</v>
      </c>
      <c r="W24" s="57">
        <f>IFERROR(SUM(W22:W22),"0")</f>
        <v>0</v>
      </c>
      <c r="X24" s="56"/>
      <c r="Y24" s="58"/>
      <c r="Z24" s="58"/>
    </row>
    <row r="25" spans="1:53" ht="14.25" customHeight="1" x14ac:dyDescent="0.25">
      <c r="A25" s="82" t="s">
        <v>68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67"/>
      <c r="Z25" s="67"/>
    </row>
    <row r="26" spans="1:53" ht="27" customHeight="1" x14ac:dyDescent="0.25">
      <c r="A26" s="42" t="s">
        <v>69</v>
      </c>
      <c r="B26" s="42" t="s">
        <v>70</v>
      </c>
      <c r="C26" s="43">
        <v>4301051176</v>
      </c>
      <c r="D26" s="75">
        <v>4607091383881</v>
      </c>
      <c r="E26" s="73"/>
      <c r="F26" s="44">
        <v>0.33</v>
      </c>
      <c r="G26" s="45">
        <v>6</v>
      </c>
      <c r="H26" s="44">
        <v>1.98</v>
      </c>
      <c r="I26" s="44">
        <v>2.246</v>
      </c>
      <c r="J26" s="45">
        <v>156</v>
      </c>
      <c r="K26" s="45" t="s">
        <v>63</v>
      </c>
      <c r="L26" s="46" t="s">
        <v>64</v>
      </c>
      <c r="M26" s="45">
        <v>35</v>
      </c>
      <c r="N26" s="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72"/>
      <c r="P26" s="72"/>
      <c r="Q26" s="72"/>
      <c r="R26" s="73"/>
      <c r="S26" s="47"/>
      <c r="T26" s="47"/>
      <c r="U26" s="48" t="s">
        <v>65</v>
      </c>
      <c r="V26" s="49">
        <v>0</v>
      </c>
      <c r="W26" s="50">
        <f t="shared" ref="W26:W31" si="0">IFERROR(IF(V26="",0,CEILING((V26/$H26),1)*$H26),"")</f>
        <v>0</v>
      </c>
      <c r="X26" s="51" t="str">
        <f t="shared" ref="X26:X31" si="1">IFERROR(IF(W26=0,"",ROUNDUP(W26/H26,0)*0.00753),"")</f>
        <v/>
      </c>
      <c r="Y26" s="52"/>
      <c r="Z26" s="53"/>
      <c r="AD26" s="54"/>
      <c r="BA26" s="55" t="s">
        <v>1</v>
      </c>
    </row>
    <row r="27" spans="1:53" ht="27" customHeight="1" x14ac:dyDescent="0.25">
      <c r="A27" s="42" t="s">
        <v>71</v>
      </c>
      <c r="B27" s="42" t="s">
        <v>72</v>
      </c>
      <c r="C27" s="43">
        <v>4301051172</v>
      </c>
      <c r="D27" s="75">
        <v>4607091388237</v>
      </c>
      <c r="E27" s="73"/>
      <c r="F27" s="44">
        <v>0.42</v>
      </c>
      <c r="G27" s="45">
        <v>6</v>
      </c>
      <c r="H27" s="44">
        <v>2.52</v>
      </c>
      <c r="I27" s="44">
        <v>2.786</v>
      </c>
      <c r="J27" s="45">
        <v>156</v>
      </c>
      <c r="K27" s="45" t="s">
        <v>63</v>
      </c>
      <c r="L27" s="46" t="s">
        <v>64</v>
      </c>
      <c r="M27" s="45">
        <v>35</v>
      </c>
      <c r="N27" s="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72"/>
      <c r="P27" s="72"/>
      <c r="Q27" s="72"/>
      <c r="R27" s="73"/>
      <c r="S27" s="47"/>
      <c r="T27" s="47"/>
      <c r="U27" s="48" t="s">
        <v>65</v>
      </c>
      <c r="V27" s="49">
        <v>0</v>
      </c>
      <c r="W27" s="50">
        <f t="shared" si="0"/>
        <v>0</v>
      </c>
      <c r="X27" s="51" t="str">
        <f t="shared" si="1"/>
        <v/>
      </c>
      <c r="Y27" s="52"/>
      <c r="Z27" s="53"/>
      <c r="AD27" s="54"/>
      <c r="BA27" s="55" t="s">
        <v>1</v>
      </c>
    </row>
    <row r="28" spans="1:53" ht="27" customHeight="1" x14ac:dyDescent="0.25">
      <c r="A28" s="42" t="s">
        <v>73</v>
      </c>
      <c r="B28" s="42" t="s">
        <v>74</v>
      </c>
      <c r="C28" s="43">
        <v>4301051180</v>
      </c>
      <c r="D28" s="75">
        <v>4607091383935</v>
      </c>
      <c r="E28" s="73"/>
      <c r="F28" s="44">
        <v>0.33</v>
      </c>
      <c r="G28" s="45">
        <v>6</v>
      </c>
      <c r="H28" s="44">
        <v>1.98</v>
      </c>
      <c r="I28" s="44">
        <v>2.246</v>
      </c>
      <c r="J28" s="45">
        <v>156</v>
      </c>
      <c r="K28" s="45" t="s">
        <v>63</v>
      </c>
      <c r="L28" s="46" t="s">
        <v>64</v>
      </c>
      <c r="M28" s="45">
        <v>30</v>
      </c>
      <c r="N28" s="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72"/>
      <c r="P28" s="72"/>
      <c r="Q28" s="72"/>
      <c r="R28" s="73"/>
      <c r="S28" s="47"/>
      <c r="T28" s="47"/>
      <c r="U28" s="48" t="s">
        <v>65</v>
      </c>
      <c r="V28" s="49">
        <v>0</v>
      </c>
      <c r="W28" s="50">
        <f t="shared" si="0"/>
        <v>0</v>
      </c>
      <c r="X28" s="51" t="str">
        <f t="shared" si="1"/>
        <v/>
      </c>
      <c r="Y28" s="52"/>
      <c r="Z28" s="53"/>
      <c r="AD28" s="54"/>
      <c r="BA28" s="55" t="s">
        <v>1</v>
      </c>
    </row>
    <row r="29" spans="1:53" ht="27" customHeight="1" x14ac:dyDescent="0.25">
      <c r="A29" s="42" t="s">
        <v>75</v>
      </c>
      <c r="B29" s="42" t="s">
        <v>76</v>
      </c>
      <c r="C29" s="43">
        <v>4301051426</v>
      </c>
      <c r="D29" s="75">
        <v>4680115881853</v>
      </c>
      <c r="E29" s="73"/>
      <c r="F29" s="44">
        <v>0.33</v>
      </c>
      <c r="G29" s="45">
        <v>6</v>
      </c>
      <c r="H29" s="44">
        <v>1.98</v>
      </c>
      <c r="I29" s="44">
        <v>2.246</v>
      </c>
      <c r="J29" s="45">
        <v>156</v>
      </c>
      <c r="K29" s="45" t="s">
        <v>63</v>
      </c>
      <c r="L29" s="46" t="s">
        <v>64</v>
      </c>
      <c r="M29" s="45">
        <v>30</v>
      </c>
      <c r="N29" s="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72"/>
      <c r="P29" s="72"/>
      <c r="Q29" s="72"/>
      <c r="R29" s="73"/>
      <c r="S29" s="47"/>
      <c r="T29" s="47"/>
      <c r="U29" s="48" t="s">
        <v>65</v>
      </c>
      <c r="V29" s="49">
        <v>0</v>
      </c>
      <c r="W29" s="50">
        <f t="shared" si="0"/>
        <v>0</v>
      </c>
      <c r="X29" s="51" t="str">
        <f t="shared" si="1"/>
        <v/>
      </c>
      <c r="Y29" s="52"/>
      <c r="Z29" s="53"/>
      <c r="AD29" s="54"/>
      <c r="BA29" s="55" t="s">
        <v>1</v>
      </c>
    </row>
    <row r="30" spans="1:53" ht="27" customHeight="1" x14ac:dyDescent="0.25">
      <c r="A30" s="42" t="s">
        <v>77</v>
      </c>
      <c r="B30" s="42" t="s">
        <v>78</v>
      </c>
      <c r="C30" s="43">
        <v>4301051178</v>
      </c>
      <c r="D30" s="75">
        <v>4607091383911</v>
      </c>
      <c r="E30" s="73"/>
      <c r="F30" s="44">
        <v>0.33</v>
      </c>
      <c r="G30" s="45">
        <v>6</v>
      </c>
      <c r="H30" s="44">
        <v>1.98</v>
      </c>
      <c r="I30" s="44">
        <v>2.246</v>
      </c>
      <c r="J30" s="45">
        <v>156</v>
      </c>
      <c r="K30" s="45" t="s">
        <v>63</v>
      </c>
      <c r="L30" s="46" t="s">
        <v>64</v>
      </c>
      <c r="M30" s="45">
        <v>35</v>
      </c>
      <c r="N30" s="7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72"/>
      <c r="P30" s="72"/>
      <c r="Q30" s="72"/>
      <c r="R30" s="73"/>
      <c r="S30" s="47"/>
      <c r="T30" s="47"/>
      <c r="U30" s="48" t="s">
        <v>65</v>
      </c>
      <c r="V30" s="49">
        <v>0</v>
      </c>
      <c r="W30" s="50">
        <f t="shared" si="0"/>
        <v>0</v>
      </c>
      <c r="X30" s="51" t="str">
        <f t="shared" si="1"/>
        <v/>
      </c>
      <c r="Y30" s="52"/>
      <c r="Z30" s="53"/>
      <c r="AD30" s="54"/>
      <c r="BA30" s="55" t="s">
        <v>1</v>
      </c>
    </row>
    <row r="31" spans="1:53" ht="27" customHeight="1" x14ac:dyDescent="0.25">
      <c r="A31" s="42" t="s">
        <v>79</v>
      </c>
      <c r="B31" s="42" t="s">
        <v>80</v>
      </c>
      <c r="C31" s="43">
        <v>4301051174</v>
      </c>
      <c r="D31" s="75">
        <v>4607091388244</v>
      </c>
      <c r="E31" s="73"/>
      <c r="F31" s="44">
        <v>0.42</v>
      </c>
      <c r="G31" s="45">
        <v>6</v>
      </c>
      <c r="H31" s="44">
        <v>2.52</v>
      </c>
      <c r="I31" s="44">
        <v>2.786</v>
      </c>
      <c r="J31" s="45">
        <v>156</v>
      </c>
      <c r="K31" s="45" t="s">
        <v>63</v>
      </c>
      <c r="L31" s="46" t="s">
        <v>64</v>
      </c>
      <c r="M31" s="45">
        <v>35</v>
      </c>
      <c r="N31" s="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72"/>
      <c r="P31" s="72"/>
      <c r="Q31" s="72"/>
      <c r="R31" s="73"/>
      <c r="S31" s="47"/>
      <c r="T31" s="47"/>
      <c r="U31" s="48" t="s">
        <v>65</v>
      </c>
      <c r="V31" s="49">
        <v>0</v>
      </c>
      <c r="W31" s="50">
        <f t="shared" si="0"/>
        <v>0</v>
      </c>
      <c r="X31" s="51" t="str">
        <f t="shared" si="1"/>
        <v/>
      </c>
      <c r="Y31" s="52"/>
      <c r="Z31" s="53"/>
      <c r="AD31" s="54"/>
      <c r="BA31" s="55" t="s">
        <v>1</v>
      </c>
    </row>
    <row r="32" spans="1:53" x14ac:dyDescent="0.2">
      <c r="A32" s="79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1"/>
      <c r="N32" s="76" t="s">
        <v>66</v>
      </c>
      <c r="O32" s="77"/>
      <c r="P32" s="77"/>
      <c r="Q32" s="77"/>
      <c r="R32" s="77"/>
      <c r="S32" s="77"/>
      <c r="T32" s="78"/>
      <c r="U32" s="56" t="s">
        <v>67</v>
      </c>
      <c r="V32" s="57">
        <f>IFERROR(V26/H26,"0")+IFERROR(V27/H27,"0")+IFERROR(V28/H28,"0")+IFERROR(V29/H29,"0")+IFERROR(V30/H30,"0")+IFERROR(V31/H31,"0")</f>
        <v>0</v>
      </c>
      <c r="W32" s="57">
        <f>IFERROR(W26/H26,"0")+IFERROR(W27/H27,"0")+IFERROR(W28/H28,"0")+IFERROR(W29/H29,"0")+IFERROR(W30/H30,"0")+IFERROR(W31/H31,"0")</f>
        <v>0</v>
      </c>
      <c r="X32" s="57">
        <f>IFERROR(IF(X26="",0,X26),"0")+IFERROR(IF(X27="",0,X27),"0")+IFERROR(IF(X28="",0,X28),"0")+IFERROR(IF(X29="",0,X29),"0")+IFERROR(IF(X30="",0,X30),"0")+IFERROR(IF(X31="",0,X31),"0")</f>
        <v>0</v>
      </c>
      <c r="Y32" s="58"/>
      <c r="Z32" s="58"/>
    </row>
    <row r="33" spans="1:53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1"/>
      <c r="N33" s="76" t="s">
        <v>66</v>
      </c>
      <c r="O33" s="77"/>
      <c r="P33" s="77"/>
      <c r="Q33" s="77"/>
      <c r="R33" s="77"/>
      <c r="S33" s="77"/>
      <c r="T33" s="78"/>
      <c r="U33" s="56" t="s">
        <v>65</v>
      </c>
      <c r="V33" s="57">
        <f>IFERROR(SUM(V26:V31),"0")</f>
        <v>0</v>
      </c>
      <c r="W33" s="57">
        <f>IFERROR(SUM(W26:W31),"0")</f>
        <v>0</v>
      </c>
      <c r="X33" s="56"/>
      <c r="Y33" s="58"/>
      <c r="Z33" s="58"/>
    </row>
    <row r="34" spans="1:53" ht="14.25" customHeight="1" x14ac:dyDescent="0.25">
      <c r="A34" s="82" t="s">
        <v>81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67"/>
      <c r="Z34" s="67"/>
    </row>
    <row r="35" spans="1:53" ht="27" customHeight="1" x14ac:dyDescent="0.25">
      <c r="A35" s="42" t="s">
        <v>82</v>
      </c>
      <c r="B35" s="42" t="s">
        <v>83</v>
      </c>
      <c r="C35" s="43">
        <v>4301032013</v>
      </c>
      <c r="D35" s="75">
        <v>4607091388503</v>
      </c>
      <c r="E35" s="73"/>
      <c r="F35" s="44">
        <v>0.05</v>
      </c>
      <c r="G35" s="45">
        <v>12</v>
      </c>
      <c r="H35" s="44">
        <v>0.6</v>
      </c>
      <c r="I35" s="44">
        <v>0.84199999999999997</v>
      </c>
      <c r="J35" s="45">
        <v>156</v>
      </c>
      <c r="K35" s="45" t="s">
        <v>63</v>
      </c>
      <c r="L35" s="46" t="s">
        <v>84</v>
      </c>
      <c r="M35" s="45">
        <v>120</v>
      </c>
      <c r="N35" s="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72"/>
      <c r="P35" s="72"/>
      <c r="Q35" s="72"/>
      <c r="R35" s="73"/>
      <c r="S35" s="47"/>
      <c r="T35" s="47"/>
      <c r="U35" s="48" t="s">
        <v>65</v>
      </c>
      <c r="V35" s="49">
        <v>0</v>
      </c>
      <c r="W35" s="50">
        <f>IFERROR(IF(V35="",0,CEILING((V35/$H35),1)*$H35),"")</f>
        <v>0</v>
      </c>
      <c r="X35" s="51" t="str">
        <f>IFERROR(IF(W35=0,"",ROUNDUP(W35/H35,0)*0.00753),"")</f>
        <v/>
      </c>
      <c r="Y35" s="52"/>
      <c r="Z35" s="53"/>
      <c r="AD35" s="54"/>
      <c r="BA35" s="55" t="s">
        <v>85</v>
      </c>
    </row>
    <row r="36" spans="1:53" x14ac:dyDescent="0.2">
      <c r="A36" s="79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1"/>
      <c r="N36" s="76" t="s">
        <v>66</v>
      </c>
      <c r="O36" s="77"/>
      <c r="P36" s="77"/>
      <c r="Q36" s="77"/>
      <c r="R36" s="77"/>
      <c r="S36" s="77"/>
      <c r="T36" s="78"/>
      <c r="U36" s="56" t="s">
        <v>67</v>
      </c>
      <c r="V36" s="57">
        <f>IFERROR(V35/H35,"0")</f>
        <v>0</v>
      </c>
      <c r="W36" s="57">
        <f>IFERROR(W35/H35,"0")</f>
        <v>0</v>
      </c>
      <c r="X36" s="57">
        <f>IFERROR(IF(X35="",0,X35),"0")</f>
        <v>0</v>
      </c>
      <c r="Y36" s="58"/>
      <c r="Z36" s="58"/>
    </row>
    <row r="37" spans="1:53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1"/>
      <c r="N37" s="76" t="s">
        <v>66</v>
      </c>
      <c r="O37" s="77"/>
      <c r="P37" s="77"/>
      <c r="Q37" s="77"/>
      <c r="R37" s="77"/>
      <c r="S37" s="77"/>
      <c r="T37" s="78"/>
      <c r="U37" s="56" t="s">
        <v>65</v>
      </c>
      <c r="V37" s="57">
        <f>IFERROR(SUM(V35:V35),"0")</f>
        <v>0</v>
      </c>
      <c r="W37" s="57">
        <f>IFERROR(SUM(W35:W35),"0")</f>
        <v>0</v>
      </c>
      <c r="X37" s="56"/>
      <c r="Y37" s="58"/>
      <c r="Z37" s="58"/>
    </row>
    <row r="38" spans="1:53" ht="14.25" customHeight="1" x14ac:dyDescent="0.25">
      <c r="A38" s="82" t="s">
        <v>86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67"/>
      <c r="Z38" s="67"/>
    </row>
    <row r="39" spans="1:53" ht="80.25" customHeight="1" x14ac:dyDescent="0.25">
      <c r="A39" s="42" t="s">
        <v>87</v>
      </c>
      <c r="B39" s="42" t="s">
        <v>88</v>
      </c>
      <c r="C39" s="43">
        <v>4301160001</v>
      </c>
      <c r="D39" s="75">
        <v>4607091388282</v>
      </c>
      <c r="E39" s="73"/>
      <c r="F39" s="44">
        <v>0.3</v>
      </c>
      <c r="G39" s="45">
        <v>6</v>
      </c>
      <c r="H39" s="44">
        <v>1.8</v>
      </c>
      <c r="I39" s="44">
        <v>2.0840000000000001</v>
      </c>
      <c r="J39" s="45">
        <v>156</v>
      </c>
      <c r="K39" s="45" t="s">
        <v>63</v>
      </c>
      <c r="L39" s="46" t="s">
        <v>84</v>
      </c>
      <c r="M39" s="45">
        <v>30</v>
      </c>
      <c r="N39" s="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72"/>
      <c r="P39" s="72"/>
      <c r="Q39" s="72"/>
      <c r="R39" s="73"/>
      <c r="S39" s="47"/>
      <c r="T39" s="47"/>
      <c r="U39" s="48" t="s">
        <v>65</v>
      </c>
      <c r="V39" s="49">
        <v>0</v>
      </c>
      <c r="W39" s="50">
        <f>IFERROR(IF(V39="",0,CEILING((V39/$H39),1)*$H39),"")</f>
        <v>0</v>
      </c>
      <c r="X39" s="51" t="str">
        <f>IFERROR(IF(W39=0,"",ROUNDUP(W39/H39,0)*0.00753),"")</f>
        <v/>
      </c>
      <c r="Y39" s="52" t="s">
        <v>89</v>
      </c>
      <c r="Z39" s="53"/>
      <c r="AD39" s="54"/>
      <c r="BA39" s="55" t="s">
        <v>1</v>
      </c>
    </row>
    <row r="40" spans="1:53" x14ac:dyDescent="0.2">
      <c r="A40" s="79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1"/>
      <c r="N40" s="76" t="s">
        <v>66</v>
      </c>
      <c r="O40" s="77"/>
      <c r="P40" s="77"/>
      <c r="Q40" s="77"/>
      <c r="R40" s="77"/>
      <c r="S40" s="77"/>
      <c r="T40" s="78"/>
      <c r="U40" s="56" t="s">
        <v>67</v>
      </c>
      <c r="V40" s="57">
        <f>IFERROR(V39/H39,"0")</f>
        <v>0</v>
      </c>
      <c r="W40" s="57">
        <f>IFERROR(W39/H39,"0")</f>
        <v>0</v>
      </c>
      <c r="X40" s="57">
        <f>IFERROR(IF(X39="",0,X39),"0")</f>
        <v>0</v>
      </c>
      <c r="Y40" s="58"/>
      <c r="Z40" s="58"/>
    </row>
    <row r="41" spans="1:53" x14ac:dyDescent="0.2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1"/>
      <c r="N41" s="76" t="s">
        <v>66</v>
      </c>
      <c r="O41" s="77"/>
      <c r="P41" s="77"/>
      <c r="Q41" s="77"/>
      <c r="R41" s="77"/>
      <c r="S41" s="77"/>
      <c r="T41" s="78"/>
      <c r="U41" s="56" t="s">
        <v>65</v>
      </c>
      <c r="V41" s="57">
        <f>IFERROR(SUM(V39:V39),"0")</f>
        <v>0</v>
      </c>
      <c r="W41" s="57">
        <f>IFERROR(SUM(W39:W39),"0")</f>
        <v>0</v>
      </c>
      <c r="X41" s="56"/>
      <c r="Y41" s="58"/>
      <c r="Z41" s="58"/>
    </row>
    <row r="42" spans="1:53" ht="14.25" customHeight="1" x14ac:dyDescent="0.25">
      <c r="A42" s="82" t="s">
        <v>90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67"/>
      <c r="Z42" s="67"/>
    </row>
    <row r="43" spans="1:53" ht="27" customHeight="1" x14ac:dyDescent="0.25">
      <c r="A43" s="42" t="s">
        <v>91</v>
      </c>
      <c r="B43" s="42" t="s">
        <v>92</v>
      </c>
      <c r="C43" s="43">
        <v>4301170002</v>
      </c>
      <c r="D43" s="75">
        <v>4607091389111</v>
      </c>
      <c r="E43" s="73"/>
      <c r="F43" s="44">
        <v>2.5000000000000001E-2</v>
      </c>
      <c r="G43" s="45">
        <v>10</v>
      </c>
      <c r="H43" s="44">
        <v>0.25</v>
      </c>
      <c r="I43" s="44">
        <v>0.49199999999999999</v>
      </c>
      <c r="J43" s="45">
        <v>156</v>
      </c>
      <c r="K43" s="45" t="s">
        <v>63</v>
      </c>
      <c r="L43" s="46" t="s">
        <v>84</v>
      </c>
      <c r="M43" s="45">
        <v>120</v>
      </c>
      <c r="N43" s="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72"/>
      <c r="P43" s="72"/>
      <c r="Q43" s="72"/>
      <c r="R43" s="73"/>
      <c r="S43" s="47"/>
      <c r="T43" s="47"/>
      <c r="U43" s="48" t="s">
        <v>65</v>
      </c>
      <c r="V43" s="49">
        <v>0</v>
      </c>
      <c r="W43" s="50">
        <f>IFERROR(IF(V43="",0,CEILING((V43/$H43),1)*$H43),"")</f>
        <v>0</v>
      </c>
      <c r="X43" s="51" t="str">
        <f>IFERROR(IF(W43=0,"",ROUNDUP(W43/H43,0)*0.00753),"")</f>
        <v/>
      </c>
      <c r="Y43" s="52"/>
      <c r="Z43" s="53"/>
      <c r="AD43" s="54"/>
      <c r="BA43" s="55" t="s">
        <v>85</v>
      </c>
    </row>
    <row r="44" spans="1:53" x14ac:dyDescent="0.2">
      <c r="A44" s="79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1"/>
      <c r="N44" s="76" t="s">
        <v>66</v>
      </c>
      <c r="O44" s="77"/>
      <c r="P44" s="77"/>
      <c r="Q44" s="77"/>
      <c r="R44" s="77"/>
      <c r="S44" s="77"/>
      <c r="T44" s="78"/>
      <c r="U44" s="56" t="s">
        <v>67</v>
      </c>
      <c r="V44" s="57">
        <f>IFERROR(V43/H43,"0")</f>
        <v>0</v>
      </c>
      <c r="W44" s="57">
        <f>IFERROR(W43/H43,"0")</f>
        <v>0</v>
      </c>
      <c r="X44" s="57">
        <f>IFERROR(IF(X43="",0,X43),"0")</f>
        <v>0</v>
      </c>
      <c r="Y44" s="58"/>
      <c r="Z44" s="58"/>
    </row>
    <row r="45" spans="1:53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1"/>
      <c r="N45" s="76" t="s">
        <v>66</v>
      </c>
      <c r="O45" s="77"/>
      <c r="P45" s="77"/>
      <c r="Q45" s="77"/>
      <c r="R45" s="77"/>
      <c r="S45" s="77"/>
      <c r="T45" s="78"/>
      <c r="U45" s="56" t="s">
        <v>65</v>
      </c>
      <c r="V45" s="57">
        <f>IFERROR(SUM(V43:V43),"0")</f>
        <v>0</v>
      </c>
      <c r="W45" s="57">
        <f>IFERROR(SUM(W43:W43),"0")</f>
        <v>0</v>
      </c>
      <c r="X45" s="56"/>
      <c r="Y45" s="58"/>
      <c r="Z45" s="58"/>
    </row>
    <row r="46" spans="1:53" ht="27.75" customHeight="1" x14ac:dyDescent="0.2">
      <c r="A46" s="101" t="s">
        <v>93</v>
      </c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41"/>
      <c r="Z46" s="41"/>
    </row>
    <row r="47" spans="1:53" ht="16.5" customHeight="1" x14ac:dyDescent="0.25">
      <c r="A47" s="87" t="s">
        <v>94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66"/>
      <c r="Z47" s="66"/>
    </row>
    <row r="48" spans="1:53" ht="14.25" customHeight="1" x14ac:dyDescent="0.25">
      <c r="A48" s="82" t="s">
        <v>95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67"/>
      <c r="Z48" s="67"/>
    </row>
    <row r="49" spans="1:53" ht="27" customHeight="1" x14ac:dyDescent="0.25">
      <c r="A49" s="42" t="s">
        <v>96</v>
      </c>
      <c r="B49" s="42" t="s">
        <v>97</v>
      </c>
      <c r="C49" s="43">
        <v>4301020234</v>
      </c>
      <c r="D49" s="75">
        <v>4680115881440</v>
      </c>
      <c r="E49" s="73"/>
      <c r="F49" s="44">
        <v>1.35</v>
      </c>
      <c r="G49" s="45">
        <v>8</v>
      </c>
      <c r="H49" s="44">
        <v>10.8</v>
      </c>
      <c r="I49" s="44">
        <v>11.28</v>
      </c>
      <c r="J49" s="45">
        <v>56</v>
      </c>
      <c r="K49" s="45" t="s">
        <v>98</v>
      </c>
      <c r="L49" s="46" t="s">
        <v>99</v>
      </c>
      <c r="M49" s="45">
        <v>50</v>
      </c>
      <c r="N49" s="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72"/>
      <c r="P49" s="72"/>
      <c r="Q49" s="72"/>
      <c r="R49" s="73"/>
      <c r="S49" s="47"/>
      <c r="T49" s="47"/>
      <c r="U49" s="48" t="s">
        <v>65</v>
      </c>
      <c r="V49" s="49">
        <v>43.2</v>
      </c>
      <c r="W49" s="50">
        <f>IFERROR(IF(V49="",0,CEILING((V49/$H49),1)*$H49),"")</f>
        <v>43.2</v>
      </c>
      <c r="X49" s="51">
        <f>IFERROR(IF(W49=0,"",ROUNDUP(W49/H49,0)*0.02175),"")</f>
        <v>8.6999999999999994E-2</v>
      </c>
      <c r="Y49" s="52"/>
      <c r="Z49" s="53"/>
      <c r="AD49" s="54"/>
      <c r="BA49" s="55" t="s">
        <v>1</v>
      </c>
    </row>
    <row r="50" spans="1:53" ht="27" customHeight="1" x14ac:dyDescent="0.25">
      <c r="A50" s="42" t="s">
        <v>100</v>
      </c>
      <c r="B50" s="42" t="s">
        <v>101</v>
      </c>
      <c r="C50" s="43">
        <v>4301020232</v>
      </c>
      <c r="D50" s="75">
        <v>4680115881433</v>
      </c>
      <c r="E50" s="73"/>
      <c r="F50" s="44">
        <v>0.45</v>
      </c>
      <c r="G50" s="45">
        <v>6</v>
      </c>
      <c r="H50" s="44">
        <v>2.7</v>
      </c>
      <c r="I50" s="44">
        <v>2.9</v>
      </c>
      <c r="J50" s="45">
        <v>156</v>
      </c>
      <c r="K50" s="45" t="s">
        <v>63</v>
      </c>
      <c r="L50" s="46" t="s">
        <v>99</v>
      </c>
      <c r="M50" s="45">
        <v>50</v>
      </c>
      <c r="N50" s="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72"/>
      <c r="P50" s="72"/>
      <c r="Q50" s="72"/>
      <c r="R50" s="73"/>
      <c r="S50" s="47"/>
      <c r="T50" s="47"/>
      <c r="U50" s="48" t="s">
        <v>65</v>
      </c>
      <c r="V50" s="49">
        <v>18</v>
      </c>
      <c r="W50" s="50">
        <f>IFERROR(IF(V50="",0,CEILING((V50/$H50),1)*$H50),"")</f>
        <v>18.900000000000002</v>
      </c>
      <c r="X50" s="51">
        <f>IFERROR(IF(W50=0,"",ROUNDUP(W50/H50,0)*0.00753),"")</f>
        <v>5.271E-2</v>
      </c>
      <c r="Y50" s="52"/>
      <c r="Z50" s="53"/>
      <c r="AD50" s="54"/>
      <c r="BA50" s="55" t="s">
        <v>1</v>
      </c>
    </row>
    <row r="51" spans="1:53" x14ac:dyDescent="0.2">
      <c r="A51" s="79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1"/>
      <c r="N51" s="76" t="s">
        <v>66</v>
      </c>
      <c r="O51" s="77"/>
      <c r="P51" s="77"/>
      <c r="Q51" s="77"/>
      <c r="R51" s="77"/>
      <c r="S51" s="77"/>
      <c r="T51" s="78"/>
      <c r="U51" s="56" t="s">
        <v>67</v>
      </c>
      <c r="V51" s="57">
        <f>IFERROR(V49/H49,"0")+IFERROR(V50/H50,"0")</f>
        <v>10.666666666666666</v>
      </c>
      <c r="W51" s="57">
        <f>IFERROR(W49/H49,"0")+IFERROR(W50/H50,"0")</f>
        <v>11</v>
      </c>
      <c r="X51" s="57">
        <f>IFERROR(IF(X49="",0,X49),"0")+IFERROR(IF(X50="",0,X50),"0")</f>
        <v>0.13971</v>
      </c>
      <c r="Y51" s="58"/>
      <c r="Z51" s="58"/>
    </row>
    <row r="52" spans="1:53" x14ac:dyDescent="0.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1"/>
      <c r="N52" s="76" t="s">
        <v>66</v>
      </c>
      <c r="O52" s="77"/>
      <c r="P52" s="77"/>
      <c r="Q52" s="77"/>
      <c r="R52" s="77"/>
      <c r="S52" s="77"/>
      <c r="T52" s="78"/>
      <c r="U52" s="56" t="s">
        <v>65</v>
      </c>
      <c r="V52" s="57">
        <f>IFERROR(SUM(V49:V50),"0")</f>
        <v>61.2</v>
      </c>
      <c r="W52" s="57">
        <f>IFERROR(SUM(W49:W50),"0")</f>
        <v>62.100000000000009</v>
      </c>
      <c r="X52" s="56"/>
      <c r="Y52" s="58"/>
      <c r="Z52" s="58"/>
    </row>
    <row r="53" spans="1:53" ht="16.5" customHeight="1" x14ac:dyDescent="0.25">
      <c r="A53" s="87" t="s">
        <v>102</v>
      </c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66"/>
      <c r="Z53" s="66"/>
    </row>
    <row r="54" spans="1:53" ht="14.25" customHeight="1" x14ac:dyDescent="0.25">
      <c r="A54" s="82" t="s">
        <v>103</v>
      </c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67"/>
      <c r="Z54" s="67"/>
    </row>
    <row r="55" spans="1:53" ht="27" customHeight="1" x14ac:dyDescent="0.25">
      <c r="A55" s="42" t="s">
        <v>104</v>
      </c>
      <c r="B55" s="42" t="s">
        <v>105</v>
      </c>
      <c r="C55" s="43">
        <v>4301011481</v>
      </c>
      <c r="D55" s="75">
        <v>4680115881426</v>
      </c>
      <c r="E55" s="73"/>
      <c r="F55" s="44">
        <v>1.35</v>
      </c>
      <c r="G55" s="45">
        <v>8</v>
      </c>
      <c r="H55" s="44">
        <v>10.8</v>
      </c>
      <c r="I55" s="44">
        <v>11.28</v>
      </c>
      <c r="J55" s="45">
        <v>48</v>
      </c>
      <c r="K55" s="45" t="s">
        <v>98</v>
      </c>
      <c r="L55" s="46" t="s">
        <v>106</v>
      </c>
      <c r="M55" s="45">
        <v>55</v>
      </c>
      <c r="N55" s="74" t="s">
        <v>107</v>
      </c>
      <c r="O55" s="72"/>
      <c r="P55" s="72"/>
      <c r="Q55" s="72"/>
      <c r="R55" s="73"/>
      <c r="S55" s="47"/>
      <c r="T55" s="47"/>
      <c r="U55" s="48" t="s">
        <v>65</v>
      </c>
      <c r="V55" s="49">
        <v>0</v>
      </c>
      <c r="W55" s="50">
        <f>IFERROR(IF(V55="",0,CEILING((V55/$H55),1)*$H55),"")</f>
        <v>0</v>
      </c>
      <c r="X55" s="51" t="str">
        <f>IFERROR(IF(W55=0,"",ROUNDUP(W55/H55,0)*0.02039),"")</f>
        <v/>
      </c>
      <c r="Y55" s="52"/>
      <c r="Z55" s="53"/>
      <c r="AD55" s="54"/>
      <c r="BA55" s="55" t="s">
        <v>1</v>
      </c>
    </row>
    <row r="56" spans="1:53" ht="27" customHeight="1" x14ac:dyDescent="0.25">
      <c r="A56" s="42" t="s">
        <v>104</v>
      </c>
      <c r="B56" s="42" t="s">
        <v>108</v>
      </c>
      <c r="C56" s="43">
        <v>4301011452</v>
      </c>
      <c r="D56" s="75">
        <v>4680115881426</v>
      </c>
      <c r="E56" s="73"/>
      <c r="F56" s="44">
        <v>1.35</v>
      </c>
      <c r="G56" s="45">
        <v>8</v>
      </c>
      <c r="H56" s="44">
        <v>10.8</v>
      </c>
      <c r="I56" s="44">
        <v>11.28</v>
      </c>
      <c r="J56" s="45">
        <v>56</v>
      </c>
      <c r="K56" s="45" t="s">
        <v>98</v>
      </c>
      <c r="L56" s="46" t="s">
        <v>99</v>
      </c>
      <c r="M56" s="45">
        <v>50</v>
      </c>
      <c r="N56" s="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72"/>
      <c r="P56" s="72"/>
      <c r="Q56" s="72"/>
      <c r="R56" s="73"/>
      <c r="S56" s="47"/>
      <c r="T56" s="47"/>
      <c r="U56" s="48" t="s">
        <v>65</v>
      </c>
      <c r="V56" s="49">
        <v>75.599999999999994</v>
      </c>
      <c r="W56" s="50">
        <f>IFERROR(IF(V56="",0,CEILING((V56/$H56),1)*$H56),"")</f>
        <v>75.600000000000009</v>
      </c>
      <c r="X56" s="51">
        <f>IFERROR(IF(W56=0,"",ROUNDUP(W56/H56,0)*0.02175),"")</f>
        <v>0.15225</v>
      </c>
      <c r="Y56" s="52"/>
      <c r="Z56" s="53"/>
      <c r="AD56" s="54"/>
      <c r="BA56" s="55" t="s">
        <v>1</v>
      </c>
    </row>
    <row r="57" spans="1:53" ht="27" customHeight="1" x14ac:dyDescent="0.25">
      <c r="A57" s="42" t="s">
        <v>109</v>
      </c>
      <c r="B57" s="42" t="s">
        <v>110</v>
      </c>
      <c r="C57" s="43">
        <v>4301011437</v>
      </c>
      <c r="D57" s="75">
        <v>4680115881419</v>
      </c>
      <c r="E57" s="73"/>
      <c r="F57" s="44">
        <v>0.45</v>
      </c>
      <c r="G57" s="45">
        <v>10</v>
      </c>
      <c r="H57" s="44">
        <v>4.5</v>
      </c>
      <c r="I57" s="44">
        <v>4.74</v>
      </c>
      <c r="J57" s="45">
        <v>120</v>
      </c>
      <c r="K57" s="45" t="s">
        <v>63</v>
      </c>
      <c r="L57" s="46" t="s">
        <v>99</v>
      </c>
      <c r="M57" s="45">
        <v>50</v>
      </c>
      <c r="N57" s="7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72"/>
      <c r="P57" s="72"/>
      <c r="Q57" s="72"/>
      <c r="R57" s="73"/>
      <c r="S57" s="47"/>
      <c r="T57" s="47"/>
      <c r="U57" s="48" t="s">
        <v>65</v>
      </c>
      <c r="V57" s="49">
        <v>45</v>
      </c>
      <c r="W57" s="50">
        <f>IFERROR(IF(V57="",0,CEILING((V57/$H57),1)*$H57),"")</f>
        <v>45</v>
      </c>
      <c r="X57" s="51">
        <f>IFERROR(IF(W57=0,"",ROUNDUP(W57/H57,0)*0.00937),"")</f>
        <v>9.3700000000000006E-2</v>
      </c>
      <c r="Y57" s="52"/>
      <c r="Z57" s="53"/>
      <c r="AD57" s="54"/>
      <c r="BA57" s="55" t="s">
        <v>1</v>
      </c>
    </row>
    <row r="58" spans="1:53" ht="27" customHeight="1" x14ac:dyDescent="0.25">
      <c r="A58" s="42" t="s">
        <v>111</v>
      </c>
      <c r="B58" s="42" t="s">
        <v>112</v>
      </c>
      <c r="C58" s="43">
        <v>4301011458</v>
      </c>
      <c r="D58" s="75">
        <v>4680115881525</v>
      </c>
      <c r="E58" s="73"/>
      <c r="F58" s="44">
        <v>0.4</v>
      </c>
      <c r="G58" s="45">
        <v>10</v>
      </c>
      <c r="H58" s="44">
        <v>4</v>
      </c>
      <c r="I58" s="44">
        <v>4.24</v>
      </c>
      <c r="J58" s="45">
        <v>120</v>
      </c>
      <c r="K58" s="45" t="s">
        <v>63</v>
      </c>
      <c r="L58" s="46" t="s">
        <v>99</v>
      </c>
      <c r="M58" s="45">
        <v>50</v>
      </c>
      <c r="N58" s="74" t="s">
        <v>113</v>
      </c>
      <c r="O58" s="72"/>
      <c r="P58" s="72"/>
      <c r="Q58" s="72"/>
      <c r="R58" s="73"/>
      <c r="S58" s="47"/>
      <c r="T58" s="47"/>
      <c r="U58" s="48" t="s">
        <v>65</v>
      </c>
      <c r="V58" s="49">
        <v>0</v>
      </c>
      <c r="W58" s="50">
        <f>IFERROR(IF(V58="",0,CEILING((V58/$H58),1)*$H58),"")</f>
        <v>0</v>
      </c>
      <c r="X58" s="51" t="str">
        <f>IFERROR(IF(W58=0,"",ROUNDUP(W58/H58,0)*0.00937),"")</f>
        <v/>
      </c>
      <c r="Y58" s="52"/>
      <c r="Z58" s="53"/>
      <c r="AD58" s="54"/>
      <c r="BA58" s="55" t="s">
        <v>1</v>
      </c>
    </row>
    <row r="59" spans="1:53" x14ac:dyDescent="0.2">
      <c r="A59" s="79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1"/>
      <c r="N59" s="76" t="s">
        <v>66</v>
      </c>
      <c r="O59" s="77"/>
      <c r="P59" s="77"/>
      <c r="Q59" s="77"/>
      <c r="R59" s="77"/>
      <c r="S59" s="77"/>
      <c r="T59" s="78"/>
      <c r="U59" s="56" t="s">
        <v>67</v>
      </c>
      <c r="V59" s="57">
        <f>IFERROR(V55/H55,"0")+IFERROR(V56/H56,"0")+IFERROR(V57/H57,"0")+IFERROR(V58/H58,"0")</f>
        <v>17</v>
      </c>
      <c r="W59" s="57">
        <f>IFERROR(W55/H55,"0")+IFERROR(W56/H56,"0")+IFERROR(W57/H57,"0")+IFERROR(W58/H58,"0")</f>
        <v>17</v>
      </c>
      <c r="X59" s="57">
        <f>IFERROR(IF(X55="",0,X55),"0")+IFERROR(IF(X56="",0,X56),"0")+IFERROR(IF(X57="",0,X57),"0")+IFERROR(IF(X58="",0,X58),"0")</f>
        <v>0.24595</v>
      </c>
      <c r="Y59" s="58"/>
      <c r="Z59" s="58"/>
    </row>
    <row r="60" spans="1:53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1"/>
      <c r="N60" s="76" t="s">
        <v>66</v>
      </c>
      <c r="O60" s="77"/>
      <c r="P60" s="77"/>
      <c r="Q60" s="77"/>
      <c r="R60" s="77"/>
      <c r="S60" s="77"/>
      <c r="T60" s="78"/>
      <c r="U60" s="56" t="s">
        <v>65</v>
      </c>
      <c r="V60" s="57">
        <f>IFERROR(SUM(V55:V58),"0")</f>
        <v>120.6</v>
      </c>
      <c r="W60" s="57">
        <f>IFERROR(SUM(W55:W58),"0")</f>
        <v>120.60000000000001</v>
      </c>
      <c r="X60" s="56"/>
      <c r="Y60" s="58"/>
      <c r="Z60" s="58"/>
    </row>
    <row r="61" spans="1:53" ht="16.5" customHeight="1" x14ac:dyDescent="0.25">
      <c r="A61" s="87" t="s">
        <v>93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66"/>
      <c r="Z61" s="66"/>
    </row>
    <row r="62" spans="1:53" ht="14.25" customHeight="1" x14ac:dyDescent="0.25">
      <c r="A62" s="82" t="s">
        <v>103</v>
      </c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67"/>
      <c r="Z62" s="67"/>
    </row>
    <row r="63" spans="1:53" ht="27" customHeight="1" x14ac:dyDescent="0.25">
      <c r="A63" s="42" t="s">
        <v>114</v>
      </c>
      <c r="B63" s="42" t="s">
        <v>115</v>
      </c>
      <c r="C63" s="43">
        <v>4301011623</v>
      </c>
      <c r="D63" s="75">
        <v>4607091382945</v>
      </c>
      <c r="E63" s="73"/>
      <c r="F63" s="44">
        <v>1.4</v>
      </c>
      <c r="G63" s="45">
        <v>8</v>
      </c>
      <c r="H63" s="44">
        <v>11.2</v>
      </c>
      <c r="I63" s="44">
        <v>11.68</v>
      </c>
      <c r="J63" s="45">
        <v>56</v>
      </c>
      <c r="K63" s="45" t="s">
        <v>98</v>
      </c>
      <c r="L63" s="46" t="s">
        <v>99</v>
      </c>
      <c r="M63" s="45">
        <v>50</v>
      </c>
      <c r="N63" s="74" t="s">
        <v>116</v>
      </c>
      <c r="O63" s="72"/>
      <c r="P63" s="72"/>
      <c r="Q63" s="72"/>
      <c r="R63" s="73"/>
      <c r="S63" s="47"/>
      <c r="T63" s="47"/>
      <c r="U63" s="48" t="s">
        <v>65</v>
      </c>
      <c r="V63" s="49">
        <v>0</v>
      </c>
      <c r="W63" s="50">
        <f t="shared" ref="W63:W78" si="2">IFERROR(IF(V63="",0,CEILING((V63/$H63),1)*$H63),"")</f>
        <v>0</v>
      </c>
      <c r="X63" s="51" t="str">
        <f>IFERROR(IF(W63=0,"",ROUNDUP(W63/H63,0)*0.02175),"")</f>
        <v/>
      </c>
      <c r="Y63" s="52"/>
      <c r="Z63" s="53"/>
      <c r="AD63" s="54"/>
      <c r="BA63" s="55" t="s">
        <v>1</v>
      </c>
    </row>
    <row r="64" spans="1:53" ht="27" customHeight="1" x14ac:dyDescent="0.25">
      <c r="A64" s="42" t="s">
        <v>117</v>
      </c>
      <c r="B64" s="42" t="s">
        <v>118</v>
      </c>
      <c r="C64" s="43">
        <v>4301011380</v>
      </c>
      <c r="D64" s="75">
        <v>4607091385670</v>
      </c>
      <c r="E64" s="73"/>
      <c r="F64" s="44">
        <v>1.35</v>
      </c>
      <c r="G64" s="45">
        <v>8</v>
      </c>
      <c r="H64" s="44">
        <v>10.8</v>
      </c>
      <c r="I64" s="44">
        <v>11.28</v>
      </c>
      <c r="J64" s="45">
        <v>56</v>
      </c>
      <c r="K64" s="45" t="s">
        <v>98</v>
      </c>
      <c r="L64" s="46" t="s">
        <v>99</v>
      </c>
      <c r="M64" s="45">
        <v>50</v>
      </c>
      <c r="N64" s="7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72"/>
      <c r="P64" s="72"/>
      <c r="Q64" s="72"/>
      <c r="R64" s="73"/>
      <c r="S64" s="47"/>
      <c r="T64" s="47"/>
      <c r="U64" s="48" t="s">
        <v>65</v>
      </c>
      <c r="V64" s="49">
        <v>10.8</v>
      </c>
      <c r="W64" s="50">
        <f t="shared" si="2"/>
        <v>10.8</v>
      </c>
      <c r="X64" s="51">
        <f>IFERROR(IF(W64=0,"",ROUNDUP(W64/H64,0)*0.02175),"")</f>
        <v>2.1749999999999999E-2</v>
      </c>
      <c r="Y64" s="52"/>
      <c r="Z64" s="53"/>
      <c r="AD64" s="54"/>
      <c r="BA64" s="55" t="s">
        <v>1</v>
      </c>
    </row>
    <row r="65" spans="1:53" ht="27" customHeight="1" x14ac:dyDescent="0.25">
      <c r="A65" s="42" t="s">
        <v>119</v>
      </c>
      <c r="B65" s="42" t="s">
        <v>120</v>
      </c>
      <c r="C65" s="43">
        <v>4301011468</v>
      </c>
      <c r="D65" s="75">
        <v>4680115881327</v>
      </c>
      <c r="E65" s="73"/>
      <c r="F65" s="44">
        <v>1.35</v>
      </c>
      <c r="G65" s="45">
        <v>8</v>
      </c>
      <c r="H65" s="44">
        <v>10.8</v>
      </c>
      <c r="I65" s="44">
        <v>11.28</v>
      </c>
      <c r="J65" s="45">
        <v>56</v>
      </c>
      <c r="K65" s="45" t="s">
        <v>98</v>
      </c>
      <c r="L65" s="46" t="s">
        <v>121</v>
      </c>
      <c r="M65" s="45">
        <v>50</v>
      </c>
      <c r="N65" s="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72"/>
      <c r="P65" s="72"/>
      <c r="Q65" s="72"/>
      <c r="R65" s="73"/>
      <c r="S65" s="47"/>
      <c r="T65" s="47"/>
      <c r="U65" s="48" t="s">
        <v>65</v>
      </c>
      <c r="V65" s="49">
        <v>0</v>
      </c>
      <c r="W65" s="50">
        <f t="shared" si="2"/>
        <v>0</v>
      </c>
      <c r="X65" s="51" t="str">
        <f>IFERROR(IF(W65=0,"",ROUNDUP(W65/H65,0)*0.02175),"")</f>
        <v/>
      </c>
      <c r="Y65" s="52"/>
      <c r="Z65" s="53"/>
      <c r="AD65" s="54"/>
      <c r="BA65" s="55" t="s">
        <v>1</v>
      </c>
    </row>
    <row r="66" spans="1:53" ht="16.5" customHeight="1" x14ac:dyDescent="0.25">
      <c r="A66" s="42" t="s">
        <v>122</v>
      </c>
      <c r="B66" s="42" t="s">
        <v>123</v>
      </c>
      <c r="C66" s="43">
        <v>4301011514</v>
      </c>
      <c r="D66" s="75">
        <v>4680115882133</v>
      </c>
      <c r="E66" s="73"/>
      <c r="F66" s="44">
        <v>1.35</v>
      </c>
      <c r="G66" s="45">
        <v>8</v>
      </c>
      <c r="H66" s="44">
        <v>10.8</v>
      </c>
      <c r="I66" s="44">
        <v>11.28</v>
      </c>
      <c r="J66" s="45">
        <v>56</v>
      </c>
      <c r="K66" s="45" t="s">
        <v>98</v>
      </c>
      <c r="L66" s="46" t="s">
        <v>99</v>
      </c>
      <c r="M66" s="45">
        <v>50</v>
      </c>
      <c r="N66" s="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72"/>
      <c r="P66" s="72"/>
      <c r="Q66" s="72"/>
      <c r="R66" s="73"/>
      <c r="S66" s="47"/>
      <c r="T66" s="47"/>
      <c r="U66" s="48" t="s">
        <v>65</v>
      </c>
      <c r="V66" s="49">
        <v>0</v>
      </c>
      <c r="W66" s="50">
        <f t="shared" si="2"/>
        <v>0</v>
      </c>
      <c r="X66" s="51" t="str">
        <f>IFERROR(IF(W66=0,"",ROUNDUP(W66/H66,0)*0.02175),"")</f>
        <v/>
      </c>
      <c r="Y66" s="52"/>
      <c r="Z66" s="53"/>
      <c r="AD66" s="54"/>
      <c r="BA66" s="55" t="s">
        <v>1</v>
      </c>
    </row>
    <row r="67" spans="1:53" ht="27" customHeight="1" x14ac:dyDescent="0.25">
      <c r="A67" s="42" t="s">
        <v>124</v>
      </c>
      <c r="B67" s="42" t="s">
        <v>125</v>
      </c>
      <c r="C67" s="43">
        <v>4301011192</v>
      </c>
      <c r="D67" s="75">
        <v>4607091382952</v>
      </c>
      <c r="E67" s="73"/>
      <c r="F67" s="44">
        <v>0.5</v>
      </c>
      <c r="G67" s="45">
        <v>6</v>
      </c>
      <c r="H67" s="44">
        <v>3</v>
      </c>
      <c r="I67" s="44">
        <v>3.2</v>
      </c>
      <c r="J67" s="45">
        <v>156</v>
      </c>
      <c r="K67" s="45" t="s">
        <v>63</v>
      </c>
      <c r="L67" s="46" t="s">
        <v>99</v>
      </c>
      <c r="M67" s="45">
        <v>50</v>
      </c>
      <c r="N67" s="7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72"/>
      <c r="P67" s="72"/>
      <c r="Q67" s="72"/>
      <c r="R67" s="73"/>
      <c r="S67" s="47"/>
      <c r="T67" s="47"/>
      <c r="U67" s="48" t="s">
        <v>65</v>
      </c>
      <c r="V67" s="49">
        <v>0</v>
      </c>
      <c r="W67" s="50">
        <f t="shared" si="2"/>
        <v>0</v>
      </c>
      <c r="X67" s="51" t="str">
        <f>IFERROR(IF(W67=0,"",ROUNDUP(W67/H67,0)*0.00753),"")</f>
        <v/>
      </c>
      <c r="Y67" s="52"/>
      <c r="Z67" s="53"/>
      <c r="AD67" s="54"/>
      <c r="BA67" s="55" t="s">
        <v>1</v>
      </c>
    </row>
    <row r="68" spans="1:53" ht="27" customHeight="1" x14ac:dyDescent="0.25">
      <c r="A68" s="42" t="s">
        <v>126</v>
      </c>
      <c r="B68" s="42" t="s">
        <v>127</v>
      </c>
      <c r="C68" s="43">
        <v>4301011565</v>
      </c>
      <c r="D68" s="75">
        <v>4680115882539</v>
      </c>
      <c r="E68" s="73"/>
      <c r="F68" s="44">
        <v>0.37</v>
      </c>
      <c r="G68" s="45">
        <v>10</v>
      </c>
      <c r="H68" s="44">
        <v>3.7</v>
      </c>
      <c r="I68" s="44">
        <v>3.94</v>
      </c>
      <c r="J68" s="45">
        <v>120</v>
      </c>
      <c r="K68" s="45" t="s">
        <v>63</v>
      </c>
      <c r="L68" s="46" t="s">
        <v>128</v>
      </c>
      <c r="M68" s="45">
        <v>50</v>
      </c>
      <c r="N68" s="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72"/>
      <c r="P68" s="72"/>
      <c r="Q68" s="72"/>
      <c r="R68" s="73"/>
      <c r="S68" s="47"/>
      <c r="T68" s="47"/>
      <c r="U68" s="48" t="s">
        <v>65</v>
      </c>
      <c r="V68" s="49">
        <v>0</v>
      </c>
      <c r="W68" s="50">
        <f t="shared" si="2"/>
        <v>0</v>
      </c>
      <c r="X68" s="51" t="str">
        <f t="shared" ref="X68:X74" si="3">IFERROR(IF(W68=0,"",ROUNDUP(W68/H68,0)*0.00937),"")</f>
        <v/>
      </c>
      <c r="Y68" s="52"/>
      <c r="Z68" s="53"/>
      <c r="AD68" s="54"/>
      <c r="BA68" s="55" t="s">
        <v>1</v>
      </c>
    </row>
    <row r="69" spans="1:53" ht="27" customHeight="1" x14ac:dyDescent="0.25">
      <c r="A69" s="42" t="s">
        <v>129</v>
      </c>
      <c r="B69" s="42" t="s">
        <v>130</v>
      </c>
      <c r="C69" s="43">
        <v>4301011382</v>
      </c>
      <c r="D69" s="75">
        <v>4607091385687</v>
      </c>
      <c r="E69" s="73"/>
      <c r="F69" s="44">
        <v>0.4</v>
      </c>
      <c r="G69" s="45">
        <v>10</v>
      </c>
      <c r="H69" s="44">
        <v>4</v>
      </c>
      <c r="I69" s="44">
        <v>4.24</v>
      </c>
      <c r="J69" s="45">
        <v>120</v>
      </c>
      <c r="K69" s="45" t="s">
        <v>63</v>
      </c>
      <c r="L69" s="46" t="s">
        <v>128</v>
      </c>
      <c r="M69" s="45">
        <v>50</v>
      </c>
      <c r="N69" s="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72"/>
      <c r="P69" s="72"/>
      <c r="Q69" s="72"/>
      <c r="R69" s="73"/>
      <c r="S69" s="47"/>
      <c r="T69" s="47"/>
      <c r="U69" s="48" t="s">
        <v>65</v>
      </c>
      <c r="V69" s="49">
        <v>4</v>
      </c>
      <c r="W69" s="50">
        <f t="shared" si="2"/>
        <v>4</v>
      </c>
      <c r="X69" s="51">
        <f t="shared" si="3"/>
        <v>9.3699999999999999E-3</v>
      </c>
      <c r="Y69" s="52"/>
      <c r="Z69" s="53"/>
      <c r="AD69" s="54"/>
      <c r="BA69" s="55" t="s">
        <v>1</v>
      </c>
    </row>
    <row r="70" spans="1:53" ht="27" customHeight="1" x14ac:dyDescent="0.25">
      <c r="A70" s="42" t="s">
        <v>131</v>
      </c>
      <c r="B70" s="42" t="s">
        <v>132</v>
      </c>
      <c r="C70" s="43">
        <v>4301011344</v>
      </c>
      <c r="D70" s="75">
        <v>4607091384604</v>
      </c>
      <c r="E70" s="73"/>
      <c r="F70" s="44">
        <v>0.4</v>
      </c>
      <c r="G70" s="45">
        <v>10</v>
      </c>
      <c r="H70" s="44">
        <v>4</v>
      </c>
      <c r="I70" s="44">
        <v>4.24</v>
      </c>
      <c r="J70" s="45">
        <v>120</v>
      </c>
      <c r="K70" s="45" t="s">
        <v>63</v>
      </c>
      <c r="L70" s="46" t="s">
        <v>99</v>
      </c>
      <c r="M70" s="45">
        <v>50</v>
      </c>
      <c r="N70" s="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72"/>
      <c r="P70" s="72"/>
      <c r="Q70" s="72"/>
      <c r="R70" s="73"/>
      <c r="S70" s="47"/>
      <c r="T70" s="47"/>
      <c r="U70" s="48" t="s">
        <v>65</v>
      </c>
      <c r="V70" s="49">
        <v>0</v>
      </c>
      <c r="W70" s="50">
        <f t="shared" si="2"/>
        <v>0</v>
      </c>
      <c r="X70" s="51" t="str">
        <f t="shared" si="3"/>
        <v/>
      </c>
      <c r="Y70" s="52"/>
      <c r="Z70" s="53"/>
      <c r="AD70" s="54"/>
      <c r="BA70" s="55" t="s">
        <v>1</v>
      </c>
    </row>
    <row r="71" spans="1:53" ht="27" customHeight="1" x14ac:dyDescent="0.25">
      <c r="A71" s="42" t="s">
        <v>133</v>
      </c>
      <c r="B71" s="42" t="s">
        <v>134</v>
      </c>
      <c r="C71" s="43">
        <v>4301011386</v>
      </c>
      <c r="D71" s="75">
        <v>4680115880283</v>
      </c>
      <c r="E71" s="73"/>
      <c r="F71" s="44">
        <v>0.6</v>
      </c>
      <c r="G71" s="45">
        <v>8</v>
      </c>
      <c r="H71" s="44">
        <v>4.8</v>
      </c>
      <c r="I71" s="44">
        <v>5.04</v>
      </c>
      <c r="J71" s="45">
        <v>120</v>
      </c>
      <c r="K71" s="45" t="s">
        <v>63</v>
      </c>
      <c r="L71" s="46" t="s">
        <v>99</v>
      </c>
      <c r="M71" s="45">
        <v>45</v>
      </c>
      <c r="N71" s="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72"/>
      <c r="P71" s="72"/>
      <c r="Q71" s="72"/>
      <c r="R71" s="73"/>
      <c r="S71" s="47"/>
      <c r="T71" s="47"/>
      <c r="U71" s="48" t="s">
        <v>65</v>
      </c>
      <c r="V71" s="49">
        <v>0</v>
      </c>
      <c r="W71" s="50">
        <f t="shared" si="2"/>
        <v>0</v>
      </c>
      <c r="X71" s="51" t="str">
        <f t="shared" si="3"/>
        <v/>
      </c>
      <c r="Y71" s="52"/>
      <c r="Z71" s="53"/>
      <c r="AD71" s="54"/>
      <c r="BA71" s="55" t="s">
        <v>1</v>
      </c>
    </row>
    <row r="72" spans="1:53" ht="16.5" customHeight="1" x14ac:dyDescent="0.25">
      <c r="A72" s="42" t="s">
        <v>135</v>
      </c>
      <c r="B72" s="42" t="s">
        <v>136</v>
      </c>
      <c r="C72" s="43">
        <v>4301011476</v>
      </c>
      <c r="D72" s="75">
        <v>4680115881518</v>
      </c>
      <c r="E72" s="73"/>
      <c r="F72" s="44">
        <v>0.4</v>
      </c>
      <c r="G72" s="45">
        <v>10</v>
      </c>
      <c r="H72" s="44">
        <v>4</v>
      </c>
      <c r="I72" s="44">
        <v>4.24</v>
      </c>
      <c r="J72" s="45">
        <v>120</v>
      </c>
      <c r="K72" s="45" t="s">
        <v>63</v>
      </c>
      <c r="L72" s="46" t="s">
        <v>128</v>
      </c>
      <c r="M72" s="45">
        <v>50</v>
      </c>
      <c r="N72" s="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72"/>
      <c r="P72" s="72"/>
      <c r="Q72" s="72"/>
      <c r="R72" s="73"/>
      <c r="S72" s="47"/>
      <c r="T72" s="47"/>
      <c r="U72" s="48" t="s">
        <v>65</v>
      </c>
      <c r="V72" s="49">
        <v>0</v>
      </c>
      <c r="W72" s="50">
        <f t="shared" si="2"/>
        <v>0</v>
      </c>
      <c r="X72" s="51" t="str">
        <f t="shared" si="3"/>
        <v/>
      </c>
      <c r="Y72" s="52"/>
      <c r="Z72" s="53"/>
      <c r="AD72" s="54"/>
      <c r="BA72" s="55" t="s">
        <v>1</v>
      </c>
    </row>
    <row r="73" spans="1:53" ht="27" customHeight="1" x14ac:dyDescent="0.25">
      <c r="A73" s="42" t="s">
        <v>137</v>
      </c>
      <c r="B73" s="42" t="s">
        <v>138</v>
      </c>
      <c r="C73" s="43">
        <v>4301011443</v>
      </c>
      <c r="D73" s="75">
        <v>4680115881303</v>
      </c>
      <c r="E73" s="73"/>
      <c r="F73" s="44">
        <v>0.45</v>
      </c>
      <c r="G73" s="45">
        <v>10</v>
      </c>
      <c r="H73" s="44">
        <v>4.5</v>
      </c>
      <c r="I73" s="44">
        <v>4.71</v>
      </c>
      <c r="J73" s="45">
        <v>120</v>
      </c>
      <c r="K73" s="45" t="s">
        <v>63</v>
      </c>
      <c r="L73" s="46" t="s">
        <v>121</v>
      </c>
      <c r="M73" s="45">
        <v>50</v>
      </c>
      <c r="N73" s="7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72"/>
      <c r="P73" s="72"/>
      <c r="Q73" s="72"/>
      <c r="R73" s="73"/>
      <c r="S73" s="47"/>
      <c r="T73" s="47"/>
      <c r="U73" s="48" t="s">
        <v>65</v>
      </c>
      <c r="V73" s="49">
        <v>0</v>
      </c>
      <c r="W73" s="50">
        <f t="shared" si="2"/>
        <v>0</v>
      </c>
      <c r="X73" s="51" t="str">
        <f t="shared" si="3"/>
        <v/>
      </c>
      <c r="Y73" s="52"/>
      <c r="Z73" s="53"/>
      <c r="AD73" s="54"/>
      <c r="BA73" s="55" t="s">
        <v>1</v>
      </c>
    </row>
    <row r="74" spans="1:53" ht="27" customHeight="1" x14ac:dyDescent="0.25">
      <c r="A74" s="42" t="s">
        <v>139</v>
      </c>
      <c r="B74" s="42" t="s">
        <v>140</v>
      </c>
      <c r="C74" s="43">
        <v>4301011432</v>
      </c>
      <c r="D74" s="75">
        <v>4680115882720</v>
      </c>
      <c r="E74" s="73"/>
      <c r="F74" s="44">
        <v>0.45</v>
      </c>
      <c r="G74" s="45">
        <v>10</v>
      </c>
      <c r="H74" s="44">
        <v>4.5</v>
      </c>
      <c r="I74" s="44">
        <v>4.74</v>
      </c>
      <c r="J74" s="45">
        <v>120</v>
      </c>
      <c r="K74" s="45" t="s">
        <v>63</v>
      </c>
      <c r="L74" s="46" t="s">
        <v>99</v>
      </c>
      <c r="M74" s="45">
        <v>90</v>
      </c>
      <c r="N74" s="74" t="s">
        <v>141</v>
      </c>
      <c r="O74" s="72"/>
      <c r="P74" s="72"/>
      <c r="Q74" s="72"/>
      <c r="R74" s="73"/>
      <c r="S74" s="47"/>
      <c r="T74" s="47"/>
      <c r="U74" s="48" t="s">
        <v>65</v>
      </c>
      <c r="V74" s="49">
        <v>0</v>
      </c>
      <c r="W74" s="50">
        <f t="shared" si="2"/>
        <v>0</v>
      </c>
      <c r="X74" s="51" t="str">
        <f t="shared" si="3"/>
        <v/>
      </c>
      <c r="Y74" s="52"/>
      <c r="Z74" s="53"/>
      <c r="AD74" s="54"/>
      <c r="BA74" s="55" t="s">
        <v>1</v>
      </c>
    </row>
    <row r="75" spans="1:53" ht="27" customHeight="1" x14ac:dyDescent="0.25">
      <c r="A75" s="42" t="s">
        <v>142</v>
      </c>
      <c r="B75" s="42" t="s">
        <v>143</v>
      </c>
      <c r="C75" s="43">
        <v>4301011352</v>
      </c>
      <c r="D75" s="75">
        <v>4607091388466</v>
      </c>
      <c r="E75" s="73"/>
      <c r="F75" s="44">
        <v>0.45</v>
      </c>
      <c r="G75" s="45">
        <v>6</v>
      </c>
      <c r="H75" s="44">
        <v>2.7</v>
      </c>
      <c r="I75" s="44">
        <v>2.9</v>
      </c>
      <c r="J75" s="45">
        <v>156</v>
      </c>
      <c r="K75" s="45" t="s">
        <v>63</v>
      </c>
      <c r="L75" s="46" t="s">
        <v>128</v>
      </c>
      <c r="M75" s="45">
        <v>45</v>
      </c>
      <c r="N75" s="7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72"/>
      <c r="P75" s="72"/>
      <c r="Q75" s="72"/>
      <c r="R75" s="73"/>
      <c r="S75" s="47"/>
      <c r="T75" s="47"/>
      <c r="U75" s="48" t="s">
        <v>65</v>
      </c>
      <c r="V75" s="49">
        <v>0</v>
      </c>
      <c r="W75" s="50">
        <f t="shared" si="2"/>
        <v>0</v>
      </c>
      <c r="X75" s="51" t="str">
        <f>IFERROR(IF(W75=0,"",ROUNDUP(W75/H75,0)*0.00753),"")</f>
        <v/>
      </c>
      <c r="Y75" s="52"/>
      <c r="Z75" s="53"/>
      <c r="AD75" s="54"/>
      <c r="BA75" s="55" t="s">
        <v>1</v>
      </c>
    </row>
    <row r="76" spans="1:53" ht="27" customHeight="1" x14ac:dyDescent="0.25">
      <c r="A76" s="42" t="s">
        <v>144</v>
      </c>
      <c r="B76" s="42" t="s">
        <v>145</v>
      </c>
      <c r="C76" s="43">
        <v>4301011417</v>
      </c>
      <c r="D76" s="75">
        <v>4680115880269</v>
      </c>
      <c r="E76" s="73"/>
      <c r="F76" s="44">
        <v>0.375</v>
      </c>
      <c r="G76" s="45">
        <v>10</v>
      </c>
      <c r="H76" s="44">
        <v>3.75</v>
      </c>
      <c r="I76" s="44">
        <v>3.99</v>
      </c>
      <c r="J76" s="45">
        <v>120</v>
      </c>
      <c r="K76" s="45" t="s">
        <v>63</v>
      </c>
      <c r="L76" s="46" t="s">
        <v>128</v>
      </c>
      <c r="M76" s="45">
        <v>50</v>
      </c>
      <c r="N76" s="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72"/>
      <c r="P76" s="72"/>
      <c r="Q76" s="72"/>
      <c r="R76" s="73"/>
      <c r="S76" s="47"/>
      <c r="T76" s="47"/>
      <c r="U76" s="48" t="s">
        <v>65</v>
      </c>
      <c r="V76" s="49">
        <v>0</v>
      </c>
      <c r="W76" s="50">
        <f t="shared" si="2"/>
        <v>0</v>
      </c>
      <c r="X76" s="51" t="str">
        <f>IFERROR(IF(W76=0,"",ROUNDUP(W76/H76,0)*0.00937),"")</f>
        <v/>
      </c>
      <c r="Y76" s="52"/>
      <c r="Z76" s="53"/>
      <c r="AD76" s="54"/>
      <c r="BA76" s="55" t="s">
        <v>1</v>
      </c>
    </row>
    <row r="77" spans="1:53" ht="16.5" customHeight="1" x14ac:dyDescent="0.25">
      <c r="A77" s="42" t="s">
        <v>146</v>
      </c>
      <c r="B77" s="42" t="s">
        <v>147</v>
      </c>
      <c r="C77" s="43">
        <v>4301011415</v>
      </c>
      <c r="D77" s="75">
        <v>4680115880429</v>
      </c>
      <c r="E77" s="73"/>
      <c r="F77" s="44">
        <v>0.45</v>
      </c>
      <c r="G77" s="45">
        <v>10</v>
      </c>
      <c r="H77" s="44">
        <v>4.5</v>
      </c>
      <c r="I77" s="44">
        <v>4.74</v>
      </c>
      <c r="J77" s="45">
        <v>120</v>
      </c>
      <c r="K77" s="45" t="s">
        <v>63</v>
      </c>
      <c r="L77" s="46" t="s">
        <v>128</v>
      </c>
      <c r="M77" s="45">
        <v>50</v>
      </c>
      <c r="N77" s="7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72"/>
      <c r="P77" s="72"/>
      <c r="Q77" s="72"/>
      <c r="R77" s="73"/>
      <c r="S77" s="47"/>
      <c r="T77" s="47"/>
      <c r="U77" s="48" t="s">
        <v>65</v>
      </c>
      <c r="V77" s="49">
        <v>0</v>
      </c>
      <c r="W77" s="50">
        <f t="shared" si="2"/>
        <v>0</v>
      </c>
      <c r="X77" s="51" t="str">
        <f>IFERROR(IF(W77=0,"",ROUNDUP(W77/H77,0)*0.00937),"")</f>
        <v/>
      </c>
      <c r="Y77" s="52"/>
      <c r="Z77" s="53"/>
      <c r="AD77" s="54"/>
      <c r="BA77" s="55" t="s">
        <v>1</v>
      </c>
    </row>
    <row r="78" spans="1:53" ht="16.5" customHeight="1" x14ac:dyDescent="0.25">
      <c r="A78" s="42" t="s">
        <v>148</v>
      </c>
      <c r="B78" s="42" t="s">
        <v>149</v>
      </c>
      <c r="C78" s="43">
        <v>4301011462</v>
      </c>
      <c r="D78" s="75">
        <v>4680115881457</v>
      </c>
      <c r="E78" s="73"/>
      <c r="F78" s="44">
        <v>0.75</v>
      </c>
      <c r="G78" s="45">
        <v>6</v>
      </c>
      <c r="H78" s="44">
        <v>4.5</v>
      </c>
      <c r="I78" s="44">
        <v>4.74</v>
      </c>
      <c r="J78" s="45">
        <v>120</v>
      </c>
      <c r="K78" s="45" t="s">
        <v>63</v>
      </c>
      <c r="L78" s="46" t="s">
        <v>128</v>
      </c>
      <c r="M78" s="45">
        <v>50</v>
      </c>
      <c r="N78" s="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72"/>
      <c r="P78" s="72"/>
      <c r="Q78" s="72"/>
      <c r="R78" s="73"/>
      <c r="S78" s="47"/>
      <c r="T78" s="47"/>
      <c r="U78" s="48" t="s">
        <v>65</v>
      </c>
      <c r="V78" s="49">
        <v>0</v>
      </c>
      <c r="W78" s="50">
        <f t="shared" si="2"/>
        <v>0</v>
      </c>
      <c r="X78" s="51" t="str">
        <f>IFERROR(IF(W78=0,"",ROUNDUP(W78/H78,0)*0.00937),"")</f>
        <v/>
      </c>
      <c r="Y78" s="52"/>
      <c r="Z78" s="53"/>
      <c r="AD78" s="54"/>
      <c r="BA78" s="55" t="s">
        <v>1</v>
      </c>
    </row>
    <row r="79" spans="1:53" x14ac:dyDescent="0.2">
      <c r="A79" s="79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1"/>
      <c r="N79" s="76" t="s">
        <v>66</v>
      </c>
      <c r="O79" s="77"/>
      <c r="P79" s="77"/>
      <c r="Q79" s="77"/>
      <c r="R79" s="77"/>
      <c r="S79" s="77"/>
      <c r="T79" s="78"/>
      <c r="U79" s="56" t="s">
        <v>67</v>
      </c>
      <c r="V79" s="5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</v>
      </c>
      <c r="W79" s="5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2</v>
      </c>
      <c r="X79" s="5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3.1119999999999998E-2</v>
      </c>
      <c r="Y79" s="58"/>
      <c r="Z79" s="58"/>
    </row>
    <row r="80" spans="1:53" x14ac:dyDescent="0.2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1"/>
      <c r="N80" s="76" t="s">
        <v>66</v>
      </c>
      <c r="O80" s="77"/>
      <c r="P80" s="77"/>
      <c r="Q80" s="77"/>
      <c r="R80" s="77"/>
      <c r="S80" s="77"/>
      <c r="T80" s="78"/>
      <c r="U80" s="56" t="s">
        <v>65</v>
      </c>
      <c r="V80" s="57">
        <f>IFERROR(SUM(V63:V78),"0")</f>
        <v>14.8</v>
      </c>
      <c r="W80" s="57">
        <f>IFERROR(SUM(W63:W78),"0")</f>
        <v>14.8</v>
      </c>
      <c r="X80" s="56"/>
      <c r="Y80" s="58"/>
      <c r="Z80" s="58"/>
    </row>
    <row r="81" spans="1:53" ht="14.25" customHeight="1" x14ac:dyDescent="0.25">
      <c r="A81" s="82" t="s">
        <v>95</v>
      </c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67"/>
      <c r="Z81" s="67"/>
    </row>
    <row r="82" spans="1:53" ht="27" customHeight="1" x14ac:dyDescent="0.25">
      <c r="A82" s="42" t="s">
        <v>150</v>
      </c>
      <c r="B82" s="42" t="s">
        <v>151</v>
      </c>
      <c r="C82" s="43">
        <v>4301020189</v>
      </c>
      <c r="D82" s="75">
        <v>4607091384789</v>
      </c>
      <c r="E82" s="73"/>
      <c r="F82" s="44">
        <v>1</v>
      </c>
      <c r="G82" s="45">
        <v>6</v>
      </c>
      <c r="H82" s="44">
        <v>6</v>
      </c>
      <c r="I82" s="44">
        <v>6.36</v>
      </c>
      <c r="J82" s="45">
        <v>104</v>
      </c>
      <c r="K82" s="45" t="s">
        <v>98</v>
      </c>
      <c r="L82" s="46" t="s">
        <v>99</v>
      </c>
      <c r="M82" s="45">
        <v>45</v>
      </c>
      <c r="N82" s="74" t="s">
        <v>152</v>
      </c>
      <c r="O82" s="72"/>
      <c r="P82" s="72"/>
      <c r="Q82" s="72"/>
      <c r="R82" s="73"/>
      <c r="S82" s="47"/>
      <c r="T82" s="47"/>
      <c r="U82" s="48" t="s">
        <v>65</v>
      </c>
      <c r="V82" s="49">
        <v>0</v>
      </c>
      <c r="W82" s="50">
        <f t="shared" ref="W82:W88" si="4">IFERROR(IF(V82="",0,CEILING((V82/$H82),1)*$H82),"")</f>
        <v>0</v>
      </c>
      <c r="X82" s="51" t="str">
        <f>IFERROR(IF(W82=0,"",ROUNDUP(W82/H82,0)*0.01196),"")</f>
        <v/>
      </c>
      <c r="Y82" s="52"/>
      <c r="Z82" s="53"/>
      <c r="AD82" s="54"/>
      <c r="BA82" s="55" t="s">
        <v>1</v>
      </c>
    </row>
    <row r="83" spans="1:53" ht="16.5" customHeight="1" x14ac:dyDescent="0.25">
      <c r="A83" s="42" t="s">
        <v>153</v>
      </c>
      <c r="B83" s="42" t="s">
        <v>154</v>
      </c>
      <c r="C83" s="43">
        <v>4301020235</v>
      </c>
      <c r="D83" s="75">
        <v>4680115881488</v>
      </c>
      <c r="E83" s="73"/>
      <c r="F83" s="44">
        <v>1.35</v>
      </c>
      <c r="G83" s="45">
        <v>8</v>
      </c>
      <c r="H83" s="44">
        <v>10.8</v>
      </c>
      <c r="I83" s="44">
        <v>11.28</v>
      </c>
      <c r="J83" s="45">
        <v>48</v>
      </c>
      <c r="K83" s="45" t="s">
        <v>98</v>
      </c>
      <c r="L83" s="46" t="s">
        <v>99</v>
      </c>
      <c r="M83" s="45">
        <v>50</v>
      </c>
      <c r="N83" s="7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72"/>
      <c r="P83" s="72"/>
      <c r="Q83" s="72"/>
      <c r="R83" s="73"/>
      <c r="S83" s="47"/>
      <c r="T83" s="47"/>
      <c r="U83" s="48" t="s">
        <v>65</v>
      </c>
      <c r="V83" s="49">
        <v>0</v>
      </c>
      <c r="W83" s="50">
        <f t="shared" si="4"/>
        <v>0</v>
      </c>
      <c r="X83" s="51" t="str">
        <f>IFERROR(IF(W83=0,"",ROUNDUP(W83/H83,0)*0.02175),"")</f>
        <v/>
      </c>
      <c r="Y83" s="52"/>
      <c r="Z83" s="53"/>
      <c r="AD83" s="54"/>
      <c r="BA83" s="55" t="s">
        <v>1</v>
      </c>
    </row>
    <row r="84" spans="1:53" ht="27" customHeight="1" x14ac:dyDescent="0.25">
      <c r="A84" s="42" t="s">
        <v>155</v>
      </c>
      <c r="B84" s="42" t="s">
        <v>156</v>
      </c>
      <c r="C84" s="43">
        <v>4301020183</v>
      </c>
      <c r="D84" s="75">
        <v>4607091384765</v>
      </c>
      <c r="E84" s="73"/>
      <c r="F84" s="44">
        <v>0.42</v>
      </c>
      <c r="G84" s="45">
        <v>6</v>
      </c>
      <c r="H84" s="44">
        <v>2.52</v>
      </c>
      <c r="I84" s="44">
        <v>2.72</v>
      </c>
      <c r="J84" s="45">
        <v>156</v>
      </c>
      <c r="K84" s="45" t="s">
        <v>63</v>
      </c>
      <c r="L84" s="46" t="s">
        <v>99</v>
      </c>
      <c r="M84" s="45">
        <v>45</v>
      </c>
      <c r="N84" s="74" t="s">
        <v>157</v>
      </c>
      <c r="O84" s="72"/>
      <c r="P84" s="72"/>
      <c r="Q84" s="72"/>
      <c r="R84" s="73"/>
      <c r="S84" s="47"/>
      <c r="T84" s="47"/>
      <c r="U84" s="48" t="s">
        <v>65</v>
      </c>
      <c r="V84" s="49">
        <v>0</v>
      </c>
      <c r="W84" s="50">
        <f t="shared" si="4"/>
        <v>0</v>
      </c>
      <c r="X84" s="51" t="str">
        <f>IFERROR(IF(W84=0,"",ROUNDUP(W84/H84,0)*0.00753),"")</f>
        <v/>
      </c>
      <c r="Y84" s="52"/>
      <c r="Z84" s="53"/>
      <c r="AD84" s="54"/>
      <c r="BA84" s="55" t="s">
        <v>1</v>
      </c>
    </row>
    <row r="85" spans="1:53" ht="27" customHeight="1" x14ac:dyDescent="0.25">
      <c r="A85" s="42" t="s">
        <v>158</v>
      </c>
      <c r="B85" s="42" t="s">
        <v>159</v>
      </c>
      <c r="C85" s="43">
        <v>4301020228</v>
      </c>
      <c r="D85" s="75">
        <v>4680115882751</v>
      </c>
      <c r="E85" s="73"/>
      <c r="F85" s="44">
        <v>0.45</v>
      </c>
      <c r="G85" s="45">
        <v>10</v>
      </c>
      <c r="H85" s="44">
        <v>4.5</v>
      </c>
      <c r="I85" s="44">
        <v>4.74</v>
      </c>
      <c r="J85" s="45">
        <v>120</v>
      </c>
      <c r="K85" s="45" t="s">
        <v>63</v>
      </c>
      <c r="L85" s="46" t="s">
        <v>99</v>
      </c>
      <c r="M85" s="45">
        <v>90</v>
      </c>
      <c r="N85" s="74" t="s">
        <v>160</v>
      </c>
      <c r="O85" s="72"/>
      <c r="P85" s="72"/>
      <c r="Q85" s="72"/>
      <c r="R85" s="73"/>
      <c r="S85" s="47"/>
      <c r="T85" s="47"/>
      <c r="U85" s="48" t="s">
        <v>65</v>
      </c>
      <c r="V85" s="49">
        <v>0</v>
      </c>
      <c r="W85" s="50">
        <f t="shared" si="4"/>
        <v>0</v>
      </c>
      <c r="X85" s="51" t="str">
        <f>IFERROR(IF(W85=0,"",ROUNDUP(W85/H85,0)*0.00937),"")</f>
        <v/>
      </c>
      <c r="Y85" s="52"/>
      <c r="Z85" s="53"/>
      <c r="AD85" s="54"/>
      <c r="BA85" s="55" t="s">
        <v>1</v>
      </c>
    </row>
    <row r="86" spans="1:53" ht="27" customHeight="1" x14ac:dyDescent="0.25">
      <c r="A86" s="42" t="s">
        <v>161</v>
      </c>
      <c r="B86" s="42" t="s">
        <v>162</v>
      </c>
      <c r="C86" s="43">
        <v>4301020258</v>
      </c>
      <c r="D86" s="75">
        <v>4680115882775</v>
      </c>
      <c r="E86" s="73"/>
      <c r="F86" s="44">
        <v>0.3</v>
      </c>
      <c r="G86" s="45">
        <v>8</v>
      </c>
      <c r="H86" s="44">
        <v>2.4</v>
      </c>
      <c r="I86" s="44">
        <v>2.5</v>
      </c>
      <c r="J86" s="45">
        <v>234</v>
      </c>
      <c r="K86" s="45" t="s">
        <v>163</v>
      </c>
      <c r="L86" s="46" t="s">
        <v>128</v>
      </c>
      <c r="M86" s="45">
        <v>50</v>
      </c>
      <c r="N86" s="74" t="s">
        <v>164</v>
      </c>
      <c r="O86" s="72"/>
      <c r="P86" s="72"/>
      <c r="Q86" s="72"/>
      <c r="R86" s="73"/>
      <c r="S86" s="47"/>
      <c r="T86" s="47"/>
      <c r="U86" s="48" t="s">
        <v>65</v>
      </c>
      <c r="V86" s="49">
        <v>0</v>
      </c>
      <c r="W86" s="50">
        <f t="shared" si="4"/>
        <v>0</v>
      </c>
      <c r="X86" s="51" t="str">
        <f>IFERROR(IF(W86=0,"",ROUNDUP(W86/H86,0)*0.00502),"")</f>
        <v/>
      </c>
      <c r="Y86" s="52"/>
      <c r="Z86" s="53"/>
      <c r="AD86" s="54"/>
      <c r="BA86" s="55" t="s">
        <v>1</v>
      </c>
    </row>
    <row r="87" spans="1:53" ht="27" customHeight="1" x14ac:dyDescent="0.25">
      <c r="A87" s="42" t="s">
        <v>165</v>
      </c>
      <c r="B87" s="42" t="s">
        <v>166</v>
      </c>
      <c r="C87" s="43">
        <v>4301020217</v>
      </c>
      <c r="D87" s="75">
        <v>4680115880658</v>
      </c>
      <c r="E87" s="73"/>
      <c r="F87" s="44">
        <v>0.4</v>
      </c>
      <c r="G87" s="45">
        <v>6</v>
      </c>
      <c r="H87" s="44">
        <v>2.4</v>
      </c>
      <c r="I87" s="44">
        <v>2.6</v>
      </c>
      <c r="J87" s="45">
        <v>156</v>
      </c>
      <c r="K87" s="45" t="s">
        <v>63</v>
      </c>
      <c r="L87" s="46" t="s">
        <v>99</v>
      </c>
      <c r="M87" s="45">
        <v>50</v>
      </c>
      <c r="N87" s="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72"/>
      <c r="P87" s="72"/>
      <c r="Q87" s="72"/>
      <c r="R87" s="73"/>
      <c r="S87" s="47"/>
      <c r="T87" s="47"/>
      <c r="U87" s="48" t="s">
        <v>65</v>
      </c>
      <c r="V87" s="49">
        <v>0</v>
      </c>
      <c r="W87" s="50">
        <f t="shared" si="4"/>
        <v>0</v>
      </c>
      <c r="X87" s="51" t="str">
        <f>IFERROR(IF(W87=0,"",ROUNDUP(W87/H87,0)*0.00753),"")</f>
        <v/>
      </c>
      <c r="Y87" s="52"/>
      <c r="Z87" s="53"/>
      <c r="AD87" s="54"/>
      <c r="BA87" s="55" t="s">
        <v>1</v>
      </c>
    </row>
    <row r="88" spans="1:53" ht="27" customHeight="1" x14ac:dyDescent="0.25">
      <c r="A88" s="42" t="s">
        <v>167</v>
      </c>
      <c r="B88" s="42" t="s">
        <v>168</v>
      </c>
      <c r="C88" s="43">
        <v>4301020223</v>
      </c>
      <c r="D88" s="75">
        <v>4607091381962</v>
      </c>
      <c r="E88" s="73"/>
      <c r="F88" s="44">
        <v>0.5</v>
      </c>
      <c r="G88" s="45">
        <v>6</v>
      </c>
      <c r="H88" s="44">
        <v>3</v>
      </c>
      <c r="I88" s="44">
        <v>3.2</v>
      </c>
      <c r="J88" s="45">
        <v>156</v>
      </c>
      <c r="K88" s="45" t="s">
        <v>63</v>
      </c>
      <c r="L88" s="46" t="s">
        <v>99</v>
      </c>
      <c r="M88" s="45">
        <v>50</v>
      </c>
      <c r="N88" s="7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72"/>
      <c r="P88" s="72"/>
      <c r="Q88" s="72"/>
      <c r="R88" s="73"/>
      <c r="S88" s="47"/>
      <c r="T88" s="47"/>
      <c r="U88" s="48" t="s">
        <v>65</v>
      </c>
      <c r="V88" s="49">
        <v>0</v>
      </c>
      <c r="W88" s="50">
        <f t="shared" si="4"/>
        <v>0</v>
      </c>
      <c r="X88" s="51" t="str">
        <f>IFERROR(IF(W88=0,"",ROUNDUP(W88/H88,0)*0.00753),"")</f>
        <v/>
      </c>
      <c r="Y88" s="52"/>
      <c r="Z88" s="53"/>
      <c r="AD88" s="54"/>
      <c r="BA88" s="55" t="s">
        <v>1</v>
      </c>
    </row>
    <row r="89" spans="1:53" x14ac:dyDescent="0.2">
      <c r="A89" s="79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1"/>
      <c r="N89" s="76" t="s">
        <v>66</v>
      </c>
      <c r="O89" s="77"/>
      <c r="P89" s="77"/>
      <c r="Q89" s="77"/>
      <c r="R89" s="77"/>
      <c r="S89" s="77"/>
      <c r="T89" s="78"/>
      <c r="U89" s="56" t="s">
        <v>67</v>
      </c>
      <c r="V89" s="57">
        <f>IFERROR(V82/H82,"0")+IFERROR(V83/H83,"0")+IFERROR(V84/H84,"0")+IFERROR(V85/H85,"0")+IFERROR(V86/H86,"0")+IFERROR(V87/H87,"0")+IFERROR(V88/H88,"0")</f>
        <v>0</v>
      </c>
      <c r="W89" s="57">
        <f>IFERROR(W82/H82,"0")+IFERROR(W83/H83,"0")+IFERROR(W84/H84,"0")+IFERROR(W85/H85,"0")+IFERROR(W86/H86,"0")+IFERROR(W87/H87,"0")+IFERROR(W88/H88,"0")</f>
        <v>0</v>
      </c>
      <c r="X89" s="57">
        <f>IFERROR(IF(X82="",0,X82),"0")+IFERROR(IF(X83="",0,X83),"0")+IFERROR(IF(X84="",0,X84),"0")+IFERROR(IF(X85="",0,X85),"0")+IFERROR(IF(X86="",0,X86),"0")+IFERROR(IF(X87="",0,X87),"0")+IFERROR(IF(X88="",0,X88),"0")</f>
        <v>0</v>
      </c>
      <c r="Y89" s="58"/>
      <c r="Z89" s="58"/>
    </row>
    <row r="90" spans="1:53" x14ac:dyDescent="0.2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1"/>
      <c r="N90" s="76" t="s">
        <v>66</v>
      </c>
      <c r="O90" s="77"/>
      <c r="P90" s="77"/>
      <c r="Q90" s="77"/>
      <c r="R90" s="77"/>
      <c r="S90" s="77"/>
      <c r="T90" s="78"/>
      <c r="U90" s="56" t="s">
        <v>65</v>
      </c>
      <c r="V90" s="57">
        <f>IFERROR(SUM(V82:V88),"0")</f>
        <v>0</v>
      </c>
      <c r="W90" s="57">
        <f>IFERROR(SUM(W82:W88),"0")</f>
        <v>0</v>
      </c>
      <c r="X90" s="56"/>
      <c r="Y90" s="58"/>
      <c r="Z90" s="58"/>
    </row>
    <row r="91" spans="1:53" ht="14.25" customHeight="1" x14ac:dyDescent="0.25">
      <c r="A91" s="82" t="s">
        <v>60</v>
      </c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67"/>
      <c r="Z91" s="67"/>
    </row>
    <row r="92" spans="1:53" ht="16.5" customHeight="1" x14ac:dyDescent="0.25">
      <c r="A92" s="42" t="s">
        <v>169</v>
      </c>
      <c r="B92" s="42" t="s">
        <v>170</v>
      </c>
      <c r="C92" s="43">
        <v>4301030895</v>
      </c>
      <c r="D92" s="75">
        <v>4607091387667</v>
      </c>
      <c r="E92" s="73"/>
      <c r="F92" s="44">
        <v>0.9</v>
      </c>
      <c r="G92" s="45">
        <v>10</v>
      </c>
      <c r="H92" s="44">
        <v>9</v>
      </c>
      <c r="I92" s="44">
        <v>9.6300000000000008</v>
      </c>
      <c r="J92" s="45">
        <v>56</v>
      </c>
      <c r="K92" s="45" t="s">
        <v>98</v>
      </c>
      <c r="L92" s="46" t="s">
        <v>99</v>
      </c>
      <c r="M92" s="45">
        <v>40</v>
      </c>
      <c r="N92" s="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72"/>
      <c r="P92" s="72"/>
      <c r="Q92" s="72"/>
      <c r="R92" s="73"/>
      <c r="S92" s="47"/>
      <c r="T92" s="47"/>
      <c r="U92" s="48" t="s">
        <v>65</v>
      </c>
      <c r="V92" s="49">
        <v>0</v>
      </c>
      <c r="W92" s="50">
        <f t="shared" ref="W92:W101" si="5">IFERROR(IF(V92="",0,CEILING((V92/$H92),1)*$H92),"")</f>
        <v>0</v>
      </c>
      <c r="X92" s="51" t="str">
        <f>IFERROR(IF(W92=0,"",ROUNDUP(W92/H92,0)*0.02175),"")</f>
        <v/>
      </c>
      <c r="Y92" s="52"/>
      <c r="Z92" s="53"/>
      <c r="AD92" s="54"/>
      <c r="BA92" s="55" t="s">
        <v>1</v>
      </c>
    </row>
    <row r="93" spans="1:53" ht="27" customHeight="1" x14ac:dyDescent="0.25">
      <c r="A93" s="42" t="s">
        <v>171</v>
      </c>
      <c r="B93" s="42" t="s">
        <v>172</v>
      </c>
      <c r="C93" s="43">
        <v>4301030961</v>
      </c>
      <c r="D93" s="75">
        <v>4607091387636</v>
      </c>
      <c r="E93" s="73"/>
      <c r="F93" s="44">
        <v>0.7</v>
      </c>
      <c r="G93" s="45">
        <v>6</v>
      </c>
      <c r="H93" s="44">
        <v>4.2</v>
      </c>
      <c r="I93" s="44">
        <v>4.5</v>
      </c>
      <c r="J93" s="45">
        <v>120</v>
      </c>
      <c r="K93" s="45" t="s">
        <v>63</v>
      </c>
      <c r="L93" s="46" t="s">
        <v>64</v>
      </c>
      <c r="M93" s="45">
        <v>40</v>
      </c>
      <c r="N93" s="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72"/>
      <c r="P93" s="72"/>
      <c r="Q93" s="72"/>
      <c r="R93" s="73"/>
      <c r="S93" s="47"/>
      <c r="T93" s="47"/>
      <c r="U93" s="48" t="s">
        <v>65</v>
      </c>
      <c r="V93" s="49">
        <v>0</v>
      </c>
      <c r="W93" s="50">
        <f t="shared" si="5"/>
        <v>0</v>
      </c>
      <c r="X93" s="51" t="str">
        <f>IFERROR(IF(W93=0,"",ROUNDUP(W93/H93,0)*0.00937),"")</f>
        <v/>
      </c>
      <c r="Y93" s="52"/>
      <c r="Z93" s="53"/>
      <c r="AD93" s="54"/>
      <c r="BA93" s="55" t="s">
        <v>1</v>
      </c>
    </row>
    <row r="94" spans="1:53" ht="27" customHeight="1" x14ac:dyDescent="0.25">
      <c r="A94" s="42" t="s">
        <v>173</v>
      </c>
      <c r="B94" s="42" t="s">
        <v>174</v>
      </c>
      <c r="C94" s="43">
        <v>4301031078</v>
      </c>
      <c r="D94" s="75">
        <v>4607091384727</v>
      </c>
      <c r="E94" s="73"/>
      <c r="F94" s="44">
        <v>0.8</v>
      </c>
      <c r="G94" s="45">
        <v>6</v>
      </c>
      <c r="H94" s="44">
        <v>4.8</v>
      </c>
      <c r="I94" s="44">
        <v>5.16</v>
      </c>
      <c r="J94" s="45">
        <v>104</v>
      </c>
      <c r="K94" s="45" t="s">
        <v>98</v>
      </c>
      <c r="L94" s="46" t="s">
        <v>64</v>
      </c>
      <c r="M94" s="45">
        <v>45</v>
      </c>
      <c r="N94" s="7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72"/>
      <c r="P94" s="72"/>
      <c r="Q94" s="72"/>
      <c r="R94" s="73"/>
      <c r="S94" s="47"/>
      <c r="T94" s="47"/>
      <c r="U94" s="48" t="s">
        <v>65</v>
      </c>
      <c r="V94" s="49">
        <v>0</v>
      </c>
      <c r="W94" s="50">
        <f t="shared" si="5"/>
        <v>0</v>
      </c>
      <c r="X94" s="51" t="str">
        <f>IFERROR(IF(W94=0,"",ROUNDUP(W94/H94,0)*0.01196),"")</f>
        <v/>
      </c>
      <c r="Y94" s="52"/>
      <c r="Z94" s="53"/>
      <c r="AD94" s="54"/>
      <c r="BA94" s="55" t="s">
        <v>1</v>
      </c>
    </row>
    <row r="95" spans="1:53" ht="27" customHeight="1" x14ac:dyDescent="0.25">
      <c r="A95" s="42" t="s">
        <v>175</v>
      </c>
      <c r="B95" s="42" t="s">
        <v>176</v>
      </c>
      <c r="C95" s="43">
        <v>4301031080</v>
      </c>
      <c r="D95" s="75">
        <v>4607091386745</v>
      </c>
      <c r="E95" s="73"/>
      <c r="F95" s="44">
        <v>0.8</v>
      </c>
      <c r="G95" s="45">
        <v>6</v>
      </c>
      <c r="H95" s="44">
        <v>4.8</v>
      </c>
      <c r="I95" s="44">
        <v>5.16</v>
      </c>
      <c r="J95" s="45">
        <v>104</v>
      </c>
      <c r="K95" s="45" t="s">
        <v>98</v>
      </c>
      <c r="L95" s="46" t="s">
        <v>64</v>
      </c>
      <c r="M95" s="45">
        <v>45</v>
      </c>
      <c r="N95" s="7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72"/>
      <c r="P95" s="72"/>
      <c r="Q95" s="72"/>
      <c r="R95" s="73"/>
      <c r="S95" s="47"/>
      <c r="T95" s="47"/>
      <c r="U95" s="48" t="s">
        <v>65</v>
      </c>
      <c r="V95" s="49">
        <v>0</v>
      </c>
      <c r="W95" s="50">
        <f t="shared" si="5"/>
        <v>0</v>
      </c>
      <c r="X95" s="51" t="str">
        <f>IFERROR(IF(W95=0,"",ROUNDUP(W95/H95,0)*0.01196),"")</f>
        <v/>
      </c>
      <c r="Y95" s="52"/>
      <c r="Z95" s="53"/>
      <c r="AD95" s="54"/>
      <c r="BA95" s="55" t="s">
        <v>1</v>
      </c>
    </row>
    <row r="96" spans="1:53" ht="16.5" customHeight="1" x14ac:dyDescent="0.25">
      <c r="A96" s="42" t="s">
        <v>177</v>
      </c>
      <c r="B96" s="42" t="s">
        <v>178</v>
      </c>
      <c r="C96" s="43">
        <v>4301030963</v>
      </c>
      <c r="D96" s="75">
        <v>4607091382426</v>
      </c>
      <c r="E96" s="73"/>
      <c r="F96" s="44">
        <v>0.9</v>
      </c>
      <c r="G96" s="45">
        <v>10</v>
      </c>
      <c r="H96" s="44">
        <v>9</v>
      </c>
      <c r="I96" s="44">
        <v>9.6300000000000008</v>
      </c>
      <c r="J96" s="45">
        <v>56</v>
      </c>
      <c r="K96" s="45" t="s">
        <v>98</v>
      </c>
      <c r="L96" s="46" t="s">
        <v>64</v>
      </c>
      <c r="M96" s="45">
        <v>40</v>
      </c>
      <c r="N96" s="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72"/>
      <c r="P96" s="72"/>
      <c r="Q96" s="72"/>
      <c r="R96" s="73"/>
      <c r="S96" s="47"/>
      <c r="T96" s="47"/>
      <c r="U96" s="48" t="s">
        <v>65</v>
      </c>
      <c r="V96" s="49">
        <v>0</v>
      </c>
      <c r="W96" s="50">
        <f t="shared" si="5"/>
        <v>0</v>
      </c>
      <c r="X96" s="51" t="str">
        <f>IFERROR(IF(W96=0,"",ROUNDUP(W96/H96,0)*0.02175),"")</f>
        <v/>
      </c>
      <c r="Y96" s="52"/>
      <c r="Z96" s="53"/>
      <c r="AD96" s="54"/>
      <c r="BA96" s="55" t="s">
        <v>1</v>
      </c>
    </row>
    <row r="97" spans="1:53" ht="27" customHeight="1" x14ac:dyDescent="0.25">
      <c r="A97" s="42" t="s">
        <v>179</v>
      </c>
      <c r="B97" s="42" t="s">
        <v>180</v>
      </c>
      <c r="C97" s="43">
        <v>4301030962</v>
      </c>
      <c r="D97" s="75">
        <v>4607091386547</v>
      </c>
      <c r="E97" s="73"/>
      <c r="F97" s="44">
        <v>0.35</v>
      </c>
      <c r="G97" s="45">
        <v>8</v>
      </c>
      <c r="H97" s="44">
        <v>2.8</v>
      </c>
      <c r="I97" s="44">
        <v>2.94</v>
      </c>
      <c r="J97" s="45">
        <v>234</v>
      </c>
      <c r="K97" s="45" t="s">
        <v>163</v>
      </c>
      <c r="L97" s="46" t="s">
        <v>64</v>
      </c>
      <c r="M97" s="45">
        <v>40</v>
      </c>
      <c r="N97" s="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72"/>
      <c r="P97" s="72"/>
      <c r="Q97" s="72"/>
      <c r="R97" s="73"/>
      <c r="S97" s="47"/>
      <c r="T97" s="47"/>
      <c r="U97" s="48" t="s">
        <v>65</v>
      </c>
      <c r="V97" s="49">
        <v>0</v>
      </c>
      <c r="W97" s="50">
        <f t="shared" si="5"/>
        <v>0</v>
      </c>
      <c r="X97" s="51" t="str">
        <f>IFERROR(IF(W97=0,"",ROUNDUP(W97/H97,0)*0.00502),"")</f>
        <v/>
      </c>
      <c r="Y97" s="52"/>
      <c r="Z97" s="53"/>
      <c r="AD97" s="54"/>
      <c r="BA97" s="55" t="s">
        <v>1</v>
      </c>
    </row>
    <row r="98" spans="1:53" ht="27" customHeight="1" x14ac:dyDescent="0.25">
      <c r="A98" s="42" t="s">
        <v>181</v>
      </c>
      <c r="B98" s="42" t="s">
        <v>182</v>
      </c>
      <c r="C98" s="43">
        <v>4301031079</v>
      </c>
      <c r="D98" s="75">
        <v>4607091384734</v>
      </c>
      <c r="E98" s="73"/>
      <c r="F98" s="44">
        <v>0.35</v>
      </c>
      <c r="G98" s="45">
        <v>6</v>
      </c>
      <c r="H98" s="44">
        <v>2.1</v>
      </c>
      <c r="I98" s="44">
        <v>2.2000000000000002</v>
      </c>
      <c r="J98" s="45">
        <v>234</v>
      </c>
      <c r="K98" s="45" t="s">
        <v>163</v>
      </c>
      <c r="L98" s="46" t="s">
        <v>64</v>
      </c>
      <c r="M98" s="45">
        <v>45</v>
      </c>
      <c r="N98" s="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72"/>
      <c r="P98" s="72"/>
      <c r="Q98" s="72"/>
      <c r="R98" s="73"/>
      <c r="S98" s="47"/>
      <c r="T98" s="47"/>
      <c r="U98" s="48" t="s">
        <v>65</v>
      </c>
      <c r="V98" s="49">
        <v>0</v>
      </c>
      <c r="W98" s="50">
        <f t="shared" si="5"/>
        <v>0</v>
      </c>
      <c r="X98" s="51" t="str">
        <f>IFERROR(IF(W98=0,"",ROUNDUP(W98/H98,0)*0.00502),"")</f>
        <v/>
      </c>
      <c r="Y98" s="52"/>
      <c r="Z98" s="53"/>
      <c r="AD98" s="54"/>
      <c r="BA98" s="55" t="s">
        <v>1</v>
      </c>
    </row>
    <row r="99" spans="1:53" ht="27" customHeight="1" x14ac:dyDescent="0.25">
      <c r="A99" s="42" t="s">
        <v>183</v>
      </c>
      <c r="B99" s="42" t="s">
        <v>184</v>
      </c>
      <c r="C99" s="43">
        <v>4301030964</v>
      </c>
      <c r="D99" s="75">
        <v>4607091382464</v>
      </c>
      <c r="E99" s="73"/>
      <c r="F99" s="44">
        <v>0.35</v>
      </c>
      <c r="G99" s="45">
        <v>8</v>
      </c>
      <c r="H99" s="44">
        <v>2.8</v>
      </c>
      <c r="I99" s="44">
        <v>2.964</v>
      </c>
      <c r="J99" s="45">
        <v>234</v>
      </c>
      <c r="K99" s="45" t="s">
        <v>163</v>
      </c>
      <c r="L99" s="46" t="s">
        <v>64</v>
      </c>
      <c r="M99" s="45">
        <v>40</v>
      </c>
      <c r="N99" s="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72"/>
      <c r="P99" s="72"/>
      <c r="Q99" s="72"/>
      <c r="R99" s="73"/>
      <c r="S99" s="47"/>
      <c r="T99" s="47"/>
      <c r="U99" s="48" t="s">
        <v>65</v>
      </c>
      <c r="V99" s="49">
        <v>0</v>
      </c>
      <c r="W99" s="50">
        <f t="shared" si="5"/>
        <v>0</v>
      </c>
      <c r="X99" s="51" t="str">
        <f>IFERROR(IF(W99=0,"",ROUNDUP(W99/H99,0)*0.00502),"")</f>
        <v/>
      </c>
      <c r="Y99" s="52"/>
      <c r="Z99" s="53"/>
      <c r="AD99" s="54"/>
      <c r="BA99" s="55" t="s">
        <v>1</v>
      </c>
    </row>
    <row r="100" spans="1:53" ht="27" customHeight="1" x14ac:dyDescent="0.25">
      <c r="A100" s="42" t="s">
        <v>185</v>
      </c>
      <c r="B100" s="42" t="s">
        <v>186</v>
      </c>
      <c r="C100" s="43">
        <v>4301031234</v>
      </c>
      <c r="D100" s="75">
        <v>4680115883444</v>
      </c>
      <c r="E100" s="73"/>
      <c r="F100" s="44">
        <v>0.35</v>
      </c>
      <c r="G100" s="45">
        <v>8</v>
      </c>
      <c r="H100" s="44">
        <v>2.8</v>
      </c>
      <c r="I100" s="44">
        <v>3.0880000000000001</v>
      </c>
      <c r="J100" s="45">
        <v>156</v>
      </c>
      <c r="K100" s="45" t="s">
        <v>63</v>
      </c>
      <c r="L100" s="46" t="s">
        <v>84</v>
      </c>
      <c r="M100" s="45">
        <v>90</v>
      </c>
      <c r="N100" s="74" t="s">
        <v>187</v>
      </c>
      <c r="O100" s="72"/>
      <c r="P100" s="72"/>
      <c r="Q100" s="72"/>
      <c r="R100" s="73"/>
      <c r="S100" s="47"/>
      <c r="T100" s="47"/>
      <c r="U100" s="48" t="s">
        <v>65</v>
      </c>
      <c r="V100" s="49">
        <v>0</v>
      </c>
      <c r="W100" s="50">
        <f t="shared" si="5"/>
        <v>0</v>
      </c>
      <c r="X100" s="51" t="str">
        <f>IFERROR(IF(W100=0,"",ROUNDUP(W100/H100,0)*0.00753),"")</f>
        <v/>
      </c>
      <c r="Y100" s="52"/>
      <c r="Z100" s="53"/>
      <c r="AD100" s="54"/>
      <c r="BA100" s="55" t="s">
        <v>1</v>
      </c>
    </row>
    <row r="101" spans="1:53" ht="27" customHeight="1" x14ac:dyDescent="0.25">
      <c r="A101" s="42" t="s">
        <v>185</v>
      </c>
      <c r="B101" s="42" t="s">
        <v>188</v>
      </c>
      <c r="C101" s="43">
        <v>4301031235</v>
      </c>
      <c r="D101" s="75">
        <v>4680115883444</v>
      </c>
      <c r="E101" s="73"/>
      <c r="F101" s="44">
        <v>0.35</v>
      </c>
      <c r="G101" s="45">
        <v>8</v>
      </c>
      <c r="H101" s="44">
        <v>2.8</v>
      </c>
      <c r="I101" s="44">
        <v>3.0880000000000001</v>
      </c>
      <c r="J101" s="45">
        <v>156</v>
      </c>
      <c r="K101" s="45" t="s">
        <v>63</v>
      </c>
      <c r="L101" s="46" t="s">
        <v>84</v>
      </c>
      <c r="M101" s="45">
        <v>90</v>
      </c>
      <c r="N101" s="74" t="s">
        <v>187</v>
      </c>
      <c r="O101" s="72"/>
      <c r="P101" s="72"/>
      <c r="Q101" s="72"/>
      <c r="R101" s="73"/>
      <c r="S101" s="47"/>
      <c r="T101" s="47"/>
      <c r="U101" s="48" t="s">
        <v>65</v>
      </c>
      <c r="V101" s="49">
        <v>0</v>
      </c>
      <c r="W101" s="50">
        <f t="shared" si="5"/>
        <v>0</v>
      </c>
      <c r="X101" s="51" t="str">
        <f>IFERROR(IF(W101=0,"",ROUNDUP(W101/H101,0)*0.00753),"")</f>
        <v/>
      </c>
      <c r="Y101" s="52"/>
      <c r="Z101" s="53"/>
      <c r="AD101" s="54"/>
      <c r="BA101" s="55" t="s">
        <v>1</v>
      </c>
    </row>
    <row r="102" spans="1:53" x14ac:dyDescent="0.2">
      <c r="A102" s="79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1"/>
      <c r="N102" s="76" t="s">
        <v>66</v>
      </c>
      <c r="O102" s="77"/>
      <c r="P102" s="77"/>
      <c r="Q102" s="77"/>
      <c r="R102" s="77"/>
      <c r="S102" s="77"/>
      <c r="T102" s="78"/>
      <c r="U102" s="56" t="s">
        <v>67</v>
      </c>
      <c r="V102" s="57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57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57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58"/>
      <c r="Z102" s="58"/>
    </row>
    <row r="103" spans="1:53" x14ac:dyDescent="0.2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1"/>
      <c r="N103" s="76" t="s">
        <v>66</v>
      </c>
      <c r="O103" s="77"/>
      <c r="P103" s="77"/>
      <c r="Q103" s="77"/>
      <c r="R103" s="77"/>
      <c r="S103" s="77"/>
      <c r="T103" s="78"/>
      <c r="U103" s="56" t="s">
        <v>65</v>
      </c>
      <c r="V103" s="57">
        <f>IFERROR(SUM(V92:V101),"0")</f>
        <v>0</v>
      </c>
      <c r="W103" s="57">
        <f>IFERROR(SUM(W92:W101),"0")</f>
        <v>0</v>
      </c>
      <c r="X103" s="56"/>
      <c r="Y103" s="58"/>
      <c r="Z103" s="58"/>
    </row>
    <row r="104" spans="1:53" ht="14.25" customHeight="1" x14ac:dyDescent="0.25">
      <c r="A104" s="82" t="s">
        <v>68</v>
      </c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67"/>
      <c r="Z104" s="67"/>
    </row>
    <row r="105" spans="1:53" ht="27" customHeight="1" x14ac:dyDescent="0.25">
      <c r="A105" s="42" t="s">
        <v>189</v>
      </c>
      <c r="B105" s="42" t="s">
        <v>190</v>
      </c>
      <c r="C105" s="43">
        <v>4301051437</v>
      </c>
      <c r="D105" s="75">
        <v>4607091386967</v>
      </c>
      <c r="E105" s="73"/>
      <c r="F105" s="44">
        <v>1.35</v>
      </c>
      <c r="G105" s="45">
        <v>6</v>
      </c>
      <c r="H105" s="44">
        <v>8.1</v>
      </c>
      <c r="I105" s="44">
        <v>8.6639999999999997</v>
      </c>
      <c r="J105" s="45">
        <v>56</v>
      </c>
      <c r="K105" s="45" t="s">
        <v>98</v>
      </c>
      <c r="L105" s="46" t="s">
        <v>128</v>
      </c>
      <c r="M105" s="45">
        <v>45</v>
      </c>
      <c r="N105" s="74" t="s">
        <v>191</v>
      </c>
      <c r="O105" s="72"/>
      <c r="P105" s="72"/>
      <c r="Q105" s="72"/>
      <c r="R105" s="73"/>
      <c r="S105" s="47"/>
      <c r="T105" s="47"/>
      <c r="U105" s="48" t="s">
        <v>65</v>
      </c>
      <c r="V105" s="49">
        <v>0</v>
      </c>
      <c r="W105" s="50">
        <f t="shared" ref="W105:W113" si="6">IFERROR(IF(V105="",0,CEILING((V105/$H105),1)*$H105),"")</f>
        <v>0</v>
      </c>
      <c r="X105" s="51" t="str">
        <f>IFERROR(IF(W105=0,"",ROUNDUP(W105/H105,0)*0.02175),"")</f>
        <v/>
      </c>
      <c r="Y105" s="52"/>
      <c r="Z105" s="53"/>
      <c r="AD105" s="54"/>
      <c r="BA105" s="55" t="s">
        <v>1</v>
      </c>
    </row>
    <row r="106" spans="1:53" ht="27" customHeight="1" x14ac:dyDescent="0.25">
      <c r="A106" s="42" t="s">
        <v>189</v>
      </c>
      <c r="B106" s="42" t="s">
        <v>192</v>
      </c>
      <c r="C106" s="43">
        <v>4301051543</v>
      </c>
      <c r="D106" s="75">
        <v>4607091386967</v>
      </c>
      <c r="E106" s="73"/>
      <c r="F106" s="44">
        <v>1.4</v>
      </c>
      <c r="G106" s="45">
        <v>6</v>
      </c>
      <c r="H106" s="44">
        <v>8.4</v>
      </c>
      <c r="I106" s="44">
        <v>8.9640000000000004</v>
      </c>
      <c r="J106" s="45">
        <v>56</v>
      </c>
      <c r="K106" s="45" t="s">
        <v>98</v>
      </c>
      <c r="L106" s="46" t="s">
        <v>64</v>
      </c>
      <c r="M106" s="45">
        <v>45</v>
      </c>
      <c r="N106" s="74" t="s">
        <v>193</v>
      </c>
      <c r="O106" s="72"/>
      <c r="P106" s="72"/>
      <c r="Q106" s="72"/>
      <c r="R106" s="73"/>
      <c r="S106" s="47"/>
      <c r="T106" s="47"/>
      <c r="U106" s="48" t="s">
        <v>65</v>
      </c>
      <c r="V106" s="49">
        <v>0</v>
      </c>
      <c r="W106" s="50">
        <f t="shared" si="6"/>
        <v>0</v>
      </c>
      <c r="X106" s="51" t="str">
        <f>IFERROR(IF(W106=0,"",ROUNDUP(W106/H106,0)*0.02175),"")</f>
        <v/>
      </c>
      <c r="Y106" s="52"/>
      <c r="Z106" s="53"/>
      <c r="AD106" s="54"/>
      <c r="BA106" s="55" t="s">
        <v>1</v>
      </c>
    </row>
    <row r="107" spans="1:53" ht="16.5" customHeight="1" x14ac:dyDescent="0.25">
      <c r="A107" s="42" t="s">
        <v>194</v>
      </c>
      <c r="B107" s="42" t="s">
        <v>195</v>
      </c>
      <c r="C107" s="43">
        <v>4301051311</v>
      </c>
      <c r="D107" s="75">
        <v>4607091385304</v>
      </c>
      <c r="E107" s="73"/>
      <c r="F107" s="44">
        <v>1.35</v>
      </c>
      <c r="G107" s="45">
        <v>6</v>
      </c>
      <c r="H107" s="44">
        <v>8.1</v>
      </c>
      <c r="I107" s="44">
        <v>8.6639999999999997</v>
      </c>
      <c r="J107" s="45">
        <v>56</v>
      </c>
      <c r="K107" s="45" t="s">
        <v>98</v>
      </c>
      <c r="L107" s="46" t="s">
        <v>64</v>
      </c>
      <c r="M107" s="45">
        <v>40</v>
      </c>
      <c r="N107" s="7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72"/>
      <c r="P107" s="72"/>
      <c r="Q107" s="72"/>
      <c r="R107" s="73"/>
      <c r="S107" s="47"/>
      <c r="T107" s="47"/>
      <c r="U107" s="48" t="s">
        <v>65</v>
      </c>
      <c r="V107" s="49">
        <v>0</v>
      </c>
      <c r="W107" s="50">
        <f t="shared" si="6"/>
        <v>0</v>
      </c>
      <c r="X107" s="51" t="str">
        <f>IFERROR(IF(W107=0,"",ROUNDUP(W107/H107,0)*0.02175),"")</f>
        <v/>
      </c>
      <c r="Y107" s="52"/>
      <c r="Z107" s="53"/>
      <c r="AD107" s="54"/>
      <c r="BA107" s="55" t="s">
        <v>1</v>
      </c>
    </row>
    <row r="108" spans="1:53" ht="16.5" customHeight="1" x14ac:dyDescent="0.25">
      <c r="A108" s="42" t="s">
        <v>196</v>
      </c>
      <c r="B108" s="42" t="s">
        <v>197</v>
      </c>
      <c r="C108" s="43">
        <v>4301051306</v>
      </c>
      <c r="D108" s="75">
        <v>4607091386264</v>
      </c>
      <c r="E108" s="73"/>
      <c r="F108" s="44">
        <v>0.5</v>
      </c>
      <c r="G108" s="45">
        <v>6</v>
      </c>
      <c r="H108" s="44">
        <v>3</v>
      </c>
      <c r="I108" s="44">
        <v>3.278</v>
      </c>
      <c r="J108" s="45">
        <v>156</v>
      </c>
      <c r="K108" s="45" t="s">
        <v>63</v>
      </c>
      <c r="L108" s="46" t="s">
        <v>64</v>
      </c>
      <c r="M108" s="45">
        <v>31</v>
      </c>
      <c r="N108" s="7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72"/>
      <c r="P108" s="72"/>
      <c r="Q108" s="72"/>
      <c r="R108" s="73"/>
      <c r="S108" s="47"/>
      <c r="T108" s="47"/>
      <c r="U108" s="48" t="s">
        <v>65</v>
      </c>
      <c r="V108" s="49">
        <v>0</v>
      </c>
      <c r="W108" s="50">
        <f t="shared" si="6"/>
        <v>0</v>
      </c>
      <c r="X108" s="51" t="str">
        <f>IFERROR(IF(W108=0,"",ROUNDUP(W108/H108,0)*0.00753),"")</f>
        <v/>
      </c>
      <c r="Y108" s="52"/>
      <c r="Z108" s="53"/>
      <c r="AD108" s="54"/>
      <c r="BA108" s="55" t="s">
        <v>1</v>
      </c>
    </row>
    <row r="109" spans="1:53" ht="27" customHeight="1" x14ac:dyDescent="0.25">
      <c r="A109" s="42" t="s">
        <v>198</v>
      </c>
      <c r="B109" s="42" t="s">
        <v>199</v>
      </c>
      <c r="C109" s="43">
        <v>4301051436</v>
      </c>
      <c r="D109" s="75">
        <v>4607091385731</v>
      </c>
      <c r="E109" s="73"/>
      <c r="F109" s="44">
        <v>0.45</v>
      </c>
      <c r="G109" s="45">
        <v>6</v>
      </c>
      <c r="H109" s="44">
        <v>2.7</v>
      </c>
      <c r="I109" s="44">
        <v>2.972</v>
      </c>
      <c r="J109" s="45">
        <v>156</v>
      </c>
      <c r="K109" s="45" t="s">
        <v>63</v>
      </c>
      <c r="L109" s="46" t="s">
        <v>128</v>
      </c>
      <c r="M109" s="45">
        <v>45</v>
      </c>
      <c r="N109" s="74" t="s">
        <v>200</v>
      </c>
      <c r="O109" s="72"/>
      <c r="P109" s="72"/>
      <c r="Q109" s="72"/>
      <c r="R109" s="73"/>
      <c r="S109" s="47"/>
      <c r="T109" s="47"/>
      <c r="U109" s="48" t="s">
        <v>65</v>
      </c>
      <c r="V109" s="49">
        <v>0</v>
      </c>
      <c r="W109" s="50">
        <f t="shared" si="6"/>
        <v>0</v>
      </c>
      <c r="X109" s="51" t="str">
        <f>IFERROR(IF(W109=0,"",ROUNDUP(W109/H109,0)*0.00753),"")</f>
        <v/>
      </c>
      <c r="Y109" s="52"/>
      <c r="Z109" s="53"/>
      <c r="AD109" s="54"/>
      <c r="BA109" s="55" t="s">
        <v>1</v>
      </c>
    </row>
    <row r="110" spans="1:53" ht="27" customHeight="1" x14ac:dyDescent="0.25">
      <c r="A110" s="42" t="s">
        <v>201</v>
      </c>
      <c r="B110" s="42" t="s">
        <v>202</v>
      </c>
      <c r="C110" s="43">
        <v>4301051439</v>
      </c>
      <c r="D110" s="75">
        <v>4680115880214</v>
      </c>
      <c r="E110" s="73"/>
      <c r="F110" s="44">
        <v>0.45</v>
      </c>
      <c r="G110" s="45">
        <v>6</v>
      </c>
      <c r="H110" s="44">
        <v>2.7</v>
      </c>
      <c r="I110" s="44">
        <v>2.988</v>
      </c>
      <c r="J110" s="45">
        <v>120</v>
      </c>
      <c r="K110" s="45" t="s">
        <v>63</v>
      </c>
      <c r="L110" s="46" t="s">
        <v>128</v>
      </c>
      <c r="M110" s="45">
        <v>45</v>
      </c>
      <c r="N110" s="74" t="s">
        <v>203</v>
      </c>
      <c r="O110" s="72"/>
      <c r="P110" s="72"/>
      <c r="Q110" s="72"/>
      <c r="R110" s="73"/>
      <c r="S110" s="47"/>
      <c r="T110" s="47"/>
      <c r="U110" s="48" t="s">
        <v>65</v>
      </c>
      <c r="V110" s="49">
        <v>0</v>
      </c>
      <c r="W110" s="50">
        <f t="shared" si="6"/>
        <v>0</v>
      </c>
      <c r="X110" s="51" t="str">
        <f>IFERROR(IF(W110=0,"",ROUNDUP(W110/H110,0)*0.00937),"")</f>
        <v/>
      </c>
      <c r="Y110" s="52"/>
      <c r="Z110" s="53"/>
      <c r="AD110" s="54"/>
      <c r="BA110" s="55" t="s">
        <v>1</v>
      </c>
    </row>
    <row r="111" spans="1:53" ht="27" customHeight="1" x14ac:dyDescent="0.25">
      <c r="A111" s="42" t="s">
        <v>204</v>
      </c>
      <c r="B111" s="42" t="s">
        <v>205</v>
      </c>
      <c r="C111" s="43">
        <v>4301051438</v>
      </c>
      <c r="D111" s="75">
        <v>4680115880894</v>
      </c>
      <c r="E111" s="73"/>
      <c r="F111" s="44">
        <v>0.33</v>
      </c>
      <c r="G111" s="45">
        <v>6</v>
      </c>
      <c r="H111" s="44">
        <v>1.98</v>
      </c>
      <c r="I111" s="44">
        <v>2.258</v>
      </c>
      <c r="J111" s="45">
        <v>156</v>
      </c>
      <c r="K111" s="45" t="s">
        <v>63</v>
      </c>
      <c r="L111" s="46" t="s">
        <v>128</v>
      </c>
      <c r="M111" s="45">
        <v>45</v>
      </c>
      <c r="N111" s="74" t="s">
        <v>206</v>
      </c>
      <c r="O111" s="72"/>
      <c r="P111" s="72"/>
      <c r="Q111" s="72"/>
      <c r="R111" s="73"/>
      <c r="S111" s="47"/>
      <c r="T111" s="47"/>
      <c r="U111" s="48" t="s">
        <v>65</v>
      </c>
      <c r="V111" s="49">
        <v>0</v>
      </c>
      <c r="W111" s="50">
        <f t="shared" si="6"/>
        <v>0</v>
      </c>
      <c r="X111" s="51" t="str">
        <f>IFERROR(IF(W111=0,"",ROUNDUP(W111/H111,0)*0.00753),"")</f>
        <v/>
      </c>
      <c r="Y111" s="52"/>
      <c r="Z111" s="53"/>
      <c r="AD111" s="54"/>
      <c r="BA111" s="55" t="s">
        <v>1</v>
      </c>
    </row>
    <row r="112" spans="1:53" ht="16.5" customHeight="1" x14ac:dyDescent="0.25">
      <c r="A112" s="42" t="s">
        <v>207</v>
      </c>
      <c r="B112" s="42" t="s">
        <v>208</v>
      </c>
      <c r="C112" s="43">
        <v>4301051313</v>
      </c>
      <c r="D112" s="75">
        <v>4607091385427</v>
      </c>
      <c r="E112" s="73"/>
      <c r="F112" s="44">
        <v>0.5</v>
      </c>
      <c r="G112" s="45">
        <v>6</v>
      </c>
      <c r="H112" s="44">
        <v>3</v>
      </c>
      <c r="I112" s="44">
        <v>3.2719999999999998</v>
      </c>
      <c r="J112" s="45">
        <v>156</v>
      </c>
      <c r="K112" s="45" t="s">
        <v>63</v>
      </c>
      <c r="L112" s="46" t="s">
        <v>64</v>
      </c>
      <c r="M112" s="45">
        <v>40</v>
      </c>
      <c r="N112" s="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72"/>
      <c r="P112" s="72"/>
      <c r="Q112" s="72"/>
      <c r="R112" s="73"/>
      <c r="S112" s="47"/>
      <c r="T112" s="47"/>
      <c r="U112" s="48" t="s">
        <v>65</v>
      </c>
      <c r="V112" s="49">
        <v>0</v>
      </c>
      <c r="W112" s="50">
        <f t="shared" si="6"/>
        <v>0</v>
      </c>
      <c r="X112" s="51" t="str">
        <f>IFERROR(IF(W112=0,"",ROUNDUP(W112/H112,0)*0.00753),"")</f>
        <v/>
      </c>
      <c r="Y112" s="52"/>
      <c r="Z112" s="53"/>
      <c r="AD112" s="54"/>
      <c r="BA112" s="55" t="s">
        <v>1</v>
      </c>
    </row>
    <row r="113" spans="1:53" ht="16.5" customHeight="1" x14ac:dyDescent="0.25">
      <c r="A113" s="42" t="s">
        <v>209</v>
      </c>
      <c r="B113" s="42" t="s">
        <v>210</v>
      </c>
      <c r="C113" s="43">
        <v>4301051480</v>
      </c>
      <c r="D113" s="75">
        <v>4680115882645</v>
      </c>
      <c r="E113" s="73"/>
      <c r="F113" s="44">
        <v>0.3</v>
      </c>
      <c r="G113" s="45">
        <v>6</v>
      </c>
      <c r="H113" s="44">
        <v>1.8</v>
      </c>
      <c r="I113" s="44">
        <v>2.66</v>
      </c>
      <c r="J113" s="45">
        <v>156</v>
      </c>
      <c r="K113" s="45" t="s">
        <v>63</v>
      </c>
      <c r="L113" s="46" t="s">
        <v>64</v>
      </c>
      <c r="M113" s="45">
        <v>40</v>
      </c>
      <c r="N113" s="74" t="s">
        <v>211</v>
      </c>
      <c r="O113" s="72"/>
      <c r="P113" s="72"/>
      <c r="Q113" s="72"/>
      <c r="R113" s="73"/>
      <c r="S113" s="47"/>
      <c r="T113" s="47"/>
      <c r="U113" s="48" t="s">
        <v>65</v>
      </c>
      <c r="V113" s="49">
        <v>0</v>
      </c>
      <c r="W113" s="50">
        <f t="shared" si="6"/>
        <v>0</v>
      </c>
      <c r="X113" s="51" t="str">
        <f>IFERROR(IF(W113=0,"",ROUNDUP(W113/H113,0)*0.00753),"")</f>
        <v/>
      </c>
      <c r="Y113" s="52"/>
      <c r="Z113" s="53"/>
      <c r="AD113" s="54"/>
      <c r="BA113" s="55" t="s">
        <v>1</v>
      </c>
    </row>
    <row r="114" spans="1:53" x14ac:dyDescent="0.2">
      <c r="A114" s="79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1"/>
      <c r="N114" s="76" t="s">
        <v>66</v>
      </c>
      <c r="O114" s="77"/>
      <c r="P114" s="77"/>
      <c r="Q114" s="77"/>
      <c r="R114" s="77"/>
      <c r="S114" s="77"/>
      <c r="T114" s="78"/>
      <c r="U114" s="56" t="s">
        <v>67</v>
      </c>
      <c r="V114" s="57">
        <f>IFERROR(V105/H105,"0")+IFERROR(V106/H106,"0")+IFERROR(V107/H107,"0")+IFERROR(V108/H108,"0")+IFERROR(V109/H109,"0")+IFERROR(V110/H110,"0")+IFERROR(V111/H111,"0")+IFERROR(V112/H112,"0")+IFERROR(V113/H113,"0")</f>
        <v>0</v>
      </c>
      <c r="W114" s="57">
        <f>IFERROR(W105/H105,"0")+IFERROR(W106/H106,"0")+IFERROR(W107/H107,"0")+IFERROR(W108/H108,"0")+IFERROR(W109/H109,"0")+IFERROR(W110/H110,"0")+IFERROR(W111/H111,"0")+IFERROR(W112/H112,"0")+IFERROR(W113/H113,"0")</f>
        <v>0</v>
      </c>
      <c r="X114" s="57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58"/>
      <c r="Z114" s="58"/>
    </row>
    <row r="115" spans="1:53" x14ac:dyDescent="0.2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1"/>
      <c r="N115" s="76" t="s">
        <v>66</v>
      </c>
      <c r="O115" s="77"/>
      <c r="P115" s="77"/>
      <c r="Q115" s="77"/>
      <c r="R115" s="77"/>
      <c r="S115" s="77"/>
      <c r="T115" s="78"/>
      <c r="U115" s="56" t="s">
        <v>65</v>
      </c>
      <c r="V115" s="57">
        <f>IFERROR(SUM(V105:V113),"0")</f>
        <v>0</v>
      </c>
      <c r="W115" s="57">
        <f>IFERROR(SUM(W105:W113),"0")</f>
        <v>0</v>
      </c>
      <c r="X115" s="56"/>
      <c r="Y115" s="58"/>
      <c r="Z115" s="58"/>
    </row>
    <row r="116" spans="1:53" ht="14.25" customHeight="1" x14ac:dyDescent="0.25">
      <c r="A116" s="82" t="s">
        <v>212</v>
      </c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67"/>
      <c r="Z116" s="67"/>
    </row>
    <row r="117" spans="1:53" ht="27" customHeight="1" x14ac:dyDescent="0.25">
      <c r="A117" s="42" t="s">
        <v>213</v>
      </c>
      <c r="B117" s="42" t="s">
        <v>214</v>
      </c>
      <c r="C117" s="43">
        <v>4301060296</v>
      </c>
      <c r="D117" s="75">
        <v>4607091383065</v>
      </c>
      <c r="E117" s="73"/>
      <c r="F117" s="44">
        <v>0.83</v>
      </c>
      <c r="G117" s="45">
        <v>4</v>
      </c>
      <c r="H117" s="44">
        <v>3.32</v>
      </c>
      <c r="I117" s="44">
        <v>3.5819999999999999</v>
      </c>
      <c r="J117" s="45">
        <v>120</v>
      </c>
      <c r="K117" s="45" t="s">
        <v>63</v>
      </c>
      <c r="L117" s="46" t="s">
        <v>64</v>
      </c>
      <c r="M117" s="45">
        <v>30</v>
      </c>
      <c r="N117" s="7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72"/>
      <c r="P117" s="72"/>
      <c r="Q117" s="72"/>
      <c r="R117" s="73"/>
      <c r="S117" s="47"/>
      <c r="T117" s="47"/>
      <c r="U117" s="48" t="s">
        <v>65</v>
      </c>
      <c r="V117" s="49">
        <v>0</v>
      </c>
      <c r="W117" s="50">
        <f>IFERROR(IF(V117="",0,CEILING((V117/$H117),1)*$H117),"")</f>
        <v>0</v>
      </c>
      <c r="X117" s="51" t="str">
        <f>IFERROR(IF(W117=0,"",ROUNDUP(W117/H117,0)*0.00937),"")</f>
        <v/>
      </c>
      <c r="Y117" s="52"/>
      <c r="Z117" s="53"/>
      <c r="AD117" s="54"/>
      <c r="BA117" s="55" t="s">
        <v>1</v>
      </c>
    </row>
    <row r="118" spans="1:53" ht="27" customHeight="1" x14ac:dyDescent="0.25">
      <c r="A118" s="42" t="s">
        <v>215</v>
      </c>
      <c r="B118" s="42" t="s">
        <v>216</v>
      </c>
      <c r="C118" s="43">
        <v>4301060350</v>
      </c>
      <c r="D118" s="75">
        <v>4680115881532</v>
      </c>
      <c r="E118" s="73"/>
      <c r="F118" s="44">
        <v>1.35</v>
      </c>
      <c r="G118" s="45">
        <v>6</v>
      </c>
      <c r="H118" s="44">
        <v>8.1</v>
      </c>
      <c r="I118" s="44">
        <v>8.58</v>
      </c>
      <c r="J118" s="45">
        <v>56</v>
      </c>
      <c r="K118" s="45" t="s">
        <v>98</v>
      </c>
      <c r="L118" s="46" t="s">
        <v>128</v>
      </c>
      <c r="M118" s="45">
        <v>30</v>
      </c>
      <c r="N118" s="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72"/>
      <c r="P118" s="72"/>
      <c r="Q118" s="72"/>
      <c r="R118" s="73"/>
      <c r="S118" s="47"/>
      <c r="T118" s="47"/>
      <c r="U118" s="48" t="s">
        <v>65</v>
      </c>
      <c r="V118" s="49">
        <v>0</v>
      </c>
      <c r="W118" s="50">
        <f>IFERROR(IF(V118="",0,CEILING((V118/$H118),1)*$H118),"")</f>
        <v>0</v>
      </c>
      <c r="X118" s="51" t="str">
        <f>IFERROR(IF(W118=0,"",ROUNDUP(W118/H118,0)*0.02175),"")</f>
        <v/>
      </c>
      <c r="Y118" s="52"/>
      <c r="Z118" s="53"/>
      <c r="AD118" s="54"/>
      <c r="BA118" s="55" t="s">
        <v>1</v>
      </c>
    </row>
    <row r="119" spans="1:53" ht="27" customHeight="1" x14ac:dyDescent="0.25">
      <c r="A119" s="42" t="s">
        <v>217</v>
      </c>
      <c r="B119" s="42" t="s">
        <v>218</v>
      </c>
      <c r="C119" s="43">
        <v>4301060356</v>
      </c>
      <c r="D119" s="75">
        <v>4680115882652</v>
      </c>
      <c r="E119" s="73"/>
      <c r="F119" s="44">
        <v>0.33</v>
      </c>
      <c r="G119" s="45">
        <v>6</v>
      </c>
      <c r="H119" s="44">
        <v>1.98</v>
      </c>
      <c r="I119" s="44">
        <v>2.84</v>
      </c>
      <c r="J119" s="45">
        <v>156</v>
      </c>
      <c r="K119" s="45" t="s">
        <v>63</v>
      </c>
      <c r="L119" s="46" t="s">
        <v>64</v>
      </c>
      <c r="M119" s="45">
        <v>40</v>
      </c>
      <c r="N119" s="74" t="s">
        <v>219</v>
      </c>
      <c r="O119" s="72"/>
      <c r="P119" s="72"/>
      <c r="Q119" s="72"/>
      <c r="R119" s="73"/>
      <c r="S119" s="47"/>
      <c r="T119" s="47"/>
      <c r="U119" s="48" t="s">
        <v>65</v>
      </c>
      <c r="V119" s="49">
        <v>0</v>
      </c>
      <c r="W119" s="50">
        <f>IFERROR(IF(V119="",0,CEILING((V119/$H119),1)*$H119),"")</f>
        <v>0</v>
      </c>
      <c r="X119" s="51" t="str">
        <f>IFERROR(IF(W119=0,"",ROUNDUP(W119/H119,0)*0.00753),"")</f>
        <v/>
      </c>
      <c r="Y119" s="52"/>
      <c r="Z119" s="53"/>
      <c r="AD119" s="54"/>
      <c r="BA119" s="55" t="s">
        <v>1</v>
      </c>
    </row>
    <row r="120" spans="1:53" ht="16.5" customHeight="1" x14ac:dyDescent="0.25">
      <c r="A120" s="42" t="s">
        <v>220</v>
      </c>
      <c r="B120" s="42" t="s">
        <v>221</v>
      </c>
      <c r="C120" s="43">
        <v>4301060309</v>
      </c>
      <c r="D120" s="75">
        <v>4680115880238</v>
      </c>
      <c r="E120" s="73"/>
      <c r="F120" s="44">
        <v>0.33</v>
      </c>
      <c r="G120" s="45">
        <v>6</v>
      </c>
      <c r="H120" s="44">
        <v>1.98</v>
      </c>
      <c r="I120" s="44">
        <v>2.258</v>
      </c>
      <c r="J120" s="45">
        <v>156</v>
      </c>
      <c r="K120" s="45" t="s">
        <v>63</v>
      </c>
      <c r="L120" s="46" t="s">
        <v>64</v>
      </c>
      <c r="M120" s="45">
        <v>40</v>
      </c>
      <c r="N120" s="7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72"/>
      <c r="P120" s="72"/>
      <c r="Q120" s="72"/>
      <c r="R120" s="73"/>
      <c r="S120" s="47"/>
      <c r="T120" s="47"/>
      <c r="U120" s="48" t="s">
        <v>65</v>
      </c>
      <c r="V120" s="49">
        <v>0</v>
      </c>
      <c r="W120" s="50">
        <f>IFERROR(IF(V120="",0,CEILING((V120/$H120),1)*$H120),"")</f>
        <v>0</v>
      </c>
      <c r="X120" s="51" t="str">
        <f>IFERROR(IF(W120=0,"",ROUNDUP(W120/H120,0)*0.00753),"")</f>
        <v/>
      </c>
      <c r="Y120" s="52"/>
      <c r="Z120" s="53"/>
      <c r="AD120" s="54"/>
      <c r="BA120" s="55" t="s">
        <v>1</v>
      </c>
    </row>
    <row r="121" spans="1:53" ht="27" customHeight="1" x14ac:dyDescent="0.25">
      <c r="A121" s="42" t="s">
        <v>222</v>
      </c>
      <c r="B121" s="42" t="s">
        <v>223</v>
      </c>
      <c r="C121" s="43">
        <v>4301060351</v>
      </c>
      <c r="D121" s="75">
        <v>4680115881464</v>
      </c>
      <c r="E121" s="73"/>
      <c r="F121" s="44">
        <v>0.4</v>
      </c>
      <c r="G121" s="45">
        <v>6</v>
      </c>
      <c r="H121" s="44">
        <v>2.4</v>
      </c>
      <c r="I121" s="44">
        <v>2.6</v>
      </c>
      <c r="J121" s="45">
        <v>156</v>
      </c>
      <c r="K121" s="45" t="s">
        <v>63</v>
      </c>
      <c r="L121" s="46" t="s">
        <v>128</v>
      </c>
      <c r="M121" s="45">
        <v>30</v>
      </c>
      <c r="N121" s="74" t="s">
        <v>224</v>
      </c>
      <c r="O121" s="72"/>
      <c r="P121" s="72"/>
      <c r="Q121" s="72"/>
      <c r="R121" s="73"/>
      <c r="S121" s="47"/>
      <c r="T121" s="47"/>
      <c r="U121" s="48" t="s">
        <v>65</v>
      </c>
      <c r="V121" s="49">
        <v>0</v>
      </c>
      <c r="W121" s="50">
        <f>IFERROR(IF(V121="",0,CEILING((V121/$H121),1)*$H121),"")</f>
        <v>0</v>
      </c>
      <c r="X121" s="51" t="str">
        <f>IFERROR(IF(W121=0,"",ROUNDUP(W121/H121,0)*0.00753),"")</f>
        <v/>
      </c>
      <c r="Y121" s="52"/>
      <c r="Z121" s="53"/>
      <c r="AD121" s="54"/>
      <c r="BA121" s="55" t="s">
        <v>1</v>
      </c>
    </row>
    <row r="122" spans="1:53" x14ac:dyDescent="0.2">
      <c r="A122" s="79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1"/>
      <c r="N122" s="76" t="s">
        <v>66</v>
      </c>
      <c r="O122" s="77"/>
      <c r="P122" s="77"/>
      <c r="Q122" s="77"/>
      <c r="R122" s="77"/>
      <c r="S122" s="77"/>
      <c r="T122" s="78"/>
      <c r="U122" s="56" t="s">
        <v>67</v>
      </c>
      <c r="V122" s="57">
        <f>IFERROR(V117/H117,"0")+IFERROR(V118/H118,"0")+IFERROR(V119/H119,"0")+IFERROR(V120/H120,"0")+IFERROR(V121/H121,"0")</f>
        <v>0</v>
      </c>
      <c r="W122" s="57">
        <f>IFERROR(W117/H117,"0")+IFERROR(W118/H118,"0")+IFERROR(W119/H119,"0")+IFERROR(W120/H120,"0")+IFERROR(W121/H121,"0")</f>
        <v>0</v>
      </c>
      <c r="X122" s="57">
        <f>IFERROR(IF(X117="",0,X117),"0")+IFERROR(IF(X118="",0,X118),"0")+IFERROR(IF(X119="",0,X119),"0")+IFERROR(IF(X120="",0,X120),"0")+IFERROR(IF(X121="",0,X121),"0")</f>
        <v>0</v>
      </c>
      <c r="Y122" s="58"/>
      <c r="Z122" s="58"/>
    </row>
    <row r="123" spans="1:53" x14ac:dyDescent="0.2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1"/>
      <c r="N123" s="76" t="s">
        <v>66</v>
      </c>
      <c r="O123" s="77"/>
      <c r="P123" s="77"/>
      <c r="Q123" s="77"/>
      <c r="R123" s="77"/>
      <c r="S123" s="77"/>
      <c r="T123" s="78"/>
      <c r="U123" s="56" t="s">
        <v>65</v>
      </c>
      <c r="V123" s="57">
        <f>IFERROR(SUM(V117:V121),"0")</f>
        <v>0</v>
      </c>
      <c r="W123" s="57">
        <f>IFERROR(SUM(W117:W121),"0")</f>
        <v>0</v>
      </c>
      <c r="X123" s="56"/>
      <c r="Y123" s="58"/>
      <c r="Z123" s="58"/>
    </row>
    <row r="124" spans="1:53" ht="16.5" customHeight="1" x14ac:dyDescent="0.25">
      <c r="A124" s="87" t="s">
        <v>225</v>
      </c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66"/>
      <c r="Z124" s="66"/>
    </row>
    <row r="125" spans="1:53" ht="14.25" customHeight="1" x14ac:dyDescent="0.25">
      <c r="A125" s="82" t="s">
        <v>68</v>
      </c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67"/>
      <c r="Z125" s="67"/>
    </row>
    <row r="126" spans="1:53" ht="27" customHeight="1" x14ac:dyDescent="0.25">
      <c r="A126" s="42" t="s">
        <v>226</v>
      </c>
      <c r="B126" s="42" t="s">
        <v>227</v>
      </c>
      <c r="C126" s="43">
        <v>4301051360</v>
      </c>
      <c r="D126" s="75">
        <v>4607091385168</v>
      </c>
      <c r="E126" s="73"/>
      <c r="F126" s="44">
        <v>1.35</v>
      </c>
      <c r="G126" s="45">
        <v>6</v>
      </c>
      <c r="H126" s="44">
        <v>8.1</v>
      </c>
      <c r="I126" s="44">
        <v>8.6579999999999995</v>
      </c>
      <c r="J126" s="45">
        <v>56</v>
      </c>
      <c r="K126" s="45" t="s">
        <v>98</v>
      </c>
      <c r="L126" s="46" t="s">
        <v>128</v>
      </c>
      <c r="M126" s="45">
        <v>45</v>
      </c>
      <c r="N126" s="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72"/>
      <c r="P126" s="72"/>
      <c r="Q126" s="72"/>
      <c r="R126" s="73"/>
      <c r="S126" s="47"/>
      <c r="T126" s="47"/>
      <c r="U126" s="48" t="s">
        <v>65</v>
      </c>
      <c r="V126" s="49">
        <v>0</v>
      </c>
      <c r="W126" s="50">
        <f>IFERROR(IF(V126="",0,CEILING((V126/$H126),1)*$H126),"")</f>
        <v>0</v>
      </c>
      <c r="X126" s="51" t="str">
        <f>IFERROR(IF(W126=0,"",ROUNDUP(W126/H126,0)*0.02175),"")</f>
        <v/>
      </c>
      <c r="Y126" s="52"/>
      <c r="Z126" s="53"/>
      <c r="AD126" s="54"/>
      <c r="BA126" s="55" t="s">
        <v>1</v>
      </c>
    </row>
    <row r="127" spans="1:53" ht="16.5" customHeight="1" x14ac:dyDescent="0.25">
      <c r="A127" s="42" t="s">
        <v>228</v>
      </c>
      <c r="B127" s="42" t="s">
        <v>229</v>
      </c>
      <c r="C127" s="43">
        <v>4301051362</v>
      </c>
      <c r="D127" s="75">
        <v>4607091383256</v>
      </c>
      <c r="E127" s="73"/>
      <c r="F127" s="44">
        <v>0.33</v>
      </c>
      <c r="G127" s="45">
        <v>6</v>
      </c>
      <c r="H127" s="44">
        <v>1.98</v>
      </c>
      <c r="I127" s="44">
        <v>2.246</v>
      </c>
      <c r="J127" s="45">
        <v>156</v>
      </c>
      <c r="K127" s="45" t="s">
        <v>63</v>
      </c>
      <c r="L127" s="46" t="s">
        <v>128</v>
      </c>
      <c r="M127" s="45">
        <v>45</v>
      </c>
      <c r="N127" s="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72"/>
      <c r="P127" s="72"/>
      <c r="Q127" s="72"/>
      <c r="R127" s="73"/>
      <c r="S127" s="47"/>
      <c r="T127" s="47"/>
      <c r="U127" s="48" t="s">
        <v>65</v>
      </c>
      <c r="V127" s="49">
        <v>0</v>
      </c>
      <c r="W127" s="50">
        <f>IFERROR(IF(V127="",0,CEILING((V127/$H127),1)*$H127),"")</f>
        <v>0</v>
      </c>
      <c r="X127" s="51" t="str">
        <f>IFERROR(IF(W127=0,"",ROUNDUP(W127/H127,0)*0.00753),"")</f>
        <v/>
      </c>
      <c r="Y127" s="52"/>
      <c r="Z127" s="53"/>
      <c r="AD127" s="54"/>
      <c r="BA127" s="55" t="s">
        <v>1</v>
      </c>
    </row>
    <row r="128" spans="1:53" ht="16.5" customHeight="1" x14ac:dyDescent="0.25">
      <c r="A128" s="42" t="s">
        <v>230</v>
      </c>
      <c r="B128" s="42" t="s">
        <v>231</v>
      </c>
      <c r="C128" s="43">
        <v>4301051358</v>
      </c>
      <c r="D128" s="75">
        <v>4607091385748</v>
      </c>
      <c r="E128" s="73"/>
      <c r="F128" s="44">
        <v>0.45</v>
      </c>
      <c r="G128" s="45">
        <v>6</v>
      </c>
      <c r="H128" s="44">
        <v>2.7</v>
      </c>
      <c r="I128" s="44">
        <v>2.972</v>
      </c>
      <c r="J128" s="45">
        <v>156</v>
      </c>
      <c r="K128" s="45" t="s">
        <v>63</v>
      </c>
      <c r="L128" s="46" t="s">
        <v>128</v>
      </c>
      <c r="M128" s="45">
        <v>45</v>
      </c>
      <c r="N128" s="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72"/>
      <c r="P128" s="72"/>
      <c r="Q128" s="72"/>
      <c r="R128" s="73"/>
      <c r="S128" s="47"/>
      <c r="T128" s="47"/>
      <c r="U128" s="48" t="s">
        <v>65</v>
      </c>
      <c r="V128" s="49">
        <v>0</v>
      </c>
      <c r="W128" s="50">
        <f>IFERROR(IF(V128="",0,CEILING((V128/$H128),1)*$H128),"")</f>
        <v>0</v>
      </c>
      <c r="X128" s="51" t="str">
        <f>IFERROR(IF(W128=0,"",ROUNDUP(W128/H128,0)*0.00753),"")</f>
        <v/>
      </c>
      <c r="Y128" s="52"/>
      <c r="Z128" s="53"/>
      <c r="AD128" s="54"/>
      <c r="BA128" s="55" t="s">
        <v>1</v>
      </c>
    </row>
    <row r="129" spans="1:53" x14ac:dyDescent="0.2">
      <c r="A129" s="79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1"/>
      <c r="N129" s="76" t="s">
        <v>66</v>
      </c>
      <c r="O129" s="77"/>
      <c r="P129" s="77"/>
      <c r="Q129" s="77"/>
      <c r="R129" s="77"/>
      <c r="S129" s="77"/>
      <c r="T129" s="78"/>
      <c r="U129" s="56" t="s">
        <v>67</v>
      </c>
      <c r="V129" s="57">
        <f>IFERROR(V126/H126,"0")+IFERROR(V127/H127,"0")+IFERROR(V128/H128,"0")</f>
        <v>0</v>
      </c>
      <c r="W129" s="57">
        <f>IFERROR(W126/H126,"0")+IFERROR(W127/H127,"0")+IFERROR(W128/H128,"0")</f>
        <v>0</v>
      </c>
      <c r="X129" s="57">
        <f>IFERROR(IF(X126="",0,X126),"0")+IFERROR(IF(X127="",0,X127),"0")+IFERROR(IF(X128="",0,X128),"0")</f>
        <v>0</v>
      </c>
      <c r="Y129" s="58"/>
      <c r="Z129" s="58"/>
    </row>
    <row r="130" spans="1:53" x14ac:dyDescent="0.2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1"/>
      <c r="N130" s="76" t="s">
        <v>66</v>
      </c>
      <c r="O130" s="77"/>
      <c r="P130" s="77"/>
      <c r="Q130" s="77"/>
      <c r="R130" s="77"/>
      <c r="S130" s="77"/>
      <c r="T130" s="78"/>
      <c r="U130" s="56" t="s">
        <v>65</v>
      </c>
      <c r="V130" s="57">
        <f>IFERROR(SUM(V126:V128),"0")</f>
        <v>0</v>
      </c>
      <c r="W130" s="57">
        <f>IFERROR(SUM(W126:W128),"0")</f>
        <v>0</v>
      </c>
      <c r="X130" s="56"/>
      <c r="Y130" s="58"/>
      <c r="Z130" s="58"/>
    </row>
    <row r="131" spans="1:53" ht="27.75" customHeight="1" x14ac:dyDescent="0.2">
      <c r="A131" s="101" t="s">
        <v>232</v>
      </c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41"/>
      <c r="Z131" s="41"/>
    </row>
    <row r="132" spans="1:53" ht="16.5" customHeight="1" x14ac:dyDescent="0.25">
      <c r="A132" s="87" t="s">
        <v>233</v>
      </c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66"/>
      <c r="Z132" s="66"/>
    </row>
    <row r="133" spans="1:53" ht="14.25" customHeight="1" x14ac:dyDescent="0.25">
      <c r="A133" s="82" t="s">
        <v>103</v>
      </c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67"/>
      <c r="Z133" s="67"/>
    </row>
    <row r="134" spans="1:53" ht="27" customHeight="1" x14ac:dyDescent="0.25">
      <c r="A134" s="42" t="s">
        <v>234</v>
      </c>
      <c r="B134" s="42" t="s">
        <v>235</v>
      </c>
      <c r="C134" s="43">
        <v>4301011223</v>
      </c>
      <c r="D134" s="75">
        <v>4607091383423</v>
      </c>
      <c r="E134" s="73"/>
      <c r="F134" s="44">
        <v>1.35</v>
      </c>
      <c r="G134" s="45">
        <v>8</v>
      </c>
      <c r="H134" s="44">
        <v>10.8</v>
      </c>
      <c r="I134" s="44">
        <v>11.375999999999999</v>
      </c>
      <c r="J134" s="45">
        <v>56</v>
      </c>
      <c r="K134" s="45" t="s">
        <v>98</v>
      </c>
      <c r="L134" s="46" t="s">
        <v>128</v>
      </c>
      <c r="M134" s="45">
        <v>35</v>
      </c>
      <c r="N134" s="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72"/>
      <c r="P134" s="72"/>
      <c r="Q134" s="72"/>
      <c r="R134" s="73"/>
      <c r="S134" s="47"/>
      <c r="T134" s="47"/>
      <c r="U134" s="48" t="s">
        <v>65</v>
      </c>
      <c r="V134" s="49">
        <v>0</v>
      </c>
      <c r="W134" s="50">
        <f>IFERROR(IF(V134="",0,CEILING((V134/$H134),1)*$H134),"")</f>
        <v>0</v>
      </c>
      <c r="X134" s="51" t="str">
        <f>IFERROR(IF(W134=0,"",ROUNDUP(W134/H134,0)*0.02175),"")</f>
        <v/>
      </c>
      <c r="Y134" s="52"/>
      <c r="Z134" s="53"/>
      <c r="AD134" s="54"/>
      <c r="BA134" s="55" t="s">
        <v>1</v>
      </c>
    </row>
    <row r="135" spans="1:53" ht="27" customHeight="1" x14ac:dyDescent="0.25">
      <c r="A135" s="42" t="s">
        <v>236</v>
      </c>
      <c r="B135" s="42" t="s">
        <v>237</v>
      </c>
      <c r="C135" s="43">
        <v>4301011338</v>
      </c>
      <c r="D135" s="75">
        <v>4607091381405</v>
      </c>
      <c r="E135" s="73"/>
      <c r="F135" s="44">
        <v>1.35</v>
      </c>
      <c r="G135" s="45">
        <v>8</v>
      </c>
      <c r="H135" s="44">
        <v>10.8</v>
      </c>
      <c r="I135" s="44">
        <v>11.375999999999999</v>
      </c>
      <c r="J135" s="45">
        <v>56</v>
      </c>
      <c r="K135" s="45" t="s">
        <v>98</v>
      </c>
      <c r="L135" s="46" t="s">
        <v>64</v>
      </c>
      <c r="M135" s="45">
        <v>35</v>
      </c>
      <c r="N135" s="7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72"/>
      <c r="P135" s="72"/>
      <c r="Q135" s="72"/>
      <c r="R135" s="73"/>
      <c r="S135" s="47"/>
      <c r="T135" s="47"/>
      <c r="U135" s="48" t="s">
        <v>65</v>
      </c>
      <c r="V135" s="49">
        <v>0</v>
      </c>
      <c r="W135" s="50">
        <f>IFERROR(IF(V135="",0,CEILING((V135/$H135),1)*$H135),"")</f>
        <v>0</v>
      </c>
      <c r="X135" s="51" t="str">
        <f>IFERROR(IF(W135=0,"",ROUNDUP(W135/H135,0)*0.02175),"")</f>
        <v/>
      </c>
      <c r="Y135" s="52"/>
      <c r="Z135" s="53"/>
      <c r="AD135" s="54"/>
      <c r="BA135" s="55" t="s">
        <v>1</v>
      </c>
    </row>
    <row r="136" spans="1:53" ht="27" customHeight="1" x14ac:dyDescent="0.25">
      <c r="A136" s="42" t="s">
        <v>238</v>
      </c>
      <c r="B136" s="42" t="s">
        <v>239</v>
      </c>
      <c r="C136" s="43">
        <v>4301011333</v>
      </c>
      <c r="D136" s="75">
        <v>4607091386516</v>
      </c>
      <c r="E136" s="73"/>
      <c r="F136" s="44">
        <v>1.4</v>
      </c>
      <c r="G136" s="45">
        <v>8</v>
      </c>
      <c r="H136" s="44">
        <v>11.2</v>
      </c>
      <c r="I136" s="44">
        <v>11.776</v>
      </c>
      <c r="J136" s="45">
        <v>56</v>
      </c>
      <c r="K136" s="45" t="s">
        <v>98</v>
      </c>
      <c r="L136" s="46" t="s">
        <v>64</v>
      </c>
      <c r="M136" s="45">
        <v>30</v>
      </c>
      <c r="N136" s="7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72"/>
      <c r="P136" s="72"/>
      <c r="Q136" s="72"/>
      <c r="R136" s="73"/>
      <c r="S136" s="47"/>
      <c r="T136" s="47"/>
      <c r="U136" s="48" t="s">
        <v>65</v>
      </c>
      <c r="V136" s="49">
        <v>0</v>
      </c>
      <c r="W136" s="50">
        <f>IFERROR(IF(V136="",0,CEILING((V136/$H136),1)*$H136),"")</f>
        <v>0</v>
      </c>
      <c r="X136" s="51" t="str">
        <f>IFERROR(IF(W136=0,"",ROUNDUP(W136/H136,0)*0.02175),"")</f>
        <v/>
      </c>
      <c r="Y136" s="52"/>
      <c r="Z136" s="53"/>
      <c r="AD136" s="54"/>
      <c r="BA136" s="55" t="s">
        <v>1</v>
      </c>
    </row>
    <row r="137" spans="1:53" x14ac:dyDescent="0.2">
      <c r="A137" s="79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1"/>
      <c r="N137" s="76" t="s">
        <v>66</v>
      </c>
      <c r="O137" s="77"/>
      <c r="P137" s="77"/>
      <c r="Q137" s="77"/>
      <c r="R137" s="77"/>
      <c r="S137" s="77"/>
      <c r="T137" s="78"/>
      <c r="U137" s="56" t="s">
        <v>67</v>
      </c>
      <c r="V137" s="57">
        <f>IFERROR(V134/H134,"0")+IFERROR(V135/H135,"0")+IFERROR(V136/H136,"0")</f>
        <v>0</v>
      </c>
      <c r="W137" s="57">
        <f>IFERROR(W134/H134,"0")+IFERROR(W135/H135,"0")+IFERROR(W136/H136,"0")</f>
        <v>0</v>
      </c>
      <c r="X137" s="57">
        <f>IFERROR(IF(X134="",0,X134),"0")+IFERROR(IF(X135="",0,X135),"0")+IFERROR(IF(X136="",0,X136),"0")</f>
        <v>0</v>
      </c>
      <c r="Y137" s="58"/>
      <c r="Z137" s="58"/>
    </row>
    <row r="138" spans="1:53" x14ac:dyDescent="0.2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1"/>
      <c r="N138" s="76" t="s">
        <v>66</v>
      </c>
      <c r="O138" s="77"/>
      <c r="P138" s="77"/>
      <c r="Q138" s="77"/>
      <c r="R138" s="77"/>
      <c r="S138" s="77"/>
      <c r="T138" s="78"/>
      <c r="U138" s="56" t="s">
        <v>65</v>
      </c>
      <c r="V138" s="57">
        <f>IFERROR(SUM(V134:V136),"0")</f>
        <v>0</v>
      </c>
      <c r="W138" s="57">
        <f>IFERROR(SUM(W134:W136),"0")</f>
        <v>0</v>
      </c>
      <c r="X138" s="56"/>
      <c r="Y138" s="58"/>
      <c r="Z138" s="58"/>
    </row>
    <row r="139" spans="1:53" ht="16.5" customHeight="1" x14ac:dyDescent="0.25">
      <c r="A139" s="87" t="s">
        <v>240</v>
      </c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66"/>
      <c r="Z139" s="66"/>
    </row>
    <row r="140" spans="1:53" ht="14.25" customHeight="1" x14ac:dyDescent="0.25">
      <c r="A140" s="82" t="s">
        <v>60</v>
      </c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67"/>
      <c r="Z140" s="67"/>
    </row>
    <row r="141" spans="1:53" ht="27" customHeight="1" x14ac:dyDescent="0.25">
      <c r="A141" s="42" t="s">
        <v>241</v>
      </c>
      <c r="B141" s="42" t="s">
        <v>242</v>
      </c>
      <c r="C141" s="43">
        <v>4301031191</v>
      </c>
      <c r="D141" s="75">
        <v>4680115880993</v>
      </c>
      <c r="E141" s="73"/>
      <c r="F141" s="44">
        <v>0.7</v>
      </c>
      <c r="G141" s="45">
        <v>6</v>
      </c>
      <c r="H141" s="44">
        <v>4.2</v>
      </c>
      <c r="I141" s="44">
        <v>4.46</v>
      </c>
      <c r="J141" s="45">
        <v>156</v>
      </c>
      <c r="K141" s="45" t="s">
        <v>63</v>
      </c>
      <c r="L141" s="46" t="s">
        <v>64</v>
      </c>
      <c r="M141" s="45">
        <v>40</v>
      </c>
      <c r="N141" s="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72"/>
      <c r="P141" s="72"/>
      <c r="Q141" s="72"/>
      <c r="R141" s="73"/>
      <c r="S141" s="47"/>
      <c r="T141" s="47"/>
      <c r="U141" s="48" t="s">
        <v>65</v>
      </c>
      <c r="V141" s="49">
        <v>0</v>
      </c>
      <c r="W141" s="50">
        <f t="shared" ref="W141:W148" si="7">IFERROR(IF(V141="",0,CEILING((V141/$H141),1)*$H141),"")</f>
        <v>0</v>
      </c>
      <c r="X141" s="51" t="str">
        <f>IFERROR(IF(W141=0,"",ROUNDUP(W141/H141,0)*0.00753),"")</f>
        <v/>
      </c>
      <c r="Y141" s="52"/>
      <c r="Z141" s="53"/>
      <c r="AD141" s="54"/>
      <c r="BA141" s="55" t="s">
        <v>1</v>
      </c>
    </row>
    <row r="142" spans="1:53" ht="27" customHeight="1" x14ac:dyDescent="0.25">
      <c r="A142" s="42" t="s">
        <v>243</v>
      </c>
      <c r="B142" s="42" t="s">
        <v>244</v>
      </c>
      <c r="C142" s="43">
        <v>4301031204</v>
      </c>
      <c r="D142" s="75">
        <v>4680115881761</v>
      </c>
      <c r="E142" s="73"/>
      <c r="F142" s="44">
        <v>0.7</v>
      </c>
      <c r="G142" s="45">
        <v>6</v>
      </c>
      <c r="H142" s="44">
        <v>4.2</v>
      </c>
      <c r="I142" s="44">
        <v>4.46</v>
      </c>
      <c r="J142" s="45">
        <v>156</v>
      </c>
      <c r="K142" s="45" t="s">
        <v>63</v>
      </c>
      <c r="L142" s="46" t="s">
        <v>64</v>
      </c>
      <c r="M142" s="45">
        <v>40</v>
      </c>
      <c r="N142" s="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72"/>
      <c r="P142" s="72"/>
      <c r="Q142" s="72"/>
      <c r="R142" s="73"/>
      <c r="S142" s="47"/>
      <c r="T142" s="47"/>
      <c r="U142" s="48" t="s">
        <v>65</v>
      </c>
      <c r="V142" s="49">
        <v>0</v>
      </c>
      <c r="W142" s="50">
        <f t="shared" si="7"/>
        <v>0</v>
      </c>
      <c r="X142" s="51" t="str">
        <f>IFERROR(IF(W142=0,"",ROUNDUP(W142/H142,0)*0.00753),"")</f>
        <v/>
      </c>
      <c r="Y142" s="52"/>
      <c r="Z142" s="53"/>
      <c r="AD142" s="54"/>
      <c r="BA142" s="55" t="s">
        <v>1</v>
      </c>
    </row>
    <row r="143" spans="1:53" ht="27" customHeight="1" x14ac:dyDescent="0.25">
      <c r="A143" s="42" t="s">
        <v>245</v>
      </c>
      <c r="B143" s="42" t="s">
        <v>246</v>
      </c>
      <c r="C143" s="43">
        <v>4301031201</v>
      </c>
      <c r="D143" s="75">
        <v>4680115881563</v>
      </c>
      <c r="E143" s="73"/>
      <c r="F143" s="44">
        <v>0.7</v>
      </c>
      <c r="G143" s="45">
        <v>6</v>
      </c>
      <c r="H143" s="44">
        <v>4.2</v>
      </c>
      <c r="I143" s="44">
        <v>4.4000000000000004</v>
      </c>
      <c r="J143" s="45">
        <v>156</v>
      </c>
      <c r="K143" s="45" t="s">
        <v>63</v>
      </c>
      <c r="L143" s="46" t="s">
        <v>64</v>
      </c>
      <c r="M143" s="45">
        <v>40</v>
      </c>
      <c r="N143" s="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72"/>
      <c r="P143" s="72"/>
      <c r="Q143" s="72"/>
      <c r="R143" s="73"/>
      <c r="S143" s="47"/>
      <c r="T143" s="47"/>
      <c r="U143" s="48" t="s">
        <v>65</v>
      </c>
      <c r="V143" s="49">
        <v>0</v>
      </c>
      <c r="W143" s="50">
        <f t="shared" si="7"/>
        <v>0</v>
      </c>
      <c r="X143" s="51" t="str">
        <f>IFERROR(IF(W143=0,"",ROUNDUP(W143/H143,0)*0.00753),"")</f>
        <v/>
      </c>
      <c r="Y143" s="52"/>
      <c r="Z143" s="53"/>
      <c r="AD143" s="54"/>
      <c r="BA143" s="55" t="s">
        <v>1</v>
      </c>
    </row>
    <row r="144" spans="1:53" ht="27" customHeight="1" x14ac:dyDescent="0.25">
      <c r="A144" s="42" t="s">
        <v>247</v>
      </c>
      <c r="B144" s="42" t="s">
        <v>248</v>
      </c>
      <c r="C144" s="43">
        <v>4301031199</v>
      </c>
      <c r="D144" s="75">
        <v>4680115880986</v>
      </c>
      <c r="E144" s="73"/>
      <c r="F144" s="44">
        <v>0.35</v>
      </c>
      <c r="G144" s="45">
        <v>6</v>
      </c>
      <c r="H144" s="44">
        <v>2.1</v>
      </c>
      <c r="I144" s="44">
        <v>2.23</v>
      </c>
      <c r="J144" s="45">
        <v>234</v>
      </c>
      <c r="K144" s="45" t="s">
        <v>163</v>
      </c>
      <c r="L144" s="46" t="s">
        <v>64</v>
      </c>
      <c r="M144" s="45">
        <v>40</v>
      </c>
      <c r="N144" s="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72"/>
      <c r="P144" s="72"/>
      <c r="Q144" s="72"/>
      <c r="R144" s="73"/>
      <c r="S144" s="47"/>
      <c r="T144" s="47"/>
      <c r="U144" s="48" t="s">
        <v>65</v>
      </c>
      <c r="V144" s="49">
        <v>4.2</v>
      </c>
      <c r="W144" s="50">
        <f t="shared" si="7"/>
        <v>4.2</v>
      </c>
      <c r="X144" s="51">
        <f>IFERROR(IF(W144=0,"",ROUNDUP(W144/H144,0)*0.00502),"")</f>
        <v>1.004E-2</v>
      </c>
      <c r="Y144" s="52"/>
      <c r="Z144" s="53"/>
      <c r="AD144" s="54"/>
      <c r="BA144" s="55" t="s">
        <v>1</v>
      </c>
    </row>
    <row r="145" spans="1:53" ht="27" customHeight="1" x14ac:dyDescent="0.25">
      <c r="A145" s="42" t="s">
        <v>249</v>
      </c>
      <c r="B145" s="42" t="s">
        <v>250</v>
      </c>
      <c r="C145" s="43">
        <v>4301031190</v>
      </c>
      <c r="D145" s="75">
        <v>4680115880207</v>
      </c>
      <c r="E145" s="73"/>
      <c r="F145" s="44">
        <v>0.4</v>
      </c>
      <c r="G145" s="45">
        <v>6</v>
      </c>
      <c r="H145" s="44">
        <v>2.4</v>
      </c>
      <c r="I145" s="44">
        <v>2.63</v>
      </c>
      <c r="J145" s="45">
        <v>156</v>
      </c>
      <c r="K145" s="45" t="s">
        <v>63</v>
      </c>
      <c r="L145" s="46" t="s">
        <v>64</v>
      </c>
      <c r="M145" s="45">
        <v>40</v>
      </c>
      <c r="N145" s="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72"/>
      <c r="P145" s="72"/>
      <c r="Q145" s="72"/>
      <c r="R145" s="73"/>
      <c r="S145" s="47"/>
      <c r="T145" s="47"/>
      <c r="U145" s="48" t="s">
        <v>65</v>
      </c>
      <c r="V145" s="49">
        <v>0</v>
      </c>
      <c r="W145" s="50">
        <f t="shared" si="7"/>
        <v>0</v>
      </c>
      <c r="X145" s="51" t="str">
        <f>IFERROR(IF(W145=0,"",ROUNDUP(W145/H145,0)*0.00753),"")</f>
        <v/>
      </c>
      <c r="Y145" s="52"/>
      <c r="Z145" s="53"/>
      <c r="AD145" s="54"/>
      <c r="BA145" s="55" t="s">
        <v>1</v>
      </c>
    </row>
    <row r="146" spans="1:53" ht="27" customHeight="1" x14ac:dyDescent="0.25">
      <c r="A146" s="42" t="s">
        <v>251</v>
      </c>
      <c r="B146" s="42" t="s">
        <v>252</v>
      </c>
      <c r="C146" s="43">
        <v>4301031205</v>
      </c>
      <c r="D146" s="75">
        <v>4680115881785</v>
      </c>
      <c r="E146" s="73"/>
      <c r="F146" s="44">
        <v>0.35</v>
      </c>
      <c r="G146" s="45">
        <v>6</v>
      </c>
      <c r="H146" s="44">
        <v>2.1</v>
      </c>
      <c r="I146" s="44">
        <v>2.23</v>
      </c>
      <c r="J146" s="45">
        <v>234</v>
      </c>
      <c r="K146" s="45" t="s">
        <v>163</v>
      </c>
      <c r="L146" s="46" t="s">
        <v>64</v>
      </c>
      <c r="M146" s="45">
        <v>40</v>
      </c>
      <c r="N146" s="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72"/>
      <c r="P146" s="72"/>
      <c r="Q146" s="72"/>
      <c r="R146" s="73"/>
      <c r="S146" s="47"/>
      <c r="T146" s="47"/>
      <c r="U146" s="48" t="s">
        <v>65</v>
      </c>
      <c r="V146" s="49">
        <v>0</v>
      </c>
      <c r="W146" s="50">
        <f t="shared" si="7"/>
        <v>0</v>
      </c>
      <c r="X146" s="51" t="str">
        <f>IFERROR(IF(W146=0,"",ROUNDUP(W146/H146,0)*0.00502),"")</f>
        <v/>
      </c>
      <c r="Y146" s="52"/>
      <c r="Z146" s="53"/>
      <c r="AD146" s="54"/>
      <c r="BA146" s="55" t="s">
        <v>1</v>
      </c>
    </row>
    <row r="147" spans="1:53" ht="27" customHeight="1" x14ac:dyDescent="0.25">
      <c r="A147" s="42" t="s">
        <v>253</v>
      </c>
      <c r="B147" s="42" t="s">
        <v>254</v>
      </c>
      <c r="C147" s="43">
        <v>4301031202</v>
      </c>
      <c r="D147" s="75">
        <v>4680115881679</v>
      </c>
      <c r="E147" s="73"/>
      <c r="F147" s="44">
        <v>0.35</v>
      </c>
      <c r="G147" s="45">
        <v>6</v>
      </c>
      <c r="H147" s="44">
        <v>2.1</v>
      </c>
      <c r="I147" s="44">
        <v>2.2000000000000002</v>
      </c>
      <c r="J147" s="45">
        <v>234</v>
      </c>
      <c r="K147" s="45" t="s">
        <v>163</v>
      </c>
      <c r="L147" s="46" t="s">
        <v>64</v>
      </c>
      <c r="M147" s="45">
        <v>40</v>
      </c>
      <c r="N147" s="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72"/>
      <c r="P147" s="72"/>
      <c r="Q147" s="72"/>
      <c r="R147" s="73"/>
      <c r="S147" s="47"/>
      <c r="T147" s="47"/>
      <c r="U147" s="48" t="s">
        <v>65</v>
      </c>
      <c r="V147" s="49">
        <v>4.2</v>
      </c>
      <c r="W147" s="50">
        <f t="shared" si="7"/>
        <v>4.2</v>
      </c>
      <c r="X147" s="51">
        <f>IFERROR(IF(W147=0,"",ROUNDUP(W147/H147,0)*0.00502),"")</f>
        <v>1.004E-2</v>
      </c>
      <c r="Y147" s="52"/>
      <c r="Z147" s="53"/>
      <c r="AD147" s="54"/>
      <c r="BA147" s="55" t="s">
        <v>1</v>
      </c>
    </row>
    <row r="148" spans="1:53" ht="27" customHeight="1" x14ac:dyDescent="0.25">
      <c r="A148" s="42" t="s">
        <v>255</v>
      </c>
      <c r="B148" s="42" t="s">
        <v>256</v>
      </c>
      <c r="C148" s="43">
        <v>4301031158</v>
      </c>
      <c r="D148" s="75">
        <v>4680115880191</v>
      </c>
      <c r="E148" s="73"/>
      <c r="F148" s="44">
        <v>0.4</v>
      </c>
      <c r="G148" s="45">
        <v>6</v>
      </c>
      <c r="H148" s="44">
        <v>2.4</v>
      </c>
      <c r="I148" s="44">
        <v>2.6</v>
      </c>
      <c r="J148" s="45">
        <v>156</v>
      </c>
      <c r="K148" s="45" t="s">
        <v>63</v>
      </c>
      <c r="L148" s="46" t="s">
        <v>64</v>
      </c>
      <c r="M148" s="45">
        <v>40</v>
      </c>
      <c r="N148" s="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72"/>
      <c r="P148" s="72"/>
      <c r="Q148" s="72"/>
      <c r="R148" s="73"/>
      <c r="S148" s="47"/>
      <c r="T148" s="47"/>
      <c r="U148" s="48" t="s">
        <v>65</v>
      </c>
      <c r="V148" s="49">
        <v>0</v>
      </c>
      <c r="W148" s="50">
        <f t="shared" si="7"/>
        <v>0</v>
      </c>
      <c r="X148" s="51" t="str">
        <f>IFERROR(IF(W148=0,"",ROUNDUP(W148/H148,0)*0.00753),"")</f>
        <v/>
      </c>
      <c r="Y148" s="52"/>
      <c r="Z148" s="53"/>
      <c r="AD148" s="54"/>
      <c r="BA148" s="55" t="s">
        <v>1</v>
      </c>
    </row>
    <row r="149" spans="1:53" x14ac:dyDescent="0.2">
      <c r="A149" s="79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1"/>
      <c r="N149" s="76" t="s">
        <v>66</v>
      </c>
      <c r="O149" s="77"/>
      <c r="P149" s="77"/>
      <c r="Q149" s="77"/>
      <c r="R149" s="77"/>
      <c r="S149" s="77"/>
      <c r="T149" s="78"/>
      <c r="U149" s="56" t="s">
        <v>67</v>
      </c>
      <c r="V149" s="57">
        <f>IFERROR(V141/H141,"0")+IFERROR(V142/H142,"0")+IFERROR(V143/H143,"0")+IFERROR(V144/H144,"0")+IFERROR(V145/H145,"0")+IFERROR(V146/H146,"0")+IFERROR(V147/H147,"0")+IFERROR(V148/H148,"0")</f>
        <v>4</v>
      </c>
      <c r="W149" s="57">
        <f>IFERROR(W141/H141,"0")+IFERROR(W142/H142,"0")+IFERROR(W143/H143,"0")+IFERROR(W144/H144,"0")+IFERROR(W145/H145,"0")+IFERROR(W146/H146,"0")+IFERROR(W147/H147,"0")+IFERROR(W148/H148,"0")</f>
        <v>4</v>
      </c>
      <c r="X149" s="57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2.0080000000000001E-2</v>
      </c>
      <c r="Y149" s="58"/>
      <c r="Z149" s="58"/>
    </row>
    <row r="150" spans="1:53" x14ac:dyDescent="0.2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1"/>
      <c r="N150" s="76" t="s">
        <v>66</v>
      </c>
      <c r="O150" s="77"/>
      <c r="P150" s="77"/>
      <c r="Q150" s="77"/>
      <c r="R150" s="77"/>
      <c r="S150" s="77"/>
      <c r="T150" s="78"/>
      <c r="U150" s="56" t="s">
        <v>65</v>
      </c>
      <c r="V150" s="57">
        <f>IFERROR(SUM(V141:V148),"0")</f>
        <v>8.4</v>
      </c>
      <c r="W150" s="57">
        <f>IFERROR(SUM(W141:W148),"0")</f>
        <v>8.4</v>
      </c>
      <c r="X150" s="56"/>
      <c r="Y150" s="58"/>
      <c r="Z150" s="58"/>
    </row>
    <row r="151" spans="1:53" ht="16.5" customHeight="1" x14ac:dyDescent="0.25">
      <c r="A151" s="87" t="s">
        <v>257</v>
      </c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66"/>
      <c r="Z151" s="66"/>
    </row>
    <row r="152" spans="1:53" ht="14.25" customHeight="1" x14ac:dyDescent="0.25">
      <c r="A152" s="82" t="s">
        <v>103</v>
      </c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67"/>
      <c r="Z152" s="67"/>
    </row>
    <row r="153" spans="1:53" ht="16.5" customHeight="1" x14ac:dyDescent="0.25">
      <c r="A153" s="42" t="s">
        <v>258</v>
      </c>
      <c r="B153" s="42" t="s">
        <v>259</v>
      </c>
      <c r="C153" s="43">
        <v>4301011450</v>
      </c>
      <c r="D153" s="75">
        <v>4680115881402</v>
      </c>
      <c r="E153" s="73"/>
      <c r="F153" s="44">
        <v>1.35</v>
      </c>
      <c r="G153" s="45">
        <v>8</v>
      </c>
      <c r="H153" s="44">
        <v>10.8</v>
      </c>
      <c r="I153" s="44">
        <v>11.28</v>
      </c>
      <c r="J153" s="45">
        <v>56</v>
      </c>
      <c r="K153" s="45" t="s">
        <v>98</v>
      </c>
      <c r="L153" s="46" t="s">
        <v>99</v>
      </c>
      <c r="M153" s="45">
        <v>55</v>
      </c>
      <c r="N153" s="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72"/>
      <c r="P153" s="72"/>
      <c r="Q153" s="72"/>
      <c r="R153" s="73"/>
      <c r="S153" s="47"/>
      <c r="T153" s="47"/>
      <c r="U153" s="48" t="s">
        <v>65</v>
      </c>
      <c r="V153" s="49">
        <v>0</v>
      </c>
      <c r="W153" s="50">
        <f>IFERROR(IF(V153="",0,CEILING((V153/$H153),1)*$H153),"")</f>
        <v>0</v>
      </c>
      <c r="X153" s="51" t="str">
        <f>IFERROR(IF(W153=0,"",ROUNDUP(W153/H153,0)*0.02175),"")</f>
        <v/>
      </c>
      <c r="Y153" s="52"/>
      <c r="Z153" s="53"/>
      <c r="AD153" s="54"/>
      <c r="BA153" s="55" t="s">
        <v>1</v>
      </c>
    </row>
    <row r="154" spans="1:53" ht="27" customHeight="1" x14ac:dyDescent="0.25">
      <c r="A154" s="42" t="s">
        <v>260</v>
      </c>
      <c r="B154" s="42" t="s">
        <v>261</v>
      </c>
      <c r="C154" s="43">
        <v>4301011454</v>
      </c>
      <c r="D154" s="75">
        <v>4680115881396</v>
      </c>
      <c r="E154" s="73"/>
      <c r="F154" s="44">
        <v>0.45</v>
      </c>
      <c r="G154" s="45">
        <v>6</v>
      </c>
      <c r="H154" s="44">
        <v>2.7</v>
      </c>
      <c r="I154" s="44">
        <v>2.9</v>
      </c>
      <c r="J154" s="45">
        <v>156</v>
      </c>
      <c r="K154" s="45" t="s">
        <v>63</v>
      </c>
      <c r="L154" s="46" t="s">
        <v>64</v>
      </c>
      <c r="M154" s="45">
        <v>55</v>
      </c>
      <c r="N154" s="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72"/>
      <c r="P154" s="72"/>
      <c r="Q154" s="72"/>
      <c r="R154" s="73"/>
      <c r="S154" s="47"/>
      <c r="T154" s="47"/>
      <c r="U154" s="48" t="s">
        <v>65</v>
      </c>
      <c r="V154" s="49">
        <v>0</v>
      </c>
      <c r="W154" s="50">
        <f>IFERROR(IF(V154="",0,CEILING((V154/$H154),1)*$H154),"")</f>
        <v>0</v>
      </c>
      <c r="X154" s="51" t="str">
        <f>IFERROR(IF(W154=0,"",ROUNDUP(W154/H154,0)*0.00753),"")</f>
        <v/>
      </c>
      <c r="Y154" s="52"/>
      <c r="Z154" s="53"/>
      <c r="AD154" s="54"/>
      <c r="BA154" s="55" t="s">
        <v>1</v>
      </c>
    </row>
    <row r="155" spans="1:53" x14ac:dyDescent="0.2">
      <c r="A155" s="79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1"/>
      <c r="N155" s="76" t="s">
        <v>66</v>
      </c>
      <c r="O155" s="77"/>
      <c r="P155" s="77"/>
      <c r="Q155" s="77"/>
      <c r="R155" s="77"/>
      <c r="S155" s="77"/>
      <c r="T155" s="78"/>
      <c r="U155" s="56" t="s">
        <v>67</v>
      </c>
      <c r="V155" s="57">
        <f>IFERROR(V153/H153,"0")+IFERROR(V154/H154,"0")</f>
        <v>0</v>
      </c>
      <c r="W155" s="57">
        <f>IFERROR(W153/H153,"0")+IFERROR(W154/H154,"0")</f>
        <v>0</v>
      </c>
      <c r="X155" s="57">
        <f>IFERROR(IF(X153="",0,X153),"0")+IFERROR(IF(X154="",0,X154),"0")</f>
        <v>0</v>
      </c>
      <c r="Y155" s="58"/>
      <c r="Z155" s="58"/>
    </row>
    <row r="156" spans="1:53" x14ac:dyDescent="0.2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1"/>
      <c r="N156" s="76" t="s">
        <v>66</v>
      </c>
      <c r="O156" s="77"/>
      <c r="P156" s="77"/>
      <c r="Q156" s="77"/>
      <c r="R156" s="77"/>
      <c r="S156" s="77"/>
      <c r="T156" s="78"/>
      <c r="U156" s="56" t="s">
        <v>65</v>
      </c>
      <c r="V156" s="57">
        <f>IFERROR(SUM(V153:V154),"0")</f>
        <v>0</v>
      </c>
      <c r="W156" s="57">
        <f>IFERROR(SUM(W153:W154),"0")</f>
        <v>0</v>
      </c>
      <c r="X156" s="56"/>
      <c r="Y156" s="58"/>
      <c r="Z156" s="58"/>
    </row>
    <row r="157" spans="1:53" ht="14.25" customHeight="1" x14ac:dyDescent="0.25">
      <c r="A157" s="82" t="s">
        <v>95</v>
      </c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67"/>
      <c r="Z157" s="67"/>
    </row>
    <row r="158" spans="1:53" ht="16.5" customHeight="1" x14ac:dyDescent="0.25">
      <c r="A158" s="42" t="s">
        <v>262</v>
      </c>
      <c r="B158" s="42" t="s">
        <v>263</v>
      </c>
      <c r="C158" s="43">
        <v>4301020262</v>
      </c>
      <c r="D158" s="75">
        <v>4680115882935</v>
      </c>
      <c r="E158" s="73"/>
      <c r="F158" s="44">
        <v>1.35</v>
      </c>
      <c r="G158" s="45">
        <v>8</v>
      </c>
      <c r="H158" s="44">
        <v>10.8</v>
      </c>
      <c r="I158" s="44">
        <v>11.28</v>
      </c>
      <c r="J158" s="45">
        <v>56</v>
      </c>
      <c r="K158" s="45" t="s">
        <v>98</v>
      </c>
      <c r="L158" s="46" t="s">
        <v>128</v>
      </c>
      <c r="M158" s="45">
        <v>50</v>
      </c>
      <c r="N158" s="74" t="s">
        <v>264</v>
      </c>
      <c r="O158" s="72"/>
      <c r="P158" s="72"/>
      <c r="Q158" s="72"/>
      <c r="R158" s="73"/>
      <c r="S158" s="47"/>
      <c r="T158" s="47"/>
      <c r="U158" s="48" t="s">
        <v>65</v>
      </c>
      <c r="V158" s="49">
        <v>0</v>
      </c>
      <c r="W158" s="50">
        <f>IFERROR(IF(V158="",0,CEILING((V158/$H158),1)*$H158),"")</f>
        <v>0</v>
      </c>
      <c r="X158" s="51" t="str">
        <f>IFERROR(IF(W158=0,"",ROUNDUP(W158/H158,0)*0.02175),"")</f>
        <v/>
      </c>
      <c r="Y158" s="52"/>
      <c r="Z158" s="53"/>
      <c r="AD158" s="54"/>
      <c r="BA158" s="55" t="s">
        <v>1</v>
      </c>
    </row>
    <row r="159" spans="1:53" ht="16.5" customHeight="1" x14ac:dyDescent="0.25">
      <c r="A159" s="42" t="s">
        <v>265</v>
      </c>
      <c r="B159" s="42" t="s">
        <v>266</v>
      </c>
      <c r="C159" s="43">
        <v>4301020220</v>
      </c>
      <c r="D159" s="75">
        <v>4680115880764</v>
      </c>
      <c r="E159" s="73"/>
      <c r="F159" s="44">
        <v>0.35</v>
      </c>
      <c r="G159" s="45">
        <v>6</v>
      </c>
      <c r="H159" s="44">
        <v>2.1</v>
      </c>
      <c r="I159" s="44">
        <v>2.2999999999999998</v>
      </c>
      <c r="J159" s="45">
        <v>156</v>
      </c>
      <c r="K159" s="45" t="s">
        <v>63</v>
      </c>
      <c r="L159" s="46" t="s">
        <v>99</v>
      </c>
      <c r="M159" s="45">
        <v>50</v>
      </c>
      <c r="N159" s="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72"/>
      <c r="P159" s="72"/>
      <c r="Q159" s="72"/>
      <c r="R159" s="73"/>
      <c r="S159" s="47"/>
      <c r="T159" s="47"/>
      <c r="U159" s="48" t="s">
        <v>65</v>
      </c>
      <c r="V159" s="49">
        <v>0</v>
      </c>
      <c r="W159" s="50">
        <f>IFERROR(IF(V159="",0,CEILING((V159/$H159),1)*$H159),"")</f>
        <v>0</v>
      </c>
      <c r="X159" s="51" t="str">
        <f>IFERROR(IF(W159=0,"",ROUNDUP(W159/H159,0)*0.00753),"")</f>
        <v/>
      </c>
      <c r="Y159" s="52"/>
      <c r="Z159" s="53"/>
      <c r="AD159" s="54"/>
      <c r="BA159" s="55" t="s">
        <v>1</v>
      </c>
    </row>
    <row r="160" spans="1:53" x14ac:dyDescent="0.2">
      <c r="A160" s="79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1"/>
      <c r="N160" s="76" t="s">
        <v>66</v>
      </c>
      <c r="O160" s="77"/>
      <c r="P160" s="77"/>
      <c r="Q160" s="77"/>
      <c r="R160" s="77"/>
      <c r="S160" s="77"/>
      <c r="T160" s="78"/>
      <c r="U160" s="56" t="s">
        <v>67</v>
      </c>
      <c r="V160" s="57">
        <f>IFERROR(V158/H158,"0")+IFERROR(V159/H159,"0")</f>
        <v>0</v>
      </c>
      <c r="W160" s="57">
        <f>IFERROR(W158/H158,"0")+IFERROR(W159/H159,"0")</f>
        <v>0</v>
      </c>
      <c r="X160" s="57">
        <f>IFERROR(IF(X158="",0,X158),"0")+IFERROR(IF(X159="",0,X159),"0")</f>
        <v>0</v>
      </c>
      <c r="Y160" s="58"/>
      <c r="Z160" s="58"/>
    </row>
    <row r="161" spans="1:53" x14ac:dyDescent="0.2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1"/>
      <c r="N161" s="76" t="s">
        <v>66</v>
      </c>
      <c r="O161" s="77"/>
      <c r="P161" s="77"/>
      <c r="Q161" s="77"/>
      <c r="R161" s="77"/>
      <c r="S161" s="77"/>
      <c r="T161" s="78"/>
      <c r="U161" s="56" t="s">
        <v>65</v>
      </c>
      <c r="V161" s="57">
        <f>IFERROR(SUM(V158:V159),"0")</f>
        <v>0</v>
      </c>
      <c r="W161" s="57">
        <f>IFERROR(SUM(W158:W159),"0")</f>
        <v>0</v>
      </c>
      <c r="X161" s="56"/>
      <c r="Y161" s="58"/>
      <c r="Z161" s="58"/>
    </row>
    <row r="162" spans="1:53" ht="14.25" customHeight="1" x14ac:dyDescent="0.25">
      <c r="A162" s="82" t="s">
        <v>60</v>
      </c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67"/>
      <c r="Z162" s="67"/>
    </row>
    <row r="163" spans="1:53" ht="27" customHeight="1" x14ac:dyDescent="0.25">
      <c r="A163" s="42" t="s">
        <v>267</v>
      </c>
      <c r="B163" s="42" t="s">
        <v>268</v>
      </c>
      <c r="C163" s="43">
        <v>4301031224</v>
      </c>
      <c r="D163" s="75">
        <v>4680115882683</v>
      </c>
      <c r="E163" s="73"/>
      <c r="F163" s="44">
        <v>0.9</v>
      </c>
      <c r="G163" s="45">
        <v>6</v>
      </c>
      <c r="H163" s="44">
        <v>5.4</v>
      </c>
      <c r="I163" s="44">
        <v>5.61</v>
      </c>
      <c r="J163" s="45">
        <v>120</v>
      </c>
      <c r="K163" s="45" t="s">
        <v>63</v>
      </c>
      <c r="L163" s="46" t="s">
        <v>64</v>
      </c>
      <c r="M163" s="45">
        <v>40</v>
      </c>
      <c r="N163" s="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72"/>
      <c r="P163" s="72"/>
      <c r="Q163" s="72"/>
      <c r="R163" s="73"/>
      <c r="S163" s="47"/>
      <c r="T163" s="47"/>
      <c r="U163" s="48" t="s">
        <v>65</v>
      </c>
      <c r="V163" s="49">
        <v>0</v>
      </c>
      <c r="W163" s="50">
        <f>IFERROR(IF(V163="",0,CEILING((V163/$H163),1)*$H163),"")</f>
        <v>0</v>
      </c>
      <c r="X163" s="51" t="str">
        <f>IFERROR(IF(W163=0,"",ROUNDUP(W163/H163,0)*0.00937),"")</f>
        <v/>
      </c>
      <c r="Y163" s="52"/>
      <c r="Z163" s="53"/>
      <c r="AD163" s="54"/>
      <c r="BA163" s="55" t="s">
        <v>1</v>
      </c>
    </row>
    <row r="164" spans="1:53" ht="27" customHeight="1" x14ac:dyDescent="0.25">
      <c r="A164" s="42" t="s">
        <v>269</v>
      </c>
      <c r="B164" s="42" t="s">
        <v>270</v>
      </c>
      <c r="C164" s="43">
        <v>4301031230</v>
      </c>
      <c r="D164" s="75">
        <v>4680115882690</v>
      </c>
      <c r="E164" s="73"/>
      <c r="F164" s="44">
        <v>0.9</v>
      </c>
      <c r="G164" s="45">
        <v>6</v>
      </c>
      <c r="H164" s="44">
        <v>5.4</v>
      </c>
      <c r="I164" s="44">
        <v>5.61</v>
      </c>
      <c r="J164" s="45">
        <v>120</v>
      </c>
      <c r="K164" s="45" t="s">
        <v>63</v>
      </c>
      <c r="L164" s="46" t="s">
        <v>64</v>
      </c>
      <c r="M164" s="45">
        <v>40</v>
      </c>
      <c r="N164" s="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72"/>
      <c r="P164" s="72"/>
      <c r="Q164" s="72"/>
      <c r="R164" s="73"/>
      <c r="S164" s="47"/>
      <c r="T164" s="47"/>
      <c r="U164" s="48" t="s">
        <v>65</v>
      </c>
      <c r="V164" s="49">
        <v>0</v>
      </c>
      <c r="W164" s="50">
        <f>IFERROR(IF(V164="",0,CEILING((V164/$H164),1)*$H164),"")</f>
        <v>0</v>
      </c>
      <c r="X164" s="51" t="str">
        <f>IFERROR(IF(W164=0,"",ROUNDUP(W164/H164,0)*0.00937),"")</f>
        <v/>
      </c>
      <c r="Y164" s="52"/>
      <c r="Z164" s="53"/>
      <c r="AD164" s="54"/>
      <c r="BA164" s="55" t="s">
        <v>1</v>
      </c>
    </row>
    <row r="165" spans="1:53" ht="27" customHeight="1" x14ac:dyDescent="0.25">
      <c r="A165" s="42" t="s">
        <v>271</v>
      </c>
      <c r="B165" s="42" t="s">
        <v>272</v>
      </c>
      <c r="C165" s="43">
        <v>4301031220</v>
      </c>
      <c r="D165" s="75">
        <v>4680115882669</v>
      </c>
      <c r="E165" s="73"/>
      <c r="F165" s="44">
        <v>0.9</v>
      </c>
      <c r="G165" s="45">
        <v>6</v>
      </c>
      <c r="H165" s="44">
        <v>5.4</v>
      </c>
      <c r="I165" s="44">
        <v>5.61</v>
      </c>
      <c r="J165" s="45">
        <v>120</v>
      </c>
      <c r="K165" s="45" t="s">
        <v>63</v>
      </c>
      <c r="L165" s="46" t="s">
        <v>64</v>
      </c>
      <c r="M165" s="45">
        <v>40</v>
      </c>
      <c r="N165" s="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72"/>
      <c r="P165" s="72"/>
      <c r="Q165" s="72"/>
      <c r="R165" s="73"/>
      <c r="S165" s="47"/>
      <c r="T165" s="47"/>
      <c r="U165" s="48" t="s">
        <v>65</v>
      </c>
      <c r="V165" s="49">
        <v>0</v>
      </c>
      <c r="W165" s="50">
        <f>IFERROR(IF(V165="",0,CEILING((V165/$H165),1)*$H165),"")</f>
        <v>0</v>
      </c>
      <c r="X165" s="51" t="str">
        <f>IFERROR(IF(W165=0,"",ROUNDUP(W165/H165,0)*0.00937),"")</f>
        <v/>
      </c>
      <c r="Y165" s="52"/>
      <c r="Z165" s="53"/>
      <c r="AD165" s="54"/>
      <c r="BA165" s="55" t="s">
        <v>1</v>
      </c>
    </row>
    <row r="166" spans="1:53" ht="27" customHeight="1" x14ac:dyDescent="0.25">
      <c r="A166" s="42" t="s">
        <v>273</v>
      </c>
      <c r="B166" s="42" t="s">
        <v>274</v>
      </c>
      <c r="C166" s="43">
        <v>4301031221</v>
      </c>
      <c r="D166" s="75">
        <v>4680115882676</v>
      </c>
      <c r="E166" s="73"/>
      <c r="F166" s="44">
        <v>0.9</v>
      </c>
      <c r="G166" s="45">
        <v>6</v>
      </c>
      <c r="H166" s="44">
        <v>5.4</v>
      </c>
      <c r="I166" s="44">
        <v>5.61</v>
      </c>
      <c r="J166" s="45">
        <v>120</v>
      </c>
      <c r="K166" s="45" t="s">
        <v>63</v>
      </c>
      <c r="L166" s="46" t="s">
        <v>64</v>
      </c>
      <c r="M166" s="45">
        <v>40</v>
      </c>
      <c r="N166" s="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72"/>
      <c r="P166" s="72"/>
      <c r="Q166" s="72"/>
      <c r="R166" s="73"/>
      <c r="S166" s="47"/>
      <c r="T166" s="47"/>
      <c r="U166" s="48" t="s">
        <v>65</v>
      </c>
      <c r="V166" s="49">
        <v>0</v>
      </c>
      <c r="W166" s="50">
        <f>IFERROR(IF(V166="",0,CEILING((V166/$H166),1)*$H166),"")</f>
        <v>0</v>
      </c>
      <c r="X166" s="51" t="str">
        <f>IFERROR(IF(W166=0,"",ROUNDUP(W166/H166,0)*0.00937),"")</f>
        <v/>
      </c>
      <c r="Y166" s="52"/>
      <c r="Z166" s="53"/>
      <c r="AD166" s="54"/>
      <c r="BA166" s="55" t="s">
        <v>1</v>
      </c>
    </row>
    <row r="167" spans="1:53" x14ac:dyDescent="0.2">
      <c r="A167" s="79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1"/>
      <c r="N167" s="76" t="s">
        <v>66</v>
      </c>
      <c r="O167" s="77"/>
      <c r="P167" s="77"/>
      <c r="Q167" s="77"/>
      <c r="R167" s="77"/>
      <c r="S167" s="77"/>
      <c r="T167" s="78"/>
      <c r="U167" s="56" t="s">
        <v>67</v>
      </c>
      <c r="V167" s="57">
        <f>IFERROR(V163/H163,"0")+IFERROR(V164/H164,"0")+IFERROR(V165/H165,"0")+IFERROR(V166/H166,"0")</f>
        <v>0</v>
      </c>
      <c r="W167" s="57">
        <f>IFERROR(W163/H163,"0")+IFERROR(W164/H164,"0")+IFERROR(W165/H165,"0")+IFERROR(W166/H166,"0")</f>
        <v>0</v>
      </c>
      <c r="X167" s="57">
        <f>IFERROR(IF(X163="",0,X163),"0")+IFERROR(IF(X164="",0,X164),"0")+IFERROR(IF(X165="",0,X165),"0")+IFERROR(IF(X166="",0,X166),"0")</f>
        <v>0</v>
      </c>
      <c r="Y167" s="58"/>
      <c r="Z167" s="58"/>
    </row>
    <row r="168" spans="1:53" x14ac:dyDescent="0.2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1"/>
      <c r="N168" s="76" t="s">
        <v>66</v>
      </c>
      <c r="O168" s="77"/>
      <c r="P168" s="77"/>
      <c r="Q168" s="77"/>
      <c r="R168" s="77"/>
      <c r="S168" s="77"/>
      <c r="T168" s="78"/>
      <c r="U168" s="56" t="s">
        <v>65</v>
      </c>
      <c r="V168" s="57">
        <f>IFERROR(SUM(V163:V166),"0")</f>
        <v>0</v>
      </c>
      <c r="W168" s="57">
        <f>IFERROR(SUM(W163:W166),"0")</f>
        <v>0</v>
      </c>
      <c r="X168" s="56"/>
      <c r="Y168" s="58"/>
      <c r="Z168" s="58"/>
    </row>
    <row r="169" spans="1:53" ht="14.25" customHeight="1" x14ac:dyDescent="0.25">
      <c r="A169" s="82" t="s">
        <v>68</v>
      </c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67"/>
      <c r="Z169" s="67"/>
    </row>
    <row r="170" spans="1:53" ht="27" customHeight="1" x14ac:dyDescent="0.25">
      <c r="A170" s="42" t="s">
        <v>275</v>
      </c>
      <c r="B170" s="42" t="s">
        <v>276</v>
      </c>
      <c r="C170" s="43">
        <v>4301051409</v>
      </c>
      <c r="D170" s="75">
        <v>4680115881556</v>
      </c>
      <c r="E170" s="73"/>
      <c r="F170" s="44">
        <v>1</v>
      </c>
      <c r="G170" s="45">
        <v>4</v>
      </c>
      <c r="H170" s="44">
        <v>4</v>
      </c>
      <c r="I170" s="44">
        <v>4.4080000000000004</v>
      </c>
      <c r="J170" s="45">
        <v>104</v>
      </c>
      <c r="K170" s="45" t="s">
        <v>98</v>
      </c>
      <c r="L170" s="46" t="s">
        <v>128</v>
      </c>
      <c r="M170" s="45">
        <v>45</v>
      </c>
      <c r="N170" s="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72"/>
      <c r="P170" s="72"/>
      <c r="Q170" s="72"/>
      <c r="R170" s="73"/>
      <c r="S170" s="47"/>
      <c r="T170" s="47"/>
      <c r="U170" s="48" t="s">
        <v>65</v>
      </c>
      <c r="V170" s="49">
        <v>0</v>
      </c>
      <c r="W170" s="50">
        <f t="shared" ref="W170:W186" si="8">IFERROR(IF(V170="",0,CEILING((V170/$H170),1)*$H170),"")</f>
        <v>0</v>
      </c>
      <c r="X170" s="51" t="str">
        <f>IFERROR(IF(W170=0,"",ROUNDUP(W170/H170,0)*0.01196),"")</f>
        <v/>
      </c>
      <c r="Y170" s="52"/>
      <c r="Z170" s="53"/>
      <c r="AD170" s="54"/>
      <c r="BA170" s="55" t="s">
        <v>1</v>
      </c>
    </row>
    <row r="171" spans="1:53" ht="16.5" customHeight="1" x14ac:dyDescent="0.25">
      <c r="A171" s="42" t="s">
        <v>277</v>
      </c>
      <c r="B171" s="42" t="s">
        <v>278</v>
      </c>
      <c r="C171" s="43">
        <v>4301051538</v>
      </c>
      <c r="D171" s="75">
        <v>4680115880573</v>
      </c>
      <c r="E171" s="73"/>
      <c r="F171" s="44">
        <v>1.45</v>
      </c>
      <c r="G171" s="45">
        <v>6</v>
      </c>
      <c r="H171" s="44">
        <v>8.6999999999999993</v>
      </c>
      <c r="I171" s="44">
        <v>9.2639999999999993</v>
      </c>
      <c r="J171" s="45">
        <v>56</v>
      </c>
      <c r="K171" s="45" t="s">
        <v>98</v>
      </c>
      <c r="L171" s="46" t="s">
        <v>64</v>
      </c>
      <c r="M171" s="45">
        <v>45</v>
      </c>
      <c r="N171" s="74" t="s">
        <v>279</v>
      </c>
      <c r="O171" s="72"/>
      <c r="P171" s="72"/>
      <c r="Q171" s="72"/>
      <c r="R171" s="73"/>
      <c r="S171" s="47"/>
      <c r="T171" s="47"/>
      <c r="U171" s="48" t="s">
        <v>65</v>
      </c>
      <c r="V171" s="49">
        <v>0</v>
      </c>
      <c r="W171" s="50">
        <f t="shared" si="8"/>
        <v>0</v>
      </c>
      <c r="X171" s="51" t="str">
        <f>IFERROR(IF(W171=0,"",ROUNDUP(W171/H171,0)*0.02175),"")</f>
        <v/>
      </c>
      <c r="Y171" s="52"/>
      <c r="Z171" s="53"/>
      <c r="AD171" s="54"/>
      <c r="BA171" s="55" t="s">
        <v>1</v>
      </c>
    </row>
    <row r="172" spans="1:53" ht="27" customHeight="1" x14ac:dyDescent="0.25">
      <c r="A172" s="42" t="s">
        <v>280</v>
      </c>
      <c r="B172" s="42" t="s">
        <v>281</v>
      </c>
      <c r="C172" s="43">
        <v>4301051408</v>
      </c>
      <c r="D172" s="75">
        <v>4680115881594</v>
      </c>
      <c r="E172" s="73"/>
      <c r="F172" s="44">
        <v>1.35</v>
      </c>
      <c r="G172" s="45">
        <v>6</v>
      </c>
      <c r="H172" s="44">
        <v>8.1</v>
      </c>
      <c r="I172" s="44">
        <v>8.6639999999999997</v>
      </c>
      <c r="J172" s="45">
        <v>56</v>
      </c>
      <c r="K172" s="45" t="s">
        <v>98</v>
      </c>
      <c r="L172" s="46" t="s">
        <v>128</v>
      </c>
      <c r="M172" s="45">
        <v>40</v>
      </c>
      <c r="N172" s="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72"/>
      <c r="P172" s="72"/>
      <c r="Q172" s="72"/>
      <c r="R172" s="73"/>
      <c r="S172" s="47"/>
      <c r="T172" s="47"/>
      <c r="U172" s="48" t="s">
        <v>65</v>
      </c>
      <c r="V172" s="49">
        <v>0</v>
      </c>
      <c r="W172" s="50">
        <f t="shared" si="8"/>
        <v>0</v>
      </c>
      <c r="X172" s="51" t="str">
        <f>IFERROR(IF(W172=0,"",ROUNDUP(W172/H172,0)*0.02175),"")</f>
        <v/>
      </c>
      <c r="Y172" s="52"/>
      <c r="Z172" s="53"/>
      <c r="AD172" s="54"/>
      <c r="BA172" s="55" t="s">
        <v>1</v>
      </c>
    </row>
    <row r="173" spans="1:53" ht="27" customHeight="1" x14ac:dyDescent="0.25">
      <c r="A173" s="42" t="s">
        <v>282</v>
      </c>
      <c r="B173" s="42" t="s">
        <v>283</v>
      </c>
      <c r="C173" s="43">
        <v>4301051505</v>
      </c>
      <c r="D173" s="75">
        <v>4680115881587</v>
      </c>
      <c r="E173" s="73"/>
      <c r="F173" s="44">
        <v>1</v>
      </c>
      <c r="G173" s="45">
        <v>4</v>
      </c>
      <c r="H173" s="44">
        <v>4</v>
      </c>
      <c r="I173" s="44">
        <v>4.4080000000000004</v>
      </c>
      <c r="J173" s="45">
        <v>104</v>
      </c>
      <c r="K173" s="45" t="s">
        <v>98</v>
      </c>
      <c r="L173" s="46" t="s">
        <v>64</v>
      </c>
      <c r="M173" s="45">
        <v>40</v>
      </c>
      <c r="N173" s="74" t="s">
        <v>284</v>
      </c>
      <c r="O173" s="72"/>
      <c r="P173" s="72"/>
      <c r="Q173" s="72"/>
      <c r="R173" s="73"/>
      <c r="S173" s="47"/>
      <c r="T173" s="47"/>
      <c r="U173" s="48" t="s">
        <v>65</v>
      </c>
      <c r="V173" s="49">
        <v>0</v>
      </c>
      <c r="W173" s="50">
        <f t="shared" si="8"/>
        <v>0</v>
      </c>
      <c r="X173" s="51" t="str">
        <f>IFERROR(IF(W173=0,"",ROUNDUP(W173/H173,0)*0.01196),"")</f>
        <v/>
      </c>
      <c r="Y173" s="52"/>
      <c r="Z173" s="53"/>
      <c r="AD173" s="54"/>
      <c r="BA173" s="55" t="s">
        <v>1</v>
      </c>
    </row>
    <row r="174" spans="1:53" ht="16.5" customHeight="1" x14ac:dyDescent="0.25">
      <c r="A174" s="42" t="s">
        <v>285</v>
      </c>
      <c r="B174" s="42" t="s">
        <v>286</v>
      </c>
      <c r="C174" s="43">
        <v>4301051380</v>
      </c>
      <c r="D174" s="75">
        <v>4680115880962</v>
      </c>
      <c r="E174" s="73"/>
      <c r="F174" s="44">
        <v>1.3</v>
      </c>
      <c r="G174" s="45">
        <v>6</v>
      </c>
      <c r="H174" s="44">
        <v>7.8</v>
      </c>
      <c r="I174" s="44">
        <v>8.3640000000000008</v>
      </c>
      <c r="J174" s="45">
        <v>56</v>
      </c>
      <c r="K174" s="45" t="s">
        <v>98</v>
      </c>
      <c r="L174" s="46" t="s">
        <v>64</v>
      </c>
      <c r="M174" s="45">
        <v>40</v>
      </c>
      <c r="N174" s="7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72"/>
      <c r="P174" s="72"/>
      <c r="Q174" s="72"/>
      <c r="R174" s="73"/>
      <c r="S174" s="47"/>
      <c r="T174" s="47"/>
      <c r="U174" s="48" t="s">
        <v>65</v>
      </c>
      <c r="V174" s="49">
        <v>7.8</v>
      </c>
      <c r="W174" s="50">
        <f t="shared" si="8"/>
        <v>7.8</v>
      </c>
      <c r="X174" s="51">
        <f>IFERROR(IF(W174=0,"",ROUNDUP(W174/H174,0)*0.02175),"")</f>
        <v>2.1749999999999999E-2</v>
      </c>
      <c r="Y174" s="52"/>
      <c r="Z174" s="53"/>
      <c r="AD174" s="54"/>
      <c r="BA174" s="55" t="s">
        <v>1</v>
      </c>
    </row>
    <row r="175" spans="1:53" ht="27" customHeight="1" x14ac:dyDescent="0.25">
      <c r="A175" s="42" t="s">
        <v>287</v>
      </c>
      <c r="B175" s="42" t="s">
        <v>288</v>
      </c>
      <c r="C175" s="43">
        <v>4301051411</v>
      </c>
      <c r="D175" s="75">
        <v>4680115881617</v>
      </c>
      <c r="E175" s="73"/>
      <c r="F175" s="44">
        <v>1.35</v>
      </c>
      <c r="G175" s="45">
        <v>6</v>
      </c>
      <c r="H175" s="44">
        <v>8.1</v>
      </c>
      <c r="I175" s="44">
        <v>8.6460000000000008</v>
      </c>
      <c r="J175" s="45">
        <v>56</v>
      </c>
      <c r="K175" s="45" t="s">
        <v>98</v>
      </c>
      <c r="L175" s="46" t="s">
        <v>128</v>
      </c>
      <c r="M175" s="45">
        <v>40</v>
      </c>
      <c r="N175" s="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72"/>
      <c r="P175" s="72"/>
      <c r="Q175" s="72"/>
      <c r="R175" s="73"/>
      <c r="S175" s="47"/>
      <c r="T175" s="47"/>
      <c r="U175" s="48" t="s">
        <v>65</v>
      </c>
      <c r="V175" s="49">
        <v>0</v>
      </c>
      <c r="W175" s="50">
        <f t="shared" si="8"/>
        <v>0</v>
      </c>
      <c r="X175" s="51" t="str">
        <f>IFERROR(IF(W175=0,"",ROUNDUP(W175/H175,0)*0.02175),"")</f>
        <v/>
      </c>
      <c r="Y175" s="52"/>
      <c r="Z175" s="53"/>
      <c r="AD175" s="54"/>
      <c r="BA175" s="55" t="s">
        <v>1</v>
      </c>
    </row>
    <row r="176" spans="1:53" ht="27" customHeight="1" x14ac:dyDescent="0.25">
      <c r="A176" s="42" t="s">
        <v>289</v>
      </c>
      <c r="B176" s="42" t="s">
        <v>290</v>
      </c>
      <c r="C176" s="43">
        <v>4301051487</v>
      </c>
      <c r="D176" s="75">
        <v>4680115881228</v>
      </c>
      <c r="E176" s="73"/>
      <c r="F176" s="44">
        <v>0.4</v>
      </c>
      <c r="G176" s="45">
        <v>6</v>
      </c>
      <c r="H176" s="44">
        <v>2.4</v>
      </c>
      <c r="I176" s="44">
        <v>2.6720000000000002</v>
      </c>
      <c r="J176" s="45">
        <v>156</v>
      </c>
      <c r="K176" s="45" t="s">
        <v>63</v>
      </c>
      <c r="L176" s="46" t="s">
        <v>64</v>
      </c>
      <c r="M176" s="45">
        <v>40</v>
      </c>
      <c r="N176" s="74" t="s">
        <v>291</v>
      </c>
      <c r="O176" s="72"/>
      <c r="P176" s="72"/>
      <c r="Q176" s="72"/>
      <c r="R176" s="73"/>
      <c r="S176" s="47"/>
      <c r="T176" s="47"/>
      <c r="U176" s="48" t="s">
        <v>65</v>
      </c>
      <c r="V176" s="49">
        <v>0</v>
      </c>
      <c r="W176" s="50">
        <f t="shared" si="8"/>
        <v>0</v>
      </c>
      <c r="X176" s="51" t="str">
        <f>IFERROR(IF(W176=0,"",ROUNDUP(W176/H176,0)*0.00753),"")</f>
        <v/>
      </c>
      <c r="Y176" s="52"/>
      <c r="Z176" s="53"/>
      <c r="AD176" s="54"/>
      <c r="BA176" s="55" t="s">
        <v>1</v>
      </c>
    </row>
    <row r="177" spans="1:53" ht="27" customHeight="1" x14ac:dyDescent="0.25">
      <c r="A177" s="42" t="s">
        <v>292</v>
      </c>
      <c r="B177" s="42" t="s">
        <v>293</v>
      </c>
      <c r="C177" s="43">
        <v>4301051506</v>
      </c>
      <c r="D177" s="75">
        <v>4680115881037</v>
      </c>
      <c r="E177" s="73"/>
      <c r="F177" s="44">
        <v>0.84</v>
      </c>
      <c r="G177" s="45">
        <v>4</v>
      </c>
      <c r="H177" s="44">
        <v>3.36</v>
      </c>
      <c r="I177" s="44">
        <v>3.6179999999999999</v>
      </c>
      <c r="J177" s="45">
        <v>120</v>
      </c>
      <c r="K177" s="45" t="s">
        <v>63</v>
      </c>
      <c r="L177" s="46" t="s">
        <v>64</v>
      </c>
      <c r="M177" s="45">
        <v>40</v>
      </c>
      <c r="N177" s="74" t="s">
        <v>294</v>
      </c>
      <c r="O177" s="72"/>
      <c r="P177" s="72"/>
      <c r="Q177" s="72"/>
      <c r="R177" s="73"/>
      <c r="S177" s="47"/>
      <c r="T177" s="47"/>
      <c r="U177" s="48" t="s">
        <v>65</v>
      </c>
      <c r="V177" s="49">
        <v>0</v>
      </c>
      <c r="W177" s="50">
        <f t="shared" si="8"/>
        <v>0</v>
      </c>
      <c r="X177" s="51" t="str">
        <f>IFERROR(IF(W177=0,"",ROUNDUP(W177/H177,0)*0.00937),"")</f>
        <v/>
      </c>
      <c r="Y177" s="52"/>
      <c r="Z177" s="53"/>
      <c r="AD177" s="54"/>
      <c r="BA177" s="55" t="s">
        <v>1</v>
      </c>
    </row>
    <row r="178" spans="1:53" ht="27" customHeight="1" x14ac:dyDescent="0.25">
      <c r="A178" s="42" t="s">
        <v>295</v>
      </c>
      <c r="B178" s="42" t="s">
        <v>296</v>
      </c>
      <c r="C178" s="43">
        <v>4301051384</v>
      </c>
      <c r="D178" s="75">
        <v>4680115881211</v>
      </c>
      <c r="E178" s="73"/>
      <c r="F178" s="44">
        <v>0.4</v>
      </c>
      <c r="G178" s="45">
        <v>6</v>
      </c>
      <c r="H178" s="44">
        <v>2.4</v>
      </c>
      <c r="I178" s="44">
        <v>2.6</v>
      </c>
      <c r="J178" s="45">
        <v>156</v>
      </c>
      <c r="K178" s="45" t="s">
        <v>63</v>
      </c>
      <c r="L178" s="46" t="s">
        <v>64</v>
      </c>
      <c r="M178" s="45">
        <v>45</v>
      </c>
      <c r="N178" s="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72"/>
      <c r="P178" s="72"/>
      <c r="Q178" s="72"/>
      <c r="R178" s="73"/>
      <c r="S178" s="47"/>
      <c r="T178" s="47"/>
      <c r="U178" s="48" t="s">
        <v>65</v>
      </c>
      <c r="V178" s="49">
        <v>0</v>
      </c>
      <c r="W178" s="50">
        <f t="shared" si="8"/>
        <v>0</v>
      </c>
      <c r="X178" s="51" t="str">
        <f>IFERROR(IF(W178=0,"",ROUNDUP(W178/H178,0)*0.00753),"")</f>
        <v/>
      </c>
      <c r="Y178" s="52"/>
      <c r="Z178" s="53"/>
      <c r="AD178" s="54"/>
      <c r="BA178" s="55" t="s">
        <v>1</v>
      </c>
    </row>
    <row r="179" spans="1:53" ht="27" customHeight="1" x14ac:dyDescent="0.25">
      <c r="A179" s="42" t="s">
        <v>297</v>
      </c>
      <c r="B179" s="42" t="s">
        <v>298</v>
      </c>
      <c r="C179" s="43">
        <v>4301051378</v>
      </c>
      <c r="D179" s="75">
        <v>4680115881020</v>
      </c>
      <c r="E179" s="73"/>
      <c r="F179" s="44">
        <v>0.84</v>
      </c>
      <c r="G179" s="45">
        <v>4</v>
      </c>
      <c r="H179" s="44">
        <v>3.36</v>
      </c>
      <c r="I179" s="44">
        <v>3.57</v>
      </c>
      <c r="J179" s="45">
        <v>120</v>
      </c>
      <c r="K179" s="45" t="s">
        <v>63</v>
      </c>
      <c r="L179" s="46" t="s">
        <v>64</v>
      </c>
      <c r="M179" s="45">
        <v>45</v>
      </c>
      <c r="N179" s="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72"/>
      <c r="P179" s="72"/>
      <c r="Q179" s="72"/>
      <c r="R179" s="73"/>
      <c r="S179" s="47"/>
      <c r="T179" s="47"/>
      <c r="U179" s="48" t="s">
        <v>65</v>
      </c>
      <c r="V179" s="49">
        <v>0</v>
      </c>
      <c r="W179" s="50">
        <f t="shared" si="8"/>
        <v>0</v>
      </c>
      <c r="X179" s="51" t="str">
        <f>IFERROR(IF(W179=0,"",ROUNDUP(W179/H179,0)*0.00937),"")</f>
        <v/>
      </c>
      <c r="Y179" s="52"/>
      <c r="Z179" s="53"/>
      <c r="AD179" s="54"/>
      <c r="BA179" s="55" t="s">
        <v>1</v>
      </c>
    </row>
    <row r="180" spans="1:53" ht="27" customHeight="1" x14ac:dyDescent="0.25">
      <c r="A180" s="42" t="s">
        <v>299</v>
      </c>
      <c r="B180" s="42" t="s">
        <v>300</v>
      </c>
      <c r="C180" s="43">
        <v>4301051407</v>
      </c>
      <c r="D180" s="75">
        <v>4680115882195</v>
      </c>
      <c r="E180" s="73"/>
      <c r="F180" s="44">
        <v>0.4</v>
      </c>
      <c r="G180" s="45">
        <v>6</v>
      </c>
      <c r="H180" s="44">
        <v>2.4</v>
      </c>
      <c r="I180" s="44">
        <v>2.69</v>
      </c>
      <c r="J180" s="45">
        <v>156</v>
      </c>
      <c r="K180" s="45" t="s">
        <v>63</v>
      </c>
      <c r="L180" s="46" t="s">
        <v>128</v>
      </c>
      <c r="M180" s="45">
        <v>40</v>
      </c>
      <c r="N180" s="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72"/>
      <c r="P180" s="72"/>
      <c r="Q180" s="72"/>
      <c r="R180" s="73"/>
      <c r="S180" s="47"/>
      <c r="T180" s="47"/>
      <c r="U180" s="48" t="s">
        <v>65</v>
      </c>
      <c r="V180" s="49">
        <v>0</v>
      </c>
      <c r="W180" s="50">
        <f t="shared" si="8"/>
        <v>0</v>
      </c>
      <c r="X180" s="51" t="str">
        <f t="shared" ref="X180:X186" si="9">IFERROR(IF(W180=0,"",ROUNDUP(W180/H180,0)*0.00753),"")</f>
        <v/>
      </c>
      <c r="Y180" s="52"/>
      <c r="Z180" s="53"/>
      <c r="AD180" s="54"/>
      <c r="BA180" s="55" t="s">
        <v>1</v>
      </c>
    </row>
    <row r="181" spans="1:53" ht="27" customHeight="1" x14ac:dyDescent="0.25">
      <c r="A181" s="42" t="s">
        <v>301</v>
      </c>
      <c r="B181" s="42" t="s">
        <v>302</v>
      </c>
      <c r="C181" s="43">
        <v>4301051479</v>
      </c>
      <c r="D181" s="75">
        <v>4680115882607</v>
      </c>
      <c r="E181" s="73"/>
      <c r="F181" s="44">
        <v>0.3</v>
      </c>
      <c r="G181" s="45">
        <v>6</v>
      </c>
      <c r="H181" s="44">
        <v>1.8</v>
      </c>
      <c r="I181" s="44">
        <v>2.0720000000000001</v>
      </c>
      <c r="J181" s="45">
        <v>156</v>
      </c>
      <c r="K181" s="45" t="s">
        <v>63</v>
      </c>
      <c r="L181" s="46" t="s">
        <v>128</v>
      </c>
      <c r="M181" s="45">
        <v>45</v>
      </c>
      <c r="N181" s="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72"/>
      <c r="P181" s="72"/>
      <c r="Q181" s="72"/>
      <c r="R181" s="73"/>
      <c r="S181" s="47"/>
      <c r="T181" s="47"/>
      <c r="U181" s="48" t="s">
        <v>65</v>
      </c>
      <c r="V181" s="49">
        <v>0</v>
      </c>
      <c r="W181" s="50">
        <f t="shared" si="8"/>
        <v>0</v>
      </c>
      <c r="X181" s="51" t="str">
        <f t="shared" si="9"/>
        <v/>
      </c>
      <c r="Y181" s="52"/>
      <c r="Z181" s="53"/>
      <c r="AD181" s="54"/>
      <c r="BA181" s="55" t="s">
        <v>1</v>
      </c>
    </row>
    <row r="182" spans="1:53" ht="27" customHeight="1" x14ac:dyDescent="0.25">
      <c r="A182" s="42" t="s">
        <v>303</v>
      </c>
      <c r="B182" s="42" t="s">
        <v>304</v>
      </c>
      <c r="C182" s="43">
        <v>4301051468</v>
      </c>
      <c r="D182" s="75">
        <v>4680115880092</v>
      </c>
      <c r="E182" s="73"/>
      <c r="F182" s="44">
        <v>0.4</v>
      </c>
      <c r="G182" s="45">
        <v>6</v>
      </c>
      <c r="H182" s="44">
        <v>2.4</v>
      </c>
      <c r="I182" s="44">
        <v>2.6720000000000002</v>
      </c>
      <c r="J182" s="45">
        <v>156</v>
      </c>
      <c r="K182" s="45" t="s">
        <v>63</v>
      </c>
      <c r="L182" s="46" t="s">
        <v>128</v>
      </c>
      <c r="M182" s="45">
        <v>45</v>
      </c>
      <c r="N182" s="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72"/>
      <c r="P182" s="72"/>
      <c r="Q182" s="72"/>
      <c r="R182" s="73"/>
      <c r="S182" s="47"/>
      <c r="T182" s="47"/>
      <c r="U182" s="48" t="s">
        <v>65</v>
      </c>
      <c r="V182" s="49">
        <v>0</v>
      </c>
      <c r="W182" s="50">
        <f t="shared" si="8"/>
        <v>0</v>
      </c>
      <c r="X182" s="51" t="str">
        <f t="shared" si="9"/>
        <v/>
      </c>
      <c r="Y182" s="52"/>
      <c r="Z182" s="53"/>
      <c r="AD182" s="54"/>
      <c r="BA182" s="55" t="s">
        <v>1</v>
      </c>
    </row>
    <row r="183" spans="1:53" ht="27" customHeight="1" x14ac:dyDescent="0.25">
      <c r="A183" s="42" t="s">
        <v>305</v>
      </c>
      <c r="B183" s="42" t="s">
        <v>306</v>
      </c>
      <c r="C183" s="43">
        <v>4301051469</v>
      </c>
      <c r="D183" s="75">
        <v>4680115880221</v>
      </c>
      <c r="E183" s="73"/>
      <c r="F183" s="44">
        <v>0.4</v>
      </c>
      <c r="G183" s="45">
        <v>6</v>
      </c>
      <c r="H183" s="44">
        <v>2.4</v>
      </c>
      <c r="I183" s="44">
        <v>2.6720000000000002</v>
      </c>
      <c r="J183" s="45">
        <v>156</v>
      </c>
      <c r="K183" s="45" t="s">
        <v>63</v>
      </c>
      <c r="L183" s="46" t="s">
        <v>128</v>
      </c>
      <c r="M183" s="45">
        <v>45</v>
      </c>
      <c r="N183" s="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72"/>
      <c r="P183" s="72"/>
      <c r="Q183" s="72"/>
      <c r="R183" s="73"/>
      <c r="S183" s="47"/>
      <c r="T183" s="47"/>
      <c r="U183" s="48" t="s">
        <v>65</v>
      </c>
      <c r="V183" s="49">
        <v>0</v>
      </c>
      <c r="W183" s="50">
        <f t="shared" si="8"/>
        <v>0</v>
      </c>
      <c r="X183" s="51" t="str">
        <f t="shared" si="9"/>
        <v/>
      </c>
      <c r="Y183" s="52"/>
      <c r="Z183" s="53"/>
      <c r="AD183" s="54"/>
      <c r="BA183" s="55" t="s">
        <v>1</v>
      </c>
    </row>
    <row r="184" spans="1:53" ht="16.5" customHeight="1" x14ac:dyDescent="0.25">
      <c r="A184" s="42" t="s">
        <v>307</v>
      </c>
      <c r="B184" s="42" t="s">
        <v>308</v>
      </c>
      <c r="C184" s="43">
        <v>4301051523</v>
      </c>
      <c r="D184" s="75">
        <v>4680115882942</v>
      </c>
      <c r="E184" s="73"/>
      <c r="F184" s="44">
        <v>0.3</v>
      </c>
      <c r="G184" s="45">
        <v>6</v>
      </c>
      <c r="H184" s="44">
        <v>1.8</v>
      </c>
      <c r="I184" s="44">
        <v>2.0720000000000001</v>
      </c>
      <c r="J184" s="45">
        <v>156</v>
      </c>
      <c r="K184" s="45" t="s">
        <v>63</v>
      </c>
      <c r="L184" s="46" t="s">
        <v>64</v>
      </c>
      <c r="M184" s="45">
        <v>40</v>
      </c>
      <c r="N184" s="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72"/>
      <c r="P184" s="72"/>
      <c r="Q184" s="72"/>
      <c r="R184" s="73"/>
      <c r="S184" s="47"/>
      <c r="T184" s="47"/>
      <c r="U184" s="48" t="s">
        <v>65</v>
      </c>
      <c r="V184" s="49">
        <v>0</v>
      </c>
      <c r="W184" s="50">
        <f t="shared" si="8"/>
        <v>0</v>
      </c>
      <c r="X184" s="51" t="str">
        <f t="shared" si="9"/>
        <v/>
      </c>
      <c r="Y184" s="52"/>
      <c r="Z184" s="53"/>
      <c r="AD184" s="54"/>
      <c r="BA184" s="55" t="s">
        <v>1</v>
      </c>
    </row>
    <row r="185" spans="1:53" ht="16.5" customHeight="1" x14ac:dyDescent="0.25">
      <c r="A185" s="42" t="s">
        <v>309</v>
      </c>
      <c r="B185" s="42" t="s">
        <v>310</v>
      </c>
      <c r="C185" s="43">
        <v>4301051326</v>
      </c>
      <c r="D185" s="75">
        <v>4680115880504</v>
      </c>
      <c r="E185" s="73"/>
      <c r="F185" s="44">
        <v>0.4</v>
      </c>
      <c r="G185" s="45">
        <v>6</v>
      </c>
      <c r="H185" s="44">
        <v>2.4</v>
      </c>
      <c r="I185" s="44">
        <v>2.6720000000000002</v>
      </c>
      <c r="J185" s="45">
        <v>156</v>
      </c>
      <c r="K185" s="45" t="s">
        <v>63</v>
      </c>
      <c r="L185" s="46" t="s">
        <v>64</v>
      </c>
      <c r="M185" s="45">
        <v>40</v>
      </c>
      <c r="N185" s="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72"/>
      <c r="P185" s="72"/>
      <c r="Q185" s="72"/>
      <c r="R185" s="73"/>
      <c r="S185" s="47"/>
      <c r="T185" s="47"/>
      <c r="U185" s="48" t="s">
        <v>65</v>
      </c>
      <c r="V185" s="49">
        <v>0</v>
      </c>
      <c r="W185" s="50">
        <f t="shared" si="8"/>
        <v>0</v>
      </c>
      <c r="X185" s="51" t="str">
        <f t="shared" si="9"/>
        <v/>
      </c>
      <c r="Y185" s="52"/>
      <c r="Z185" s="53"/>
      <c r="AD185" s="54"/>
      <c r="BA185" s="55" t="s">
        <v>1</v>
      </c>
    </row>
    <row r="186" spans="1:53" ht="27" customHeight="1" x14ac:dyDescent="0.25">
      <c r="A186" s="42" t="s">
        <v>311</v>
      </c>
      <c r="B186" s="42" t="s">
        <v>312</v>
      </c>
      <c r="C186" s="43">
        <v>4301051410</v>
      </c>
      <c r="D186" s="75">
        <v>4680115882164</v>
      </c>
      <c r="E186" s="73"/>
      <c r="F186" s="44">
        <v>0.4</v>
      </c>
      <c r="G186" s="45">
        <v>6</v>
      </c>
      <c r="H186" s="44">
        <v>2.4</v>
      </c>
      <c r="I186" s="44">
        <v>2.6779999999999999</v>
      </c>
      <c r="J186" s="45">
        <v>156</v>
      </c>
      <c r="K186" s="45" t="s">
        <v>63</v>
      </c>
      <c r="L186" s="46" t="s">
        <v>128</v>
      </c>
      <c r="M186" s="45">
        <v>40</v>
      </c>
      <c r="N186" s="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72"/>
      <c r="P186" s="72"/>
      <c r="Q186" s="72"/>
      <c r="R186" s="73"/>
      <c r="S186" s="47"/>
      <c r="T186" s="47"/>
      <c r="U186" s="48" t="s">
        <v>65</v>
      </c>
      <c r="V186" s="49">
        <v>0</v>
      </c>
      <c r="W186" s="50">
        <f t="shared" si="8"/>
        <v>0</v>
      </c>
      <c r="X186" s="51" t="str">
        <f t="shared" si="9"/>
        <v/>
      </c>
      <c r="Y186" s="52"/>
      <c r="Z186" s="53"/>
      <c r="AD186" s="54"/>
      <c r="BA186" s="55" t="s">
        <v>1</v>
      </c>
    </row>
    <row r="187" spans="1:53" x14ac:dyDescent="0.2">
      <c r="A187" s="79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1"/>
      <c r="N187" s="76" t="s">
        <v>66</v>
      </c>
      <c r="O187" s="77"/>
      <c r="P187" s="77"/>
      <c r="Q187" s="77"/>
      <c r="R187" s="77"/>
      <c r="S187" s="77"/>
      <c r="T187" s="78"/>
      <c r="U187" s="56" t="s">
        <v>67</v>
      </c>
      <c r="V187" s="57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1</v>
      </c>
      <c r="W187" s="57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1</v>
      </c>
      <c r="X187" s="57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2.1749999999999999E-2</v>
      </c>
      <c r="Y187" s="58"/>
      <c r="Z187" s="58"/>
    </row>
    <row r="188" spans="1:53" x14ac:dyDescent="0.2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1"/>
      <c r="N188" s="76" t="s">
        <v>66</v>
      </c>
      <c r="O188" s="77"/>
      <c r="P188" s="77"/>
      <c r="Q188" s="77"/>
      <c r="R188" s="77"/>
      <c r="S188" s="77"/>
      <c r="T188" s="78"/>
      <c r="U188" s="56" t="s">
        <v>65</v>
      </c>
      <c r="V188" s="57">
        <f>IFERROR(SUM(V170:V186),"0")</f>
        <v>7.8</v>
      </c>
      <c r="W188" s="57">
        <f>IFERROR(SUM(W170:W186),"0")</f>
        <v>7.8</v>
      </c>
      <c r="X188" s="56"/>
      <c r="Y188" s="58"/>
      <c r="Z188" s="58"/>
    </row>
    <row r="189" spans="1:53" ht="14.25" customHeight="1" x14ac:dyDescent="0.25">
      <c r="A189" s="82" t="s">
        <v>212</v>
      </c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67"/>
      <c r="Z189" s="67"/>
    </row>
    <row r="190" spans="1:53" ht="16.5" customHeight="1" x14ac:dyDescent="0.25">
      <c r="A190" s="42" t="s">
        <v>313</v>
      </c>
      <c r="B190" s="42" t="s">
        <v>314</v>
      </c>
      <c r="C190" s="43">
        <v>4301060338</v>
      </c>
      <c r="D190" s="75">
        <v>4680115880801</v>
      </c>
      <c r="E190" s="73"/>
      <c r="F190" s="44">
        <v>0.4</v>
      </c>
      <c r="G190" s="45">
        <v>6</v>
      </c>
      <c r="H190" s="44">
        <v>2.4</v>
      </c>
      <c r="I190" s="44">
        <v>2.6720000000000002</v>
      </c>
      <c r="J190" s="45">
        <v>156</v>
      </c>
      <c r="K190" s="45" t="s">
        <v>63</v>
      </c>
      <c r="L190" s="46" t="s">
        <v>64</v>
      </c>
      <c r="M190" s="45">
        <v>40</v>
      </c>
      <c r="N190" s="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72"/>
      <c r="P190" s="72"/>
      <c r="Q190" s="72"/>
      <c r="R190" s="73"/>
      <c r="S190" s="47"/>
      <c r="T190" s="47"/>
      <c r="U190" s="48" t="s">
        <v>65</v>
      </c>
      <c r="V190" s="49">
        <v>0</v>
      </c>
      <c r="W190" s="50">
        <f>IFERROR(IF(V190="",0,CEILING((V190/$H190),1)*$H190),"")</f>
        <v>0</v>
      </c>
      <c r="X190" s="51" t="str">
        <f>IFERROR(IF(W190=0,"",ROUNDUP(W190/H190,0)*0.00753),"")</f>
        <v/>
      </c>
      <c r="Y190" s="52"/>
      <c r="Z190" s="53"/>
      <c r="AD190" s="54"/>
      <c r="BA190" s="55" t="s">
        <v>1</v>
      </c>
    </row>
    <row r="191" spans="1:53" ht="27" customHeight="1" x14ac:dyDescent="0.25">
      <c r="A191" s="42" t="s">
        <v>315</v>
      </c>
      <c r="B191" s="42" t="s">
        <v>316</v>
      </c>
      <c r="C191" s="43">
        <v>4301060339</v>
      </c>
      <c r="D191" s="75">
        <v>4680115880818</v>
      </c>
      <c r="E191" s="73"/>
      <c r="F191" s="44">
        <v>0.4</v>
      </c>
      <c r="G191" s="45">
        <v>6</v>
      </c>
      <c r="H191" s="44">
        <v>2.4</v>
      </c>
      <c r="I191" s="44">
        <v>2.6720000000000002</v>
      </c>
      <c r="J191" s="45">
        <v>156</v>
      </c>
      <c r="K191" s="45" t="s">
        <v>63</v>
      </c>
      <c r="L191" s="46" t="s">
        <v>64</v>
      </c>
      <c r="M191" s="45">
        <v>40</v>
      </c>
      <c r="N191" s="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72"/>
      <c r="P191" s="72"/>
      <c r="Q191" s="72"/>
      <c r="R191" s="73"/>
      <c r="S191" s="47"/>
      <c r="T191" s="47"/>
      <c r="U191" s="48" t="s">
        <v>65</v>
      </c>
      <c r="V191" s="49">
        <v>0</v>
      </c>
      <c r="W191" s="50">
        <f>IFERROR(IF(V191="",0,CEILING((V191/$H191),1)*$H191),"")</f>
        <v>0</v>
      </c>
      <c r="X191" s="51" t="str">
        <f>IFERROR(IF(W191=0,"",ROUNDUP(W191/H191,0)*0.00753),"")</f>
        <v/>
      </c>
      <c r="Y191" s="52"/>
      <c r="Z191" s="53"/>
      <c r="AD191" s="54"/>
      <c r="BA191" s="55" t="s">
        <v>1</v>
      </c>
    </row>
    <row r="192" spans="1:53" x14ac:dyDescent="0.2">
      <c r="A192" s="79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1"/>
      <c r="N192" s="76" t="s">
        <v>66</v>
      </c>
      <c r="O192" s="77"/>
      <c r="P192" s="77"/>
      <c r="Q192" s="77"/>
      <c r="R192" s="77"/>
      <c r="S192" s="77"/>
      <c r="T192" s="78"/>
      <c r="U192" s="56" t="s">
        <v>67</v>
      </c>
      <c r="V192" s="57">
        <f>IFERROR(V190/H190,"0")+IFERROR(V191/H191,"0")</f>
        <v>0</v>
      </c>
      <c r="W192" s="57">
        <f>IFERROR(W190/H190,"0")+IFERROR(W191/H191,"0")</f>
        <v>0</v>
      </c>
      <c r="X192" s="57">
        <f>IFERROR(IF(X190="",0,X190),"0")+IFERROR(IF(X191="",0,X191),"0")</f>
        <v>0</v>
      </c>
      <c r="Y192" s="58"/>
      <c r="Z192" s="58"/>
    </row>
    <row r="193" spans="1:53" x14ac:dyDescent="0.2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1"/>
      <c r="N193" s="76" t="s">
        <v>66</v>
      </c>
      <c r="O193" s="77"/>
      <c r="P193" s="77"/>
      <c r="Q193" s="77"/>
      <c r="R193" s="77"/>
      <c r="S193" s="77"/>
      <c r="T193" s="78"/>
      <c r="U193" s="56" t="s">
        <v>65</v>
      </c>
      <c r="V193" s="57">
        <f>IFERROR(SUM(V190:V191),"0")</f>
        <v>0</v>
      </c>
      <c r="W193" s="57">
        <f>IFERROR(SUM(W190:W191),"0")</f>
        <v>0</v>
      </c>
      <c r="X193" s="56"/>
      <c r="Y193" s="58"/>
      <c r="Z193" s="58"/>
    </row>
    <row r="194" spans="1:53" ht="16.5" customHeight="1" x14ac:dyDescent="0.25">
      <c r="A194" s="87" t="s">
        <v>317</v>
      </c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66"/>
      <c r="Z194" s="66"/>
    </row>
    <row r="195" spans="1:53" ht="14.25" customHeight="1" x14ac:dyDescent="0.25">
      <c r="A195" s="82" t="s">
        <v>103</v>
      </c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67"/>
      <c r="Z195" s="67"/>
    </row>
    <row r="196" spans="1:53" ht="27" customHeight="1" x14ac:dyDescent="0.25">
      <c r="A196" s="42" t="s">
        <v>318</v>
      </c>
      <c r="B196" s="42" t="s">
        <v>319</v>
      </c>
      <c r="C196" s="43">
        <v>4301011346</v>
      </c>
      <c r="D196" s="75">
        <v>4607091387445</v>
      </c>
      <c r="E196" s="73"/>
      <c r="F196" s="44">
        <v>0.9</v>
      </c>
      <c r="G196" s="45">
        <v>10</v>
      </c>
      <c r="H196" s="44">
        <v>9</v>
      </c>
      <c r="I196" s="44">
        <v>9.6300000000000008</v>
      </c>
      <c r="J196" s="45">
        <v>56</v>
      </c>
      <c r="K196" s="45" t="s">
        <v>98</v>
      </c>
      <c r="L196" s="46" t="s">
        <v>99</v>
      </c>
      <c r="M196" s="45">
        <v>31</v>
      </c>
      <c r="N196" s="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72"/>
      <c r="P196" s="72"/>
      <c r="Q196" s="72"/>
      <c r="R196" s="73"/>
      <c r="S196" s="47"/>
      <c r="T196" s="47"/>
      <c r="U196" s="48" t="s">
        <v>65</v>
      </c>
      <c r="V196" s="49">
        <v>0</v>
      </c>
      <c r="W196" s="50">
        <f t="shared" ref="W196:W210" si="10">IFERROR(IF(V196="",0,CEILING((V196/$H196),1)*$H196),"")</f>
        <v>0</v>
      </c>
      <c r="X196" s="51" t="str">
        <f>IFERROR(IF(W196=0,"",ROUNDUP(W196/H196,0)*0.02175),"")</f>
        <v/>
      </c>
      <c r="Y196" s="52"/>
      <c r="Z196" s="53"/>
      <c r="AD196" s="54"/>
      <c r="BA196" s="55" t="s">
        <v>1</v>
      </c>
    </row>
    <row r="197" spans="1:53" ht="27" customHeight="1" x14ac:dyDescent="0.25">
      <c r="A197" s="42" t="s">
        <v>320</v>
      </c>
      <c r="B197" s="42" t="s">
        <v>321</v>
      </c>
      <c r="C197" s="43">
        <v>4301011362</v>
      </c>
      <c r="D197" s="75">
        <v>4607091386004</v>
      </c>
      <c r="E197" s="73"/>
      <c r="F197" s="44">
        <v>1.35</v>
      </c>
      <c r="G197" s="45">
        <v>8</v>
      </c>
      <c r="H197" s="44">
        <v>10.8</v>
      </c>
      <c r="I197" s="44">
        <v>11.28</v>
      </c>
      <c r="J197" s="45">
        <v>48</v>
      </c>
      <c r="K197" s="45" t="s">
        <v>98</v>
      </c>
      <c r="L197" s="46" t="s">
        <v>106</v>
      </c>
      <c r="M197" s="45">
        <v>55</v>
      </c>
      <c r="N197" s="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72"/>
      <c r="P197" s="72"/>
      <c r="Q197" s="72"/>
      <c r="R197" s="73"/>
      <c r="S197" s="47"/>
      <c r="T197" s="47"/>
      <c r="U197" s="48" t="s">
        <v>65</v>
      </c>
      <c r="V197" s="49">
        <v>0</v>
      </c>
      <c r="W197" s="50">
        <f t="shared" si="10"/>
        <v>0</v>
      </c>
      <c r="X197" s="51" t="str">
        <f>IFERROR(IF(W197=0,"",ROUNDUP(W197/H197,0)*0.02039),"")</f>
        <v/>
      </c>
      <c r="Y197" s="52"/>
      <c r="Z197" s="53"/>
      <c r="AD197" s="54"/>
      <c r="BA197" s="55" t="s">
        <v>1</v>
      </c>
    </row>
    <row r="198" spans="1:53" ht="27" customHeight="1" x14ac:dyDescent="0.25">
      <c r="A198" s="42" t="s">
        <v>320</v>
      </c>
      <c r="B198" s="42" t="s">
        <v>322</v>
      </c>
      <c r="C198" s="43">
        <v>4301011308</v>
      </c>
      <c r="D198" s="75">
        <v>4607091386004</v>
      </c>
      <c r="E198" s="73"/>
      <c r="F198" s="44">
        <v>1.35</v>
      </c>
      <c r="G198" s="45">
        <v>8</v>
      </c>
      <c r="H198" s="44">
        <v>10.8</v>
      </c>
      <c r="I198" s="44">
        <v>11.28</v>
      </c>
      <c r="J198" s="45">
        <v>56</v>
      </c>
      <c r="K198" s="45" t="s">
        <v>98</v>
      </c>
      <c r="L198" s="46" t="s">
        <v>99</v>
      </c>
      <c r="M198" s="45">
        <v>55</v>
      </c>
      <c r="N198" s="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72"/>
      <c r="P198" s="72"/>
      <c r="Q198" s="72"/>
      <c r="R198" s="73"/>
      <c r="S198" s="47"/>
      <c r="T198" s="47"/>
      <c r="U198" s="48" t="s">
        <v>65</v>
      </c>
      <c r="V198" s="49">
        <v>64.8</v>
      </c>
      <c r="W198" s="50">
        <f t="shared" si="10"/>
        <v>64.800000000000011</v>
      </c>
      <c r="X198" s="51">
        <f>IFERROR(IF(W198=0,"",ROUNDUP(W198/H198,0)*0.02175),"")</f>
        <v>0.1305</v>
      </c>
      <c r="Y198" s="52"/>
      <c r="Z198" s="53"/>
      <c r="AD198" s="54"/>
      <c r="BA198" s="55" t="s">
        <v>1</v>
      </c>
    </row>
    <row r="199" spans="1:53" ht="27" customHeight="1" x14ac:dyDescent="0.25">
      <c r="A199" s="42" t="s">
        <v>323</v>
      </c>
      <c r="B199" s="42" t="s">
        <v>324</v>
      </c>
      <c r="C199" s="43">
        <v>4301011347</v>
      </c>
      <c r="D199" s="75">
        <v>4607091386073</v>
      </c>
      <c r="E199" s="73"/>
      <c r="F199" s="44">
        <v>0.9</v>
      </c>
      <c r="G199" s="45">
        <v>10</v>
      </c>
      <c r="H199" s="44">
        <v>9</v>
      </c>
      <c r="I199" s="44">
        <v>9.6300000000000008</v>
      </c>
      <c r="J199" s="45">
        <v>56</v>
      </c>
      <c r="K199" s="45" t="s">
        <v>98</v>
      </c>
      <c r="L199" s="46" t="s">
        <v>99</v>
      </c>
      <c r="M199" s="45">
        <v>31</v>
      </c>
      <c r="N199" s="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72"/>
      <c r="P199" s="72"/>
      <c r="Q199" s="72"/>
      <c r="R199" s="73"/>
      <c r="S199" s="47"/>
      <c r="T199" s="47"/>
      <c r="U199" s="48" t="s">
        <v>65</v>
      </c>
      <c r="V199" s="49">
        <v>0</v>
      </c>
      <c r="W199" s="50">
        <f t="shared" si="10"/>
        <v>0</v>
      </c>
      <c r="X199" s="51" t="str">
        <f>IFERROR(IF(W199=0,"",ROUNDUP(W199/H199,0)*0.02175),"")</f>
        <v/>
      </c>
      <c r="Y199" s="52"/>
      <c r="Z199" s="53"/>
      <c r="AD199" s="54"/>
      <c r="BA199" s="55" t="s">
        <v>1</v>
      </c>
    </row>
    <row r="200" spans="1:53" ht="27" customHeight="1" x14ac:dyDescent="0.25">
      <c r="A200" s="42" t="s">
        <v>325</v>
      </c>
      <c r="B200" s="42" t="s">
        <v>326</v>
      </c>
      <c r="C200" s="43">
        <v>4301010928</v>
      </c>
      <c r="D200" s="75">
        <v>4607091387322</v>
      </c>
      <c r="E200" s="73"/>
      <c r="F200" s="44">
        <v>1.35</v>
      </c>
      <c r="G200" s="45">
        <v>8</v>
      </c>
      <c r="H200" s="44">
        <v>10.8</v>
      </c>
      <c r="I200" s="44">
        <v>11.28</v>
      </c>
      <c r="J200" s="45">
        <v>56</v>
      </c>
      <c r="K200" s="45" t="s">
        <v>98</v>
      </c>
      <c r="L200" s="46" t="s">
        <v>99</v>
      </c>
      <c r="M200" s="45">
        <v>55</v>
      </c>
      <c r="N200" s="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72"/>
      <c r="P200" s="72"/>
      <c r="Q200" s="72"/>
      <c r="R200" s="73"/>
      <c r="S200" s="47"/>
      <c r="T200" s="47"/>
      <c r="U200" s="48" t="s">
        <v>65</v>
      </c>
      <c r="V200" s="49">
        <v>0</v>
      </c>
      <c r="W200" s="50">
        <f t="shared" si="10"/>
        <v>0</v>
      </c>
      <c r="X200" s="51" t="str">
        <f>IFERROR(IF(W200=0,"",ROUNDUP(W200/H200,0)*0.02175),"")</f>
        <v/>
      </c>
      <c r="Y200" s="52"/>
      <c r="Z200" s="53"/>
      <c r="AD200" s="54"/>
      <c r="BA200" s="55" t="s">
        <v>1</v>
      </c>
    </row>
    <row r="201" spans="1:53" ht="27" customHeight="1" x14ac:dyDescent="0.25">
      <c r="A201" s="42" t="s">
        <v>325</v>
      </c>
      <c r="B201" s="42" t="s">
        <v>327</v>
      </c>
      <c r="C201" s="43">
        <v>4301011395</v>
      </c>
      <c r="D201" s="75">
        <v>4607091387322</v>
      </c>
      <c r="E201" s="73"/>
      <c r="F201" s="44">
        <v>1.35</v>
      </c>
      <c r="G201" s="45">
        <v>8</v>
      </c>
      <c r="H201" s="44">
        <v>10.8</v>
      </c>
      <c r="I201" s="44">
        <v>11.28</v>
      </c>
      <c r="J201" s="45">
        <v>48</v>
      </c>
      <c r="K201" s="45" t="s">
        <v>98</v>
      </c>
      <c r="L201" s="46" t="s">
        <v>106</v>
      </c>
      <c r="M201" s="45">
        <v>55</v>
      </c>
      <c r="N201" s="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72"/>
      <c r="P201" s="72"/>
      <c r="Q201" s="72"/>
      <c r="R201" s="73"/>
      <c r="S201" s="47"/>
      <c r="T201" s="47"/>
      <c r="U201" s="48" t="s">
        <v>65</v>
      </c>
      <c r="V201" s="49">
        <v>0</v>
      </c>
      <c r="W201" s="50">
        <f t="shared" si="10"/>
        <v>0</v>
      </c>
      <c r="X201" s="51" t="str">
        <f>IFERROR(IF(W201=0,"",ROUNDUP(W201/H201,0)*0.02039),"")</f>
        <v/>
      </c>
      <c r="Y201" s="52"/>
      <c r="Z201" s="53"/>
      <c r="AD201" s="54"/>
      <c r="BA201" s="55" t="s">
        <v>1</v>
      </c>
    </row>
    <row r="202" spans="1:53" ht="27" customHeight="1" x14ac:dyDescent="0.25">
      <c r="A202" s="42" t="s">
        <v>328</v>
      </c>
      <c r="B202" s="42" t="s">
        <v>329</v>
      </c>
      <c r="C202" s="43">
        <v>4301011311</v>
      </c>
      <c r="D202" s="75">
        <v>4607091387377</v>
      </c>
      <c r="E202" s="73"/>
      <c r="F202" s="44">
        <v>1.35</v>
      </c>
      <c r="G202" s="45">
        <v>8</v>
      </c>
      <c r="H202" s="44">
        <v>10.8</v>
      </c>
      <c r="I202" s="44">
        <v>11.28</v>
      </c>
      <c r="J202" s="45">
        <v>56</v>
      </c>
      <c r="K202" s="45" t="s">
        <v>98</v>
      </c>
      <c r="L202" s="46" t="s">
        <v>99</v>
      </c>
      <c r="M202" s="45">
        <v>55</v>
      </c>
      <c r="N202" s="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72"/>
      <c r="P202" s="72"/>
      <c r="Q202" s="72"/>
      <c r="R202" s="73"/>
      <c r="S202" s="47"/>
      <c r="T202" s="47"/>
      <c r="U202" s="48" t="s">
        <v>65</v>
      </c>
      <c r="V202" s="49">
        <v>10.8</v>
      </c>
      <c r="W202" s="50">
        <f t="shared" si="10"/>
        <v>10.8</v>
      </c>
      <c r="X202" s="51">
        <f>IFERROR(IF(W202=0,"",ROUNDUP(W202/H202,0)*0.02175),"")</f>
        <v>2.1749999999999999E-2</v>
      </c>
      <c r="Y202" s="52"/>
      <c r="Z202" s="53"/>
      <c r="AD202" s="54"/>
      <c r="BA202" s="55" t="s">
        <v>1</v>
      </c>
    </row>
    <row r="203" spans="1:53" ht="27" customHeight="1" x14ac:dyDescent="0.25">
      <c r="A203" s="42" t="s">
        <v>330</v>
      </c>
      <c r="B203" s="42" t="s">
        <v>331</v>
      </c>
      <c r="C203" s="43">
        <v>4301010945</v>
      </c>
      <c r="D203" s="75">
        <v>4607091387353</v>
      </c>
      <c r="E203" s="73"/>
      <c r="F203" s="44">
        <v>1.35</v>
      </c>
      <c r="G203" s="45">
        <v>8</v>
      </c>
      <c r="H203" s="44">
        <v>10.8</v>
      </c>
      <c r="I203" s="44">
        <v>11.28</v>
      </c>
      <c r="J203" s="45">
        <v>56</v>
      </c>
      <c r="K203" s="45" t="s">
        <v>98</v>
      </c>
      <c r="L203" s="46" t="s">
        <v>99</v>
      </c>
      <c r="M203" s="45">
        <v>55</v>
      </c>
      <c r="N203" s="7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72"/>
      <c r="P203" s="72"/>
      <c r="Q203" s="72"/>
      <c r="R203" s="73"/>
      <c r="S203" s="47"/>
      <c r="T203" s="47"/>
      <c r="U203" s="48" t="s">
        <v>65</v>
      </c>
      <c r="V203" s="49">
        <v>0</v>
      </c>
      <c r="W203" s="50">
        <f t="shared" si="10"/>
        <v>0</v>
      </c>
      <c r="X203" s="51" t="str">
        <f>IFERROR(IF(W203=0,"",ROUNDUP(W203/H203,0)*0.02175),"")</f>
        <v/>
      </c>
      <c r="Y203" s="52"/>
      <c r="Z203" s="53"/>
      <c r="AD203" s="54"/>
      <c r="BA203" s="55" t="s">
        <v>1</v>
      </c>
    </row>
    <row r="204" spans="1:53" ht="27" customHeight="1" x14ac:dyDescent="0.25">
      <c r="A204" s="42" t="s">
        <v>332</v>
      </c>
      <c r="B204" s="42" t="s">
        <v>333</v>
      </c>
      <c r="C204" s="43">
        <v>4301011328</v>
      </c>
      <c r="D204" s="75">
        <v>4607091386011</v>
      </c>
      <c r="E204" s="73"/>
      <c r="F204" s="44">
        <v>0.5</v>
      </c>
      <c r="G204" s="45">
        <v>10</v>
      </c>
      <c r="H204" s="44">
        <v>5</v>
      </c>
      <c r="I204" s="44">
        <v>5.21</v>
      </c>
      <c r="J204" s="45">
        <v>120</v>
      </c>
      <c r="K204" s="45" t="s">
        <v>63</v>
      </c>
      <c r="L204" s="46" t="s">
        <v>64</v>
      </c>
      <c r="M204" s="45">
        <v>55</v>
      </c>
      <c r="N204" s="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72"/>
      <c r="P204" s="72"/>
      <c r="Q204" s="72"/>
      <c r="R204" s="73"/>
      <c r="S204" s="47"/>
      <c r="T204" s="47"/>
      <c r="U204" s="48" t="s">
        <v>65</v>
      </c>
      <c r="V204" s="49">
        <v>8</v>
      </c>
      <c r="W204" s="50">
        <f t="shared" si="10"/>
        <v>10</v>
      </c>
      <c r="X204" s="51">
        <f t="shared" ref="X204:X210" si="11">IFERROR(IF(W204=0,"",ROUNDUP(W204/H204,0)*0.00937),"")</f>
        <v>1.874E-2</v>
      </c>
      <c r="Y204" s="52"/>
      <c r="Z204" s="53"/>
      <c r="AD204" s="54"/>
      <c r="BA204" s="55" t="s">
        <v>1</v>
      </c>
    </row>
    <row r="205" spans="1:53" ht="27" customHeight="1" x14ac:dyDescent="0.25">
      <c r="A205" s="42" t="s">
        <v>334</v>
      </c>
      <c r="B205" s="42" t="s">
        <v>335</v>
      </c>
      <c r="C205" s="43">
        <v>4301011329</v>
      </c>
      <c r="D205" s="75">
        <v>4607091387308</v>
      </c>
      <c r="E205" s="73"/>
      <c r="F205" s="44">
        <v>0.5</v>
      </c>
      <c r="G205" s="45">
        <v>10</v>
      </c>
      <c r="H205" s="44">
        <v>5</v>
      </c>
      <c r="I205" s="44">
        <v>5.21</v>
      </c>
      <c r="J205" s="45">
        <v>120</v>
      </c>
      <c r="K205" s="45" t="s">
        <v>63</v>
      </c>
      <c r="L205" s="46" t="s">
        <v>64</v>
      </c>
      <c r="M205" s="45">
        <v>55</v>
      </c>
      <c r="N205" s="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72"/>
      <c r="P205" s="72"/>
      <c r="Q205" s="72"/>
      <c r="R205" s="73"/>
      <c r="S205" s="47"/>
      <c r="T205" s="47"/>
      <c r="U205" s="48" t="s">
        <v>65</v>
      </c>
      <c r="V205" s="49">
        <v>0</v>
      </c>
      <c r="W205" s="50">
        <f t="shared" si="10"/>
        <v>0</v>
      </c>
      <c r="X205" s="51" t="str">
        <f t="shared" si="11"/>
        <v/>
      </c>
      <c r="Y205" s="52"/>
      <c r="Z205" s="53"/>
      <c r="AD205" s="54"/>
      <c r="BA205" s="55" t="s">
        <v>1</v>
      </c>
    </row>
    <row r="206" spans="1:53" ht="27" customHeight="1" x14ac:dyDescent="0.25">
      <c r="A206" s="42" t="s">
        <v>336</v>
      </c>
      <c r="B206" s="42" t="s">
        <v>337</v>
      </c>
      <c r="C206" s="43">
        <v>4301011049</v>
      </c>
      <c r="D206" s="75">
        <v>4607091387339</v>
      </c>
      <c r="E206" s="73"/>
      <c r="F206" s="44">
        <v>0.5</v>
      </c>
      <c r="G206" s="45">
        <v>10</v>
      </c>
      <c r="H206" s="44">
        <v>5</v>
      </c>
      <c r="I206" s="44">
        <v>5.24</v>
      </c>
      <c r="J206" s="45">
        <v>120</v>
      </c>
      <c r="K206" s="45" t="s">
        <v>63</v>
      </c>
      <c r="L206" s="46" t="s">
        <v>99</v>
      </c>
      <c r="M206" s="45">
        <v>55</v>
      </c>
      <c r="N206" s="7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72"/>
      <c r="P206" s="72"/>
      <c r="Q206" s="72"/>
      <c r="R206" s="73"/>
      <c r="S206" s="47"/>
      <c r="T206" s="47"/>
      <c r="U206" s="48" t="s">
        <v>65</v>
      </c>
      <c r="V206" s="49">
        <v>0</v>
      </c>
      <c r="W206" s="50">
        <f t="shared" si="10"/>
        <v>0</v>
      </c>
      <c r="X206" s="51" t="str">
        <f t="shared" si="11"/>
        <v/>
      </c>
      <c r="Y206" s="52"/>
      <c r="Z206" s="53"/>
      <c r="AD206" s="54"/>
      <c r="BA206" s="55" t="s">
        <v>1</v>
      </c>
    </row>
    <row r="207" spans="1:53" ht="27" customHeight="1" x14ac:dyDescent="0.25">
      <c r="A207" s="42" t="s">
        <v>338</v>
      </c>
      <c r="B207" s="42" t="s">
        <v>339</v>
      </c>
      <c r="C207" s="43">
        <v>4301011433</v>
      </c>
      <c r="D207" s="75">
        <v>4680115882638</v>
      </c>
      <c r="E207" s="73"/>
      <c r="F207" s="44">
        <v>0.4</v>
      </c>
      <c r="G207" s="45">
        <v>10</v>
      </c>
      <c r="H207" s="44">
        <v>4</v>
      </c>
      <c r="I207" s="44">
        <v>4.24</v>
      </c>
      <c r="J207" s="45">
        <v>120</v>
      </c>
      <c r="K207" s="45" t="s">
        <v>63</v>
      </c>
      <c r="L207" s="46" t="s">
        <v>99</v>
      </c>
      <c r="M207" s="45">
        <v>90</v>
      </c>
      <c r="N207" s="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72"/>
      <c r="P207" s="72"/>
      <c r="Q207" s="72"/>
      <c r="R207" s="73"/>
      <c r="S207" s="47"/>
      <c r="T207" s="47"/>
      <c r="U207" s="48" t="s">
        <v>65</v>
      </c>
      <c r="V207" s="49">
        <v>0</v>
      </c>
      <c r="W207" s="50">
        <f t="shared" si="10"/>
        <v>0</v>
      </c>
      <c r="X207" s="51" t="str">
        <f t="shared" si="11"/>
        <v/>
      </c>
      <c r="Y207" s="52"/>
      <c r="Z207" s="53"/>
      <c r="AD207" s="54"/>
      <c r="BA207" s="55" t="s">
        <v>1</v>
      </c>
    </row>
    <row r="208" spans="1:53" ht="27" customHeight="1" x14ac:dyDescent="0.25">
      <c r="A208" s="42" t="s">
        <v>340</v>
      </c>
      <c r="B208" s="42" t="s">
        <v>341</v>
      </c>
      <c r="C208" s="43">
        <v>4301011573</v>
      </c>
      <c r="D208" s="75">
        <v>4680115881938</v>
      </c>
      <c r="E208" s="73"/>
      <c r="F208" s="44">
        <v>0.4</v>
      </c>
      <c r="G208" s="45">
        <v>10</v>
      </c>
      <c r="H208" s="44">
        <v>4</v>
      </c>
      <c r="I208" s="44">
        <v>4.24</v>
      </c>
      <c r="J208" s="45">
        <v>120</v>
      </c>
      <c r="K208" s="45" t="s">
        <v>63</v>
      </c>
      <c r="L208" s="46" t="s">
        <v>99</v>
      </c>
      <c r="M208" s="45">
        <v>90</v>
      </c>
      <c r="N208" s="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72"/>
      <c r="P208" s="72"/>
      <c r="Q208" s="72"/>
      <c r="R208" s="73"/>
      <c r="S208" s="47"/>
      <c r="T208" s="47"/>
      <c r="U208" s="48" t="s">
        <v>65</v>
      </c>
      <c r="V208" s="49">
        <v>0</v>
      </c>
      <c r="W208" s="50">
        <f t="shared" si="10"/>
        <v>0</v>
      </c>
      <c r="X208" s="51" t="str">
        <f t="shared" si="11"/>
        <v/>
      </c>
      <c r="Y208" s="52"/>
      <c r="Z208" s="53"/>
      <c r="AD208" s="54"/>
      <c r="BA208" s="55" t="s">
        <v>1</v>
      </c>
    </row>
    <row r="209" spans="1:53" ht="27" customHeight="1" x14ac:dyDescent="0.25">
      <c r="A209" s="42" t="s">
        <v>342</v>
      </c>
      <c r="B209" s="42" t="s">
        <v>343</v>
      </c>
      <c r="C209" s="43">
        <v>4301010944</v>
      </c>
      <c r="D209" s="75">
        <v>4607091387346</v>
      </c>
      <c r="E209" s="73"/>
      <c r="F209" s="44">
        <v>0.4</v>
      </c>
      <c r="G209" s="45">
        <v>10</v>
      </c>
      <c r="H209" s="44">
        <v>4</v>
      </c>
      <c r="I209" s="44">
        <v>4.24</v>
      </c>
      <c r="J209" s="45">
        <v>120</v>
      </c>
      <c r="K209" s="45" t="s">
        <v>63</v>
      </c>
      <c r="L209" s="46" t="s">
        <v>99</v>
      </c>
      <c r="M209" s="45">
        <v>55</v>
      </c>
      <c r="N209" s="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72"/>
      <c r="P209" s="72"/>
      <c r="Q209" s="72"/>
      <c r="R209" s="73"/>
      <c r="S209" s="47"/>
      <c r="T209" s="47"/>
      <c r="U209" s="48" t="s">
        <v>65</v>
      </c>
      <c r="V209" s="49">
        <v>0</v>
      </c>
      <c r="W209" s="50">
        <f t="shared" si="10"/>
        <v>0</v>
      </c>
      <c r="X209" s="51" t="str">
        <f t="shared" si="11"/>
        <v/>
      </c>
      <c r="Y209" s="52"/>
      <c r="Z209" s="53"/>
      <c r="AD209" s="54"/>
      <c r="BA209" s="55" t="s">
        <v>1</v>
      </c>
    </row>
    <row r="210" spans="1:53" ht="27" customHeight="1" x14ac:dyDescent="0.25">
      <c r="A210" s="42" t="s">
        <v>344</v>
      </c>
      <c r="B210" s="42" t="s">
        <v>345</v>
      </c>
      <c r="C210" s="43">
        <v>4301011353</v>
      </c>
      <c r="D210" s="75">
        <v>4607091389807</v>
      </c>
      <c r="E210" s="73"/>
      <c r="F210" s="44">
        <v>0.4</v>
      </c>
      <c r="G210" s="45">
        <v>10</v>
      </c>
      <c r="H210" s="44">
        <v>4</v>
      </c>
      <c r="I210" s="44">
        <v>4.24</v>
      </c>
      <c r="J210" s="45">
        <v>120</v>
      </c>
      <c r="K210" s="45" t="s">
        <v>63</v>
      </c>
      <c r="L210" s="46" t="s">
        <v>99</v>
      </c>
      <c r="M210" s="45">
        <v>55</v>
      </c>
      <c r="N210" s="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72"/>
      <c r="P210" s="72"/>
      <c r="Q210" s="72"/>
      <c r="R210" s="73"/>
      <c r="S210" s="47"/>
      <c r="T210" s="47"/>
      <c r="U210" s="48" t="s">
        <v>65</v>
      </c>
      <c r="V210" s="49">
        <v>0</v>
      </c>
      <c r="W210" s="50">
        <f t="shared" si="10"/>
        <v>0</v>
      </c>
      <c r="X210" s="51" t="str">
        <f t="shared" si="11"/>
        <v/>
      </c>
      <c r="Y210" s="52"/>
      <c r="Z210" s="53"/>
      <c r="AD210" s="54"/>
      <c r="BA210" s="55" t="s">
        <v>1</v>
      </c>
    </row>
    <row r="211" spans="1:53" x14ac:dyDescent="0.2">
      <c r="A211" s="79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1"/>
      <c r="N211" s="76" t="s">
        <v>66</v>
      </c>
      <c r="O211" s="77"/>
      <c r="P211" s="77"/>
      <c r="Q211" s="77"/>
      <c r="R211" s="77"/>
      <c r="S211" s="77"/>
      <c r="T211" s="78"/>
      <c r="U211" s="56" t="s">
        <v>67</v>
      </c>
      <c r="V211" s="57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8.6</v>
      </c>
      <c r="W211" s="57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9</v>
      </c>
      <c r="X211" s="57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0.17099</v>
      </c>
      <c r="Y211" s="58"/>
      <c r="Z211" s="58"/>
    </row>
    <row r="212" spans="1:53" x14ac:dyDescent="0.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1"/>
      <c r="N212" s="76" t="s">
        <v>66</v>
      </c>
      <c r="O212" s="77"/>
      <c r="P212" s="77"/>
      <c r="Q212" s="77"/>
      <c r="R212" s="77"/>
      <c r="S212" s="77"/>
      <c r="T212" s="78"/>
      <c r="U212" s="56" t="s">
        <v>65</v>
      </c>
      <c r="V212" s="57">
        <f>IFERROR(SUM(V196:V210),"0")</f>
        <v>83.6</v>
      </c>
      <c r="W212" s="57">
        <f>IFERROR(SUM(W196:W210),"0")</f>
        <v>85.600000000000009</v>
      </c>
      <c r="X212" s="56"/>
      <c r="Y212" s="58"/>
      <c r="Z212" s="58"/>
    </row>
    <row r="213" spans="1:53" ht="14.25" customHeight="1" x14ac:dyDescent="0.25">
      <c r="A213" s="82" t="s">
        <v>95</v>
      </c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67"/>
      <c r="Z213" s="67"/>
    </row>
    <row r="214" spans="1:53" ht="27" customHeight="1" x14ac:dyDescent="0.25">
      <c r="A214" s="42" t="s">
        <v>346</v>
      </c>
      <c r="B214" s="42" t="s">
        <v>347</v>
      </c>
      <c r="C214" s="43">
        <v>4301020254</v>
      </c>
      <c r="D214" s="75">
        <v>4680115881914</v>
      </c>
      <c r="E214" s="73"/>
      <c r="F214" s="44">
        <v>0.4</v>
      </c>
      <c r="G214" s="45">
        <v>10</v>
      </c>
      <c r="H214" s="44">
        <v>4</v>
      </c>
      <c r="I214" s="44">
        <v>4.24</v>
      </c>
      <c r="J214" s="45">
        <v>120</v>
      </c>
      <c r="K214" s="45" t="s">
        <v>63</v>
      </c>
      <c r="L214" s="46" t="s">
        <v>99</v>
      </c>
      <c r="M214" s="45">
        <v>90</v>
      </c>
      <c r="N214" s="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72"/>
      <c r="P214" s="72"/>
      <c r="Q214" s="72"/>
      <c r="R214" s="73"/>
      <c r="S214" s="47"/>
      <c r="T214" s="47"/>
      <c r="U214" s="48" t="s">
        <v>65</v>
      </c>
      <c r="V214" s="49">
        <v>0</v>
      </c>
      <c r="W214" s="50">
        <f>IFERROR(IF(V214="",0,CEILING((V214/$H214),1)*$H214),"")</f>
        <v>0</v>
      </c>
      <c r="X214" s="51" t="str">
        <f>IFERROR(IF(W214=0,"",ROUNDUP(W214/H214,0)*0.00937),"")</f>
        <v/>
      </c>
      <c r="Y214" s="52"/>
      <c r="Z214" s="53"/>
      <c r="AD214" s="54"/>
      <c r="BA214" s="55" t="s">
        <v>1</v>
      </c>
    </row>
    <row r="215" spans="1:53" x14ac:dyDescent="0.2">
      <c r="A215" s="79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1"/>
      <c r="N215" s="76" t="s">
        <v>66</v>
      </c>
      <c r="O215" s="77"/>
      <c r="P215" s="77"/>
      <c r="Q215" s="77"/>
      <c r="R215" s="77"/>
      <c r="S215" s="77"/>
      <c r="T215" s="78"/>
      <c r="U215" s="56" t="s">
        <v>67</v>
      </c>
      <c r="V215" s="57">
        <f>IFERROR(V214/H214,"0")</f>
        <v>0</v>
      </c>
      <c r="W215" s="57">
        <f>IFERROR(W214/H214,"0")</f>
        <v>0</v>
      </c>
      <c r="X215" s="57">
        <f>IFERROR(IF(X214="",0,X214),"0")</f>
        <v>0</v>
      </c>
      <c r="Y215" s="58"/>
      <c r="Z215" s="58"/>
    </row>
    <row r="216" spans="1:53" x14ac:dyDescent="0.2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1"/>
      <c r="N216" s="76" t="s">
        <v>66</v>
      </c>
      <c r="O216" s="77"/>
      <c r="P216" s="77"/>
      <c r="Q216" s="77"/>
      <c r="R216" s="77"/>
      <c r="S216" s="77"/>
      <c r="T216" s="78"/>
      <c r="U216" s="56" t="s">
        <v>65</v>
      </c>
      <c r="V216" s="57">
        <f>IFERROR(SUM(V214:V214),"0")</f>
        <v>0</v>
      </c>
      <c r="W216" s="57">
        <f>IFERROR(SUM(W214:W214),"0")</f>
        <v>0</v>
      </c>
      <c r="X216" s="56"/>
      <c r="Y216" s="58"/>
      <c r="Z216" s="58"/>
    </row>
    <row r="217" spans="1:53" ht="14.25" customHeight="1" x14ac:dyDescent="0.25">
      <c r="A217" s="82" t="s">
        <v>60</v>
      </c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67"/>
      <c r="Z217" s="67"/>
    </row>
    <row r="218" spans="1:53" ht="27" customHeight="1" x14ac:dyDescent="0.25">
      <c r="A218" s="42" t="s">
        <v>348</v>
      </c>
      <c r="B218" s="42" t="s">
        <v>349</v>
      </c>
      <c r="C218" s="43">
        <v>4301030878</v>
      </c>
      <c r="D218" s="75">
        <v>4607091387193</v>
      </c>
      <c r="E218" s="73"/>
      <c r="F218" s="44">
        <v>0.7</v>
      </c>
      <c r="G218" s="45">
        <v>6</v>
      </c>
      <c r="H218" s="44">
        <v>4.2</v>
      </c>
      <c r="I218" s="44">
        <v>4.46</v>
      </c>
      <c r="J218" s="45">
        <v>156</v>
      </c>
      <c r="K218" s="45" t="s">
        <v>63</v>
      </c>
      <c r="L218" s="46" t="s">
        <v>64</v>
      </c>
      <c r="M218" s="45">
        <v>35</v>
      </c>
      <c r="N218" s="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72"/>
      <c r="P218" s="72"/>
      <c r="Q218" s="72"/>
      <c r="R218" s="73"/>
      <c r="S218" s="47"/>
      <c r="T218" s="47"/>
      <c r="U218" s="48" t="s">
        <v>65</v>
      </c>
      <c r="V218" s="49">
        <v>0</v>
      </c>
      <c r="W218" s="50">
        <f>IFERROR(IF(V218="",0,CEILING((V218/$H218),1)*$H218),"")</f>
        <v>0</v>
      </c>
      <c r="X218" s="51" t="str">
        <f>IFERROR(IF(W218=0,"",ROUNDUP(W218/H218,0)*0.00753),"")</f>
        <v/>
      </c>
      <c r="Y218" s="52"/>
      <c r="Z218" s="53"/>
      <c r="AD218" s="54"/>
      <c r="BA218" s="55" t="s">
        <v>1</v>
      </c>
    </row>
    <row r="219" spans="1:53" ht="27" customHeight="1" x14ac:dyDescent="0.25">
      <c r="A219" s="42" t="s">
        <v>350</v>
      </c>
      <c r="B219" s="42" t="s">
        <v>351</v>
      </c>
      <c r="C219" s="43">
        <v>4301031153</v>
      </c>
      <c r="D219" s="75">
        <v>4607091387230</v>
      </c>
      <c r="E219" s="73"/>
      <c r="F219" s="44">
        <v>0.7</v>
      </c>
      <c r="G219" s="45">
        <v>6</v>
      </c>
      <c r="H219" s="44">
        <v>4.2</v>
      </c>
      <c r="I219" s="44">
        <v>4.46</v>
      </c>
      <c r="J219" s="45">
        <v>156</v>
      </c>
      <c r="K219" s="45" t="s">
        <v>63</v>
      </c>
      <c r="L219" s="46" t="s">
        <v>64</v>
      </c>
      <c r="M219" s="45">
        <v>40</v>
      </c>
      <c r="N219" s="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72"/>
      <c r="P219" s="72"/>
      <c r="Q219" s="72"/>
      <c r="R219" s="73"/>
      <c r="S219" s="47"/>
      <c r="T219" s="47"/>
      <c r="U219" s="48" t="s">
        <v>65</v>
      </c>
      <c r="V219" s="49">
        <v>21</v>
      </c>
      <c r="W219" s="50">
        <f>IFERROR(IF(V219="",0,CEILING((V219/$H219),1)*$H219),"")</f>
        <v>21</v>
      </c>
      <c r="X219" s="51">
        <f>IFERROR(IF(W219=0,"",ROUNDUP(W219/H219,0)*0.00753),"")</f>
        <v>3.7650000000000003E-2</v>
      </c>
      <c r="Y219" s="52"/>
      <c r="Z219" s="53"/>
      <c r="AD219" s="54"/>
      <c r="BA219" s="55" t="s">
        <v>1</v>
      </c>
    </row>
    <row r="220" spans="1:53" ht="27" customHeight="1" x14ac:dyDescent="0.25">
      <c r="A220" s="42" t="s">
        <v>352</v>
      </c>
      <c r="B220" s="42" t="s">
        <v>353</v>
      </c>
      <c r="C220" s="43">
        <v>4301031152</v>
      </c>
      <c r="D220" s="75">
        <v>4607091387285</v>
      </c>
      <c r="E220" s="73"/>
      <c r="F220" s="44">
        <v>0.35</v>
      </c>
      <c r="G220" s="45">
        <v>6</v>
      </c>
      <c r="H220" s="44">
        <v>2.1</v>
      </c>
      <c r="I220" s="44">
        <v>2.23</v>
      </c>
      <c r="J220" s="45">
        <v>234</v>
      </c>
      <c r="K220" s="45" t="s">
        <v>163</v>
      </c>
      <c r="L220" s="46" t="s">
        <v>64</v>
      </c>
      <c r="M220" s="45">
        <v>40</v>
      </c>
      <c r="N220" s="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72"/>
      <c r="P220" s="72"/>
      <c r="Q220" s="72"/>
      <c r="R220" s="73"/>
      <c r="S220" s="47"/>
      <c r="T220" s="47"/>
      <c r="U220" s="48" t="s">
        <v>65</v>
      </c>
      <c r="V220" s="49">
        <v>10.5</v>
      </c>
      <c r="W220" s="50">
        <f>IFERROR(IF(V220="",0,CEILING((V220/$H220),1)*$H220),"")</f>
        <v>10.5</v>
      </c>
      <c r="X220" s="51">
        <f>IFERROR(IF(W220=0,"",ROUNDUP(W220/H220,0)*0.00502),"")</f>
        <v>2.5100000000000001E-2</v>
      </c>
      <c r="Y220" s="52"/>
      <c r="Z220" s="53"/>
      <c r="AD220" s="54"/>
      <c r="BA220" s="55" t="s">
        <v>1</v>
      </c>
    </row>
    <row r="221" spans="1:53" ht="27" customHeight="1" x14ac:dyDescent="0.25">
      <c r="A221" s="42" t="s">
        <v>354</v>
      </c>
      <c r="B221" s="42" t="s">
        <v>355</v>
      </c>
      <c r="C221" s="43">
        <v>4301031151</v>
      </c>
      <c r="D221" s="75">
        <v>4607091389845</v>
      </c>
      <c r="E221" s="73"/>
      <c r="F221" s="44">
        <v>0.35</v>
      </c>
      <c r="G221" s="45">
        <v>6</v>
      </c>
      <c r="H221" s="44">
        <v>2.1</v>
      </c>
      <c r="I221" s="44">
        <v>2.2000000000000002</v>
      </c>
      <c r="J221" s="45">
        <v>234</v>
      </c>
      <c r="K221" s="45" t="s">
        <v>163</v>
      </c>
      <c r="L221" s="46" t="s">
        <v>64</v>
      </c>
      <c r="M221" s="45">
        <v>40</v>
      </c>
      <c r="N221" s="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72"/>
      <c r="P221" s="72"/>
      <c r="Q221" s="72"/>
      <c r="R221" s="73"/>
      <c r="S221" s="47"/>
      <c r="T221" s="47"/>
      <c r="U221" s="48" t="s">
        <v>65</v>
      </c>
      <c r="V221" s="49">
        <v>10.5</v>
      </c>
      <c r="W221" s="50">
        <f>IFERROR(IF(V221="",0,CEILING((V221/$H221),1)*$H221),"")</f>
        <v>10.5</v>
      </c>
      <c r="X221" s="51">
        <f>IFERROR(IF(W221=0,"",ROUNDUP(W221/H221,0)*0.00502),"")</f>
        <v>2.5100000000000001E-2</v>
      </c>
      <c r="Y221" s="52"/>
      <c r="Z221" s="53"/>
      <c r="AD221" s="54"/>
      <c r="BA221" s="55" t="s">
        <v>1</v>
      </c>
    </row>
    <row r="222" spans="1:53" x14ac:dyDescent="0.2">
      <c r="A222" s="79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1"/>
      <c r="N222" s="76" t="s">
        <v>66</v>
      </c>
      <c r="O222" s="77"/>
      <c r="P222" s="77"/>
      <c r="Q222" s="77"/>
      <c r="R222" s="77"/>
      <c r="S222" s="77"/>
      <c r="T222" s="78"/>
      <c r="U222" s="56" t="s">
        <v>67</v>
      </c>
      <c r="V222" s="57">
        <f>IFERROR(V218/H218,"0")+IFERROR(V219/H219,"0")+IFERROR(V220/H220,"0")+IFERROR(V221/H221,"0")</f>
        <v>15</v>
      </c>
      <c r="W222" s="57">
        <f>IFERROR(W218/H218,"0")+IFERROR(W219/H219,"0")+IFERROR(W220/H220,"0")+IFERROR(W221/H221,"0")</f>
        <v>15</v>
      </c>
      <c r="X222" s="57">
        <f>IFERROR(IF(X218="",0,X218),"0")+IFERROR(IF(X219="",0,X219),"0")+IFERROR(IF(X220="",0,X220),"0")+IFERROR(IF(X221="",0,X221),"0")</f>
        <v>8.7849999999999998E-2</v>
      </c>
      <c r="Y222" s="58"/>
      <c r="Z222" s="58"/>
    </row>
    <row r="223" spans="1:53" x14ac:dyDescent="0.2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1"/>
      <c r="N223" s="76" t="s">
        <v>66</v>
      </c>
      <c r="O223" s="77"/>
      <c r="P223" s="77"/>
      <c r="Q223" s="77"/>
      <c r="R223" s="77"/>
      <c r="S223" s="77"/>
      <c r="T223" s="78"/>
      <c r="U223" s="56" t="s">
        <v>65</v>
      </c>
      <c r="V223" s="57">
        <f>IFERROR(SUM(V218:V221),"0")</f>
        <v>42</v>
      </c>
      <c r="W223" s="57">
        <f>IFERROR(SUM(W218:W221),"0")</f>
        <v>42</v>
      </c>
      <c r="X223" s="56"/>
      <c r="Y223" s="58"/>
      <c r="Z223" s="58"/>
    </row>
    <row r="224" spans="1:53" ht="14.25" customHeight="1" x14ac:dyDescent="0.25">
      <c r="A224" s="82" t="s">
        <v>68</v>
      </c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67"/>
      <c r="Z224" s="67"/>
    </row>
    <row r="225" spans="1:53" ht="16.5" customHeight="1" x14ac:dyDescent="0.25">
      <c r="A225" s="42" t="s">
        <v>356</v>
      </c>
      <c r="B225" s="42" t="s">
        <v>357</v>
      </c>
      <c r="C225" s="43">
        <v>4301051100</v>
      </c>
      <c r="D225" s="75">
        <v>4607091387766</v>
      </c>
      <c r="E225" s="73"/>
      <c r="F225" s="44">
        <v>1.35</v>
      </c>
      <c r="G225" s="45">
        <v>6</v>
      </c>
      <c r="H225" s="44">
        <v>8.1</v>
      </c>
      <c r="I225" s="44">
        <v>8.6579999999999995</v>
      </c>
      <c r="J225" s="45">
        <v>56</v>
      </c>
      <c r="K225" s="45" t="s">
        <v>98</v>
      </c>
      <c r="L225" s="46" t="s">
        <v>128</v>
      </c>
      <c r="M225" s="45">
        <v>40</v>
      </c>
      <c r="N225" s="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72"/>
      <c r="P225" s="72"/>
      <c r="Q225" s="72"/>
      <c r="R225" s="73"/>
      <c r="S225" s="47"/>
      <c r="T225" s="47"/>
      <c r="U225" s="48" t="s">
        <v>65</v>
      </c>
      <c r="V225" s="49">
        <v>320</v>
      </c>
      <c r="W225" s="50">
        <f t="shared" ref="W225:W232" si="12">IFERROR(IF(V225="",0,CEILING((V225/$H225),1)*$H225),"")</f>
        <v>324</v>
      </c>
      <c r="X225" s="51">
        <f>IFERROR(IF(W225=0,"",ROUNDUP(W225/H225,0)*0.02175),"")</f>
        <v>0.86999999999999988</v>
      </c>
      <c r="Y225" s="52"/>
      <c r="Z225" s="53"/>
      <c r="AD225" s="54"/>
      <c r="BA225" s="55" t="s">
        <v>1</v>
      </c>
    </row>
    <row r="226" spans="1:53" ht="27" customHeight="1" x14ac:dyDescent="0.25">
      <c r="A226" s="42" t="s">
        <v>358</v>
      </c>
      <c r="B226" s="42" t="s">
        <v>359</v>
      </c>
      <c r="C226" s="43">
        <v>4301051116</v>
      </c>
      <c r="D226" s="75">
        <v>4607091387957</v>
      </c>
      <c r="E226" s="73"/>
      <c r="F226" s="44">
        <v>1.3</v>
      </c>
      <c r="G226" s="45">
        <v>6</v>
      </c>
      <c r="H226" s="44">
        <v>7.8</v>
      </c>
      <c r="I226" s="44">
        <v>8.3640000000000008</v>
      </c>
      <c r="J226" s="45">
        <v>56</v>
      </c>
      <c r="K226" s="45" t="s">
        <v>98</v>
      </c>
      <c r="L226" s="46" t="s">
        <v>64</v>
      </c>
      <c r="M226" s="45">
        <v>40</v>
      </c>
      <c r="N226" s="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72"/>
      <c r="P226" s="72"/>
      <c r="Q226" s="72"/>
      <c r="R226" s="73"/>
      <c r="S226" s="47"/>
      <c r="T226" s="47"/>
      <c r="U226" s="48" t="s">
        <v>65</v>
      </c>
      <c r="V226" s="49">
        <v>0</v>
      </c>
      <c r="W226" s="50">
        <f t="shared" si="12"/>
        <v>0</v>
      </c>
      <c r="X226" s="51" t="str">
        <f>IFERROR(IF(W226=0,"",ROUNDUP(W226/H226,0)*0.02175),"")</f>
        <v/>
      </c>
      <c r="Y226" s="52"/>
      <c r="Z226" s="53"/>
      <c r="AD226" s="54"/>
      <c r="BA226" s="55" t="s">
        <v>1</v>
      </c>
    </row>
    <row r="227" spans="1:53" ht="27" customHeight="1" x14ac:dyDescent="0.25">
      <c r="A227" s="42" t="s">
        <v>360</v>
      </c>
      <c r="B227" s="42" t="s">
        <v>361</v>
      </c>
      <c r="C227" s="43">
        <v>4301051115</v>
      </c>
      <c r="D227" s="75">
        <v>4607091387964</v>
      </c>
      <c r="E227" s="73"/>
      <c r="F227" s="44">
        <v>1.35</v>
      </c>
      <c r="G227" s="45">
        <v>6</v>
      </c>
      <c r="H227" s="44">
        <v>8.1</v>
      </c>
      <c r="I227" s="44">
        <v>8.6460000000000008</v>
      </c>
      <c r="J227" s="45">
        <v>56</v>
      </c>
      <c r="K227" s="45" t="s">
        <v>98</v>
      </c>
      <c r="L227" s="46" t="s">
        <v>64</v>
      </c>
      <c r="M227" s="45">
        <v>40</v>
      </c>
      <c r="N227" s="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72"/>
      <c r="P227" s="72"/>
      <c r="Q227" s="72"/>
      <c r="R227" s="73"/>
      <c r="S227" s="47"/>
      <c r="T227" s="47"/>
      <c r="U227" s="48" t="s">
        <v>65</v>
      </c>
      <c r="V227" s="49">
        <v>0</v>
      </c>
      <c r="W227" s="50">
        <f t="shared" si="12"/>
        <v>0</v>
      </c>
      <c r="X227" s="51" t="str">
        <f>IFERROR(IF(W227=0,"",ROUNDUP(W227/H227,0)*0.02175),"")</f>
        <v/>
      </c>
      <c r="Y227" s="52"/>
      <c r="Z227" s="53"/>
      <c r="AD227" s="54"/>
      <c r="BA227" s="55" t="s">
        <v>1</v>
      </c>
    </row>
    <row r="228" spans="1:53" ht="27" customHeight="1" x14ac:dyDescent="0.25">
      <c r="A228" s="42" t="s">
        <v>362</v>
      </c>
      <c r="B228" s="42" t="s">
        <v>363</v>
      </c>
      <c r="C228" s="43">
        <v>4301051485</v>
      </c>
      <c r="D228" s="75">
        <v>4680115883567</v>
      </c>
      <c r="E228" s="73"/>
      <c r="F228" s="44">
        <v>0.35</v>
      </c>
      <c r="G228" s="45">
        <v>6</v>
      </c>
      <c r="H228" s="44">
        <v>2.1</v>
      </c>
      <c r="I228" s="44">
        <v>2.36</v>
      </c>
      <c r="J228" s="45">
        <v>156</v>
      </c>
      <c r="K228" s="45" t="s">
        <v>63</v>
      </c>
      <c r="L228" s="46" t="s">
        <v>64</v>
      </c>
      <c r="M228" s="45">
        <v>40</v>
      </c>
      <c r="N228" s="74" t="s">
        <v>364</v>
      </c>
      <c r="O228" s="72"/>
      <c r="P228" s="72"/>
      <c r="Q228" s="72"/>
      <c r="R228" s="73"/>
      <c r="S228" s="47"/>
      <c r="T228" s="47"/>
      <c r="U228" s="48" t="s">
        <v>65</v>
      </c>
      <c r="V228" s="49">
        <v>0</v>
      </c>
      <c r="W228" s="50">
        <f t="shared" si="12"/>
        <v>0</v>
      </c>
      <c r="X228" s="51" t="str">
        <f>IFERROR(IF(W228=0,"",ROUNDUP(W228/H228,0)*0.00753),"")</f>
        <v/>
      </c>
      <c r="Y228" s="52"/>
      <c r="Z228" s="53"/>
      <c r="AD228" s="54"/>
      <c r="BA228" s="55" t="s">
        <v>1</v>
      </c>
    </row>
    <row r="229" spans="1:53" ht="16.5" customHeight="1" x14ac:dyDescent="0.25">
      <c r="A229" s="42" t="s">
        <v>365</v>
      </c>
      <c r="B229" s="42" t="s">
        <v>366</v>
      </c>
      <c r="C229" s="43">
        <v>4301051134</v>
      </c>
      <c r="D229" s="75">
        <v>4607091381672</v>
      </c>
      <c r="E229" s="73"/>
      <c r="F229" s="44">
        <v>0.6</v>
      </c>
      <c r="G229" s="45">
        <v>6</v>
      </c>
      <c r="H229" s="44">
        <v>3.6</v>
      </c>
      <c r="I229" s="44">
        <v>3.8759999999999999</v>
      </c>
      <c r="J229" s="45">
        <v>120</v>
      </c>
      <c r="K229" s="45" t="s">
        <v>63</v>
      </c>
      <c r="L229" s="46" t="s">
        <v>64</v>
      </c>
      <c r="M229" s="45">
        <v>40</v>
      </c>
      <c r="N229" s="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72"/>
      <c r="P229" s="72"/>
      <c r="Q229" s="72"/>
      <c r="R229" s="73"/>
      <c r="S229" s="47"/>
      <c r="T229" s="47"/>
      <c r="U229" s="48" t="s">
        <v>65</v>
      </c>
      <c r="V229" s="49">
        <v>18</v>
      </c>
      <c r="W229" s="50">
        <f t="shared" si="12"/>
        <v>18</v>
      </c>
      <c r="X229" s="51">
        <f>IFERROR(IF(W229=0,"",ROUNDUP(W229/H229,0)*0.00937),"")</f>
        <v>4.6850000000000003E-2</v>
      </c>
      <c r="Y229" s="52"/>
      <c r="Z229" s="53"/>
      <c r="AD229" s="54"/>
      <c r="BA229" s="55" t="s">
        <v>1</v>
      </c>
    </row>
    <row r="230" spans="1:53" ht="27" customHeight="1" x14ac:dyDescent="0.25">
      <c r="A230" s="42" t="s">
        <v>367</v>
      </c>
      <c r="B230" s="42" t="s">
        <v>368</v>
      </c>
      <c r="C230" s="43">
        <v>4301051130</v>
      </c>
      <c r="D230" s="75">
        <v>4607091387537</v>
      </c>
      <c r="E230" s="73"/>
      <c r="F230" s="44">
        <v>0.45</v>
      </c>
      <c r="G230" s="45">
        <v>6</v>
      </c>
      <c r="H230" s="44">
        <v>2.7</v>
      </c>
      <c r="I230" s="44">
        <v>2.99</v>
      </c>
      <c r="J230" s="45">
        <v>156</v>
      </c>
      <c r="K230" s="45" t="s">
        <v>63</v>
      </c>
      <c r="L230" s="46" t="s">
        <v>64</v>
      </c>
      <c r="M230" s="45">
        <v>40</v>
      </c>
      <c r="N230" s="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72"/>
      <c r="P230" s="72"/>
      <c r="Q230" s="72"/>
      <c r="R230" s="73"/>
      <c r="S230" s="47"/>
      <c r="T230" s="47"/>
      <c r="U230" s="48" t="s">
        <v>65</v>
      </c>
      <c r="V230" s="49">
        <v>0</v>
      </c>
      <c r="W230" s="50">
        <f t="shared" si="12"/>
        <v>0</v>
      </c>
      <c r="X230" s="51" t="str">
        <f>IFERROR(IF(W230=0,"",ROUNDUP(W230/H230,0)*0.00753),"")</f>
        <v/>
      </c>
      <c r="Y230" s="52"/>
      <c r="Z230" s="53"/>
      <c r="AD230" s="54"/>
      <c r="BA230" s="55" t="s">
        <v>1</v>
      </c>
    </row>
    <row r="231" spans="1:53" ht="27" customHeight="1" x14ac:dyDescent="0.25">
      <c r="A231" s="42" t="s">
        <v>369</v>
      </c>
      <c r="B231" s="42" t="s">
        <v>370</v>
      </c>
      <c r="C231" s="43">
        <v>4301051132</v>
      </c>
      <c r="D231" s="75">
        <v>4607091387513</v>
      </c>
      <c r="E231" s="73"/>
      <c r="F231" s="44">
        <v>0.45</v>
      </c>
      <c r="G231" s="45">
        <v>6</v>
      </c>
      <c r="H231" s="44">
        <v>2.7</v>
      </c>
      <c r="I231" s="44">
        <v>2.9780000000000002</v>
      </c>
      <c r="J231" s="45">
        <v>156</v>
      </c>
      <c r="K231" s="45" t="s">
        <v>63</v>
      </c>
      <c r="L231" s="46" t="s">
        <v>64</v>
      </c>
      <c r="M231" s="45">
        <v>40</v>
      </c>
      <c r="N231" s="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72"/>
      <c r="P231" s="72"/>
      <c r="Q231" s="72"/>
      <c r="R231" s="73"/>
      <c r="S231" s="47"/>
      <c r="T231" s="47"/>
      <c r="U231" s="48" t="s">
        <v>65</v>
      </c>
      <c r="V231" s="49">
        <v>0</v>
      </c>
      <c r="W231" s="50">
        <f t="shared" si="12"/>
        <v>0</v>
      </c>
      <c r="X231" s="51" t="str">
        <f>IFERROR(IF(W231=0,"",ROUNDUP(W231/H231,0)*0.00753),"")</f>
        <v/>
      </c>
      <c r="Y231" s="52"/>
      <c r="Z231" s="53"/>
      <c r="AD231" s="54"/>
      <c r="BA231" s="55" t="s">
        <v>1</v>
      </c>
    </row>
    <row r="232" spans="1:53" ht="27" customHeight="1" x14ac:dyDescent="0.25">
      <c r="A232" s="42" t="s">
        <v>371</v>
      </c>
      <c r="B232" s="42" t="s">
        <v>372</v>
      </c>
      <c r="C232" s="43">
        <v>4301051277</v>
      </c>
      <c r="D232" s="75">
        <v>4680115880511</v>
      </c>
      <c r="E232" s="73"/>
      <c r="F232" s="44">
        <v>0.33</v>
      </c>
      <c r="G232" s="45">
        <v>6</v>
      </c>
      <c r="H232" s="44">
        <v>1.98</v>
      </c>
      <c r="I232" s="44">
        <v>2.1800000000000002</v>
      </c>
      <c r="J232" s="45">
        <v>156</v>
      </c>
      <c r="K232" s="45" t="s">
        <v>63</v>
      </c>
      <c r="L232" s="46" t="s">
        <v>128</v>
      </c>
      <c r="M232" s="45">
        <v>40</v>
      </c>
      <c r="N232" s="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72"/>
      <c r="P232" s="72"/>
      <c r="Q232" s="72"/>
      <c r="R232" s="73"/>
      <c r="S232" s="47"/>
      <c r="T232" s="47"/>
      <c r="U232" s="48" t="s">
        <v>65</v>
      </c>
      <c r="V232" s="49">
        <v>0</v>
      </c>
      <c r="W232" s="50">
        <f t="shared" si="12"/>
        <v>0</v>
      </c>
      <c r="X232" s="51" t="str">
        <f>IFERROR(IF(W232=0,"",ROUNDUP(W232/H232,0)*0.00753),"")</f>
        <v/>
      </c>
      <c r="Y232" s="52"/>
      <c r="Z232" s="53"/>
      <c r="AD232" s="54"/>
      <c r="BA232" s="55" t="s">
        <v>1</v>
      </c>
    </row>
    <row r="233" spans="1:53" x14ac:dyDescent="0.2">
      <c r="A233" s="79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1"/>
      <c r="N233" s="76" t="s">
        <v>66</v>
      </c>
      <c r="O233" s="77"/>
      <c r="P233" s="77"/>
      <c r="Q233" s="77"/>
      <c r="R233" s="77"/>
      <c r="S233" s="77"/>
      <c r="T233" s="78"/>
      <c r="U233" s="56" t="s">
        <v>67</v>
      </c>
      <c r="V233" s="57">
        <f>IFERROR(V225/H225,"0")+IFERROR(V226/H226,"0")+IFERROR(V227/H227,"0")+IFERROR(V228/H228,"0")+IFERROR(V229/H229,"0")+IFERROR(V230/H230,"0")+IFERROR(V231/H231,"0")+IFERROR(V232/H232,"0")</f>
        <v>44.506172839506178</v>
      </c>
      <c r="W233" s="57">
        <f>IFERROR(W225/H225,"0")+IFERROR(W226/H226,"0")+IFERROR(W227/H227,"0")+IFERROR(W228/H228,"0")+IFERROR(W229/H229,"0")+IFERROR(W230/H230,"0")+IFERROR(W231/H231,"0")+IFERROR(W232/H232,"0")</f>
        <v>45</v>
      </c>
      <c r="X233" s="57">
        <f>IFERROR(IF(X225="",0,X225),"0")+IFERROR(IF(X226="",0,X226),"0")+IFERROR(IF(X227="",0,X227),"0")+IFERROR(IF(X228="",0,X228),"0")+IFERROR(IF(X229="",0,X229),"0")+IFERROR(IF(X230="",0,X230),"0")+IFERROR(IF(X231="",0,X231),"0")+IFERROR(IF(X232="",0,X232),"0")</f>
        <v>0.91684999999999994</v>
      </c>
      <c r="Y233" s="58"/>
      <c r="Z233" s="58"/>
    </row>
    <row r="234" spans="1:53" x14ac:dyDescent="0.2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1"/>
      <c r="N234" s="76" t="s">
        <v>66</v>
      </c>
      <c r="O234" s="77"/>
      <c r="P234" s="77"/>
      <c r="Q234" s="77"/>
      <c r="R234" s="77"/>
      <c r="S234" s="77"/>
      <c r="T234" s="78"/>
      <c r="U234" s="56" t="s">
        <v>65</v>
      </c>
      <c r="V234" s="57">
        <f>IFERROR(SUM(V225:V232),"0")</f>
        <v>338</v>
      </c>
      <c r="W234" s="57">
        <f>IFERROR(SUM(W225:W232),"0")</f>
        <v>342</v>
      </c>
      <c r="X234" s="56"/>
      <c r="Y234" s="58"/>
      <c r="Z234" s="58"/>
    </row>
    <row r="235" spans="1:53" ht="14.25" customHeight="1" x14ac:dyDescent="0.25">
      <c r="A235" s="82" t="s">
        <v>212</v>
      </c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67"/>
      <c r="Z235" s="67"/>
    </row>
    <row r="236" spans="1:53" ht="16.5" customHeight="1" x14ac:dyDescent="0.25">
      <c r="A236" s="42" t="s">
        <v>373</v>
      </c>
      <c r="B236" s="42" t="s">
        <v>374</v>
      </c>
      <c r="C236" s="43">
        <v>4301060326</v>
      </c>
      <c r="D236" s="75">
        <v>4607091380880</v>
      </c>
      <c r="E236" s="73"/>
      <c r="F236" s="44">
        <v>1.4</v>
      </c>
      <c r="G236" s="45">
        <v>6</v>
      </c>
      <c r="H236" s="44">
        <v>8.4</v>
      </c>
      <c r="I236" s="44">
        <v>8.9640000000000004</v>
      </c>
      <c r="J236" s="45">
        <v>56</v>
      </c>
      <c r="K236" s="45" t="s">
        <v>98</v>
      </c>
      <c r="L236" s="46" t="s">
        <v>64</v>
      </c>
      <c r="M236" s="45">
        <v>30</v>
      </c>
      <c r="N236" s="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72"/>
      <c r="P236" s="72"/>
      <c r="Q236" s="72"/>
      <c r="R236" s="73"/>
      <c r="S236" s="47"/>
      <c r="T236" s="47"/>
      <c r="U236" s="48" t="s">
        <v>65</v>
      </c>
      <c r="V236" s="49">
        <v>23.4</v>
      </c>
      <c r="W236" s="50">
        <f>IFERROR(IF(V236="",0,CEILING((V236/$H236),1)*$H236),"")</f>
        <v>25.200000000000003</v>
      </c>
      <c r="X236" s="51">
        <f>IFERROR(IF(W236=0,"",ROUNDUP(W236/H236,0)*0.02175),"")</f>
        <v>6.5250000000000002E-2</v>
      </c>
      <c r="Y236" s="52"/>
      <c r="Z236" s="53"/>
      <c r="AD236" s="54"/>
      <c r="BA236" s="55" t="s">
        <v>1</v>
      </c>
    </row>
    <row r="237" spans="1:53" ht="27" customHeight="1" x14ac:dyDescent="0.25">
      <c r="A237" s="42" t="s">
        <v>375</v>
      </c>
      <c r="B237" s="42" t="s">
        <v>376</v>
      </c>
      <c r="C237" s="43">
        <v>4301060308</v>
      </c>
      <c r="D237" s="75">
        <v>4607091384482</v>
      </c>
      <c r="E237" s="73"/>
      <c r="F237" s="44">
        <v>1.3</v>
      </c>
      <c r="G237" s="45">
        <v>6</v>
      </c>
      <c r="H237" s="44">
        <v>7.8</v>
      </c>
      <c r="I237" s="44">
        <v>8.3640000000000008</v>
      </c>
      <c r="J237" s="45">
        <v>56</v>
      </c>
      <c r="K237" s="45" t="s">
        <v>98</v>
      </c>
      <c r="L237" s="46" t="s">
        <v>64</v>
      </c>
      <c r="M237" s="45">
        <v>30</v>
      </c>
      <c r="N237" s="7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72"/>
      <c r="P237" s="72"/>
      <c r="Q237" s="72"/>
      <c r="R237" s="73"/>
      <c r="S237" s="47"/>
      <c r="T237" s="47"/>
      <c r="U237" s="48" t="s">
        <v>65</v>
      </c>
      <c r="V237" s="49">
        <v>31.2</v>
      </c>
      <c r="W237" s="50">
        <f>IFERROR(IF(V237="",0,CEILING((V237/$H237),1)*$H237),"")</f>
        <v>31.2</v>
      </c>
      <c r="X237" s="51">
        <f>IFERROR(IF(W237=0,"",ROUNDUP(W237/H237,0)*0.02175),"")</f>
        <v>8.6999999999999994E-2</v>
      </c>
      <c r="Y237" s="52"/>
      <c r="Z237" s="53"/>
      <c r="AD237" s="54"/>
      <c r="BA237" s="55" t="s">
        <v>1</v>
      </c>
    </row>
    <row r="238" spans="1:53" ht="16.5" customHeight="1" x14ac:dyDescent="0.25">
      <c r="A238" s="42" t="s">
        <v>377</v>
      </c>
      <c r="B238" s="42" t="s">
        <v>378</v>
      </c>
      <c r="C238" s="43">
        <v>4301060325</v>
      </c>
      <c r="D238" s="75">
        <v>4607091380897</v>
      </c>
      <c r="E238" s="73"/>
      <c r="F238" s="44">
        <v>1.4</v>
      </c>
      <c r="G238" s="45">
        <v>6</v>
      </c>
      <c r="H238" s="44">
        <v>8.4</v>
      </c>
      <c r="I238" s="44">
        <v>8.9640000000000004</v>
      </c>
      <c r="J238" s="45">
        <v>56</v>
      </c>
      <c r="K238" s="45" t="s">
        <v>98</v>
      </c>
      <c r="L238" s="46" t="s">
        <v>64</v>
      </c>
      <c r="M238" s="45">
        <v>30</v>
      </c>
      <c r="N238" s="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72"/>
      <c r="P238" s="72"/>
      <c r="Q238" s="72"/>
      <c r="R238" s="73"/>
      <c r="S238" s="47"/>
      <c r="T238" s="47"/>
      <c r="U238" s="48" t="s">
        <v>65</v>
      </c>
      <c r="V238" s="49">
        <v>31.2</v>
      </c>
      <c r="W238" s="50">
        <f>IFERROR(IF(V238="",0,CEILING((V238/$H238),1)*$H238),"")</f>
        <v>33.6</v>
      </c>
      <c r="X238" s="51">
        <f>IFERROR(IF(W238=0,"",ROUNDUP(W238/H238,0)*0.02175),"")</f>
        <v>8.6999999999999994E-2</v>
      </c>
      <c r="Y238" s="52"/>
      <c r="Z238" s="53"/>
      <c r="AD238" s="54"/>
      <c r="BA238" s="55" t="s">
        <v>1</v>
      </c>
    </row>
    <row r="239" spans="1:53" x14ac:dyDescent="0.2">
      <c r="A239" s="79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1"/>
      <c r="N239" s="76" t="s">
        <v>66</v>
      </c>
      <c r="O239" s="77"/>
      <c r="P239" s="77"/>
      <c r="Q239" s="77"/>
      <c r="R239" s="77"/>
      <c r="S239" s="77"/>
      <c r="T239" s="78"/>
      <c r="U239" s="56" t="s">
        <v>67</v>
      </c>
      <c r="V239" s="57">
        <f>IFERROR(V236/H236,"0")+IFERROR(V237/H237,"0")+IFERROR(V238/H238,"0")</f>
        <v>10.5</v>
      </c>
      <c r="W239" s="57">
        <f>IFERROR(W236/H236,"0")+IFERROR(W237/H237,"0")+IFERROR(W238/H238,"0")</f>
        <v>11</v>
      </c>
      <c r="X239" s="57">
        <f>IFERROR(IF(X236="",0,X236),"0")+IFERROR(IF(X237="",0,X237),"0")+IFERROR(IF(X238="",0,X238),"0")</f>
        <v>0.23924999999999999</v>
      </c>
      <c r="Y239" s="58"/>
      <c r="Z239" s="58"/>
    </row>
    <row r="240" spans="1:53" x14ac:dyDescent="0.2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1"/>
      <c r="N240" s="76" t="s">
        <v>66</v>
      </c>
      <c r="O240" s="77"/>
      <c r="P240" s="77"/>
      <c r="Q240" s="77"/>
      <c r="R240" s="77"/>
      <c r="S240" s="77"/>
      <c r="T240" s="78"/>
      <c r="U240" s="56" t="s">
        <v>65</v>
      </c>
      <c r="V240" s="57">
        <f>IFERROR(SUM(V236:V238),"0")</f>
        <v>85.8</v>
      </c>
      <c r="W240" s="57">
        <f>IFERROR(SUM(W236:W238),"0")</f>
        <v>90</v>
      </c>
      <c r="X240" s="56"/>
      <c r="Y240" s="58"/>
      <c r="Z240" s="58"/>
    </row>
    <row r="241" spans="1:53" ht="14.25" customHeight="1" x14ac:dyDescent="0.25">
      <c r="A241" s="82" t="s">
        <v>81</v>
      </c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67"/>
      <c r="Z241" s="67"/>
    </row>
    <row r="242" spans="1:53" ht="16.5" customHeight="1" x14ac:dyDescent="0.25">
      <c r="A242" s="42" t="s">
        <v>379</v>
      </c>
      <c r="B242" s="42" t="s">
        <v>380</v>
      </c>
      <c r="C242" s="43">
        <v>4301030232</v>
      </c>
      <c r="D242" s="75">
        <v>4607091388374</v>
      </c>
      <c r="E242" s="73"/>
      <c r="F242" s="44">
        <v>0.38</v>
      </c>
      <c r="G242" s="45">
        <v>8</v>
      </c>
      <c r="H242" s="44">
        <v>3.04</v>
      </c>
      <c r="I242" s="44">
        <v>3.28</v>
      </c>
      <c r="J242" s="45">
        <v>156</v>
      </c>
      <c r="K242" s="45" t="s">
        <v>63</v>
      </c>
      <c r="L242" s="46" t="s">
        <v>84</v>
      </c>
      <c r="M242" s="45">
        <v>180</v>
      </c>
      <c r="N242" s="74" t="s">
        <v>381</v>
      </c>
      <c r="O242" s="72"/>
      <c r="P242" s="72"/>
      <c r="Q242" s="72"/>
      <c r="R242" s="73"/>
      <c r="S242" s="47"/>
      <c r="T242" s="47"/>
      <c r="U242" s="48" t="s">
        <v>65</v>
      </c>
      <c r="V242" s="49">
        <v>0</v>
      </c>
      <c r="W242" s="50">
        <f>IFERROR(IF(V242="",0,CEILING((V242/$H242),1)*$H242),"")</f>
        <v>0</v>
      </c>
      <c r="X242" s="51" t="str">
        <f>IFERROR(IF(W242=0,"",ROUNDUP(W242/H242,0)*0.00753),"")</f>
        <v/>
      </c>
      <c r="Y242" s="52"/>
      <c r="Z242" s="53"/>
      <c r="AD242" s="54"/>
      <c r="BA242" s="55" t="s">
        <v>1</v>
      </c>
    </row>
    <row r="243" spans="1:53" ht="27" customHeight="1" x14ac:dyDescent="0.25">
      <c r="A243" s="42" t="s">
        <v>382</v>
      </c>
      <c r="B243" s="42" t="s">
        <v>383</v>
      </c>
      <c r="C243" s="43">
        <v>4301030235</v>
      </c>
      <c r="D243" s="75">
        <v>4607091388381</v>
      </c>
      <c r="E243" s="73"/>
      <c r="F243" s="44">
        <v>0.38</v>
      </c>
      <c r="G243" s="45">
        <v>8</v>
      </c>
      <c r="H243" s="44">
        <v>3.04</v>
      </c>
      <c r="I243" s="44">
        <v>3.32</v>
      </c>
      <c r="J243" s="45">
        <v>156</v>
      </c>
      <c r="K243" s="45" t="s">
        <v>63</v>
      </c>
      <c r="L243" s="46" t="s">
        <v>84</v>
      </c>
      <c r="M243" s="45">
        <v>180</v>
      </c>
      <c r="N243" s="74" t="s">
        <v>384</v>
      </c>
      <c r="O243" s="72"/>
      <c r="P243" s="72"/>
      <c r="Q243" s="72"/>
      <c r="R243" s="73"/>
      <c r="S243" s="47"/>
      <c r="T243" s="47"/>
      <c r="U243" s="48" t="s">
        <v>65</v>
      </c>
      <c r="V243" s="49">
        <v>0</v>
      </c>
      <c r="W243" s="50">
        <f>IFERROR(IF(V243="",0,CEILING((V243/$H243),1)*$H243),"")</f>
        <v>0</v>
      </c>
      <c r="X243" s="51" t="str">
        <f>IFERROR(IF(W243=0,"",ROUNDUP(W243/H243,0)*0.00753),"")</f>
        <v/>
      </c>
      <c r="Y243" s="52"/>
      <c r="Z243" s="53"/>
      <c r="AD243" s="54"/>
      <c r="BA243" s="55" t="s">
        <v>1</v>
      </c>
    </row>
    <row r="244" spans="1:53" ht="27" customHeight="1" x14ac:dyDescent="0.25">
      <c r="A244" s="42" t="s">
        <v>385</v>
      </c>
      <c r="B244" s="42" t="s">
        <v>386</v>
      </c>
      <c r="C244" s="43">
        <v>4301030233</v>
      </c>
      <c r="D244" s="75">
        <v>4607091388404</v>
      </c>
      <c r="E244" s="73"/>
      <c r="F244" s="44">
        <v>0.17</v>
      </c>
      <c r="G244" s="45">
        <v>15</v>
      </c>
      <c r="H244" s="44">
        <v>2.5499999999999998</v>
      </c>
      <c r="I244" s="44">
        <v>2.9</v>
      </c>
      <c r="J244" s="45">
        <v>156</v>
      </c>
      <c r="K244" s="45" t="s">
        <v>63</v>
      </c>
      <c r="L244" s="46" t="s">
        <v>84</v>
      </c>
      <c r="M244" s="45">
        <v>180</v>
      </c>
      <c r="N244" s="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72"/>
      <c r="P244" s="72"/>
      <c r="Q244" s="72"/>
      <c r="R244" s="73"/>
      <c r="S244" s="47"/>
      <c r="T244" s="47"/>
      <c r="U244" s="48" t="s">
        <v>65</v>
      </c>
      <c r="V244" s="49">
        <v>0</v>
      </c>
      <c r="W244" s="50">
        <f>IFERROR(IF(V244="",0,CEILING((V244/$H244),1)*$H244),"")</f>
        <v>0</v>
      </c>
      <c r="X244" s="51" t="str">
        <f>IFERROR(IF(W244=0,"",ROUNDUP(W244/H244,0)*0.00753),"")</f>
        <v/>
      </c>
      <c r="Y244" s="52"/>
      <c r="Z244" s="53"/>
      <c r="AD244" s="54"/>
      <c r="BA244" s="55" t="s">
        <v>1</v>
      </c>
    </row>
    <row r="245" spans="1:53" x14ac:dyDescent="0.2">
      <c r="A245" s="79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1"/>
      <c r="N245" s="76" t="s">
        <v>66</v>
      </c>
      <c r="O245" s="77"/>
      <c r="P245" s="77"/>
      <c r="Q245" s="77"/>
      <c r="R245" s="77"/>
      <c r="S245" s="77"/>
      <c r="T245" s="78"/>
      <c r="U245" s="56" t="s">
        <v>67</v>
      </c>
      <c r="V245" s="57">
        <f>IFERROR(V242/H242,"0")+IFERROR(V243/H243,"0")+IFERROR(V244/H244,"0")</f>
        <v>0</v>
      </c>
      <c r="W245" s="57">
        <f>IFERROR(W242/H242,"0")+IFERROR(W243/H243,"0")+IFERROR(W244/H244,"0")</f>
        <v>0</v>
      </c>
      <c r="X245" s="57">
        <f>IFERROR(IF(X242="",0,X242),"0")+IFERROR(IF(X243="",0,X243),"0")+IFERROR(IF(X244="",0,X244),"0")</f>
        <v>0</v>
      </c>
      <c r="Y245" s="58"/>
      <c r="Z245" s="58"/>
    </row>
    <row r="246" spans="1:53" x14ac:dyDescent="0.2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1"/>
      <c r="N246" s="76" t="s">
        <v>66</v>
      </c>
      <c r="O246" s="77"/>
      <c r="P246" s="77"/>
      <c r="Q246" s="77"/>
      <c r="R246" s="77"/>
      <c r="S246" s="77"/>
      <c r="T246" s="78"/>
      <c r="U246" s="56" t="s">
        <v>65</v>
      </c>
      <c r="V246" s="57">
        <f>IFERROR(SUM(V242:V244),"0")</f>
        <v>0</v>
      </c>
      <c r="W246" s="57">
        <f>IFERROR(SUM(W242:W244),"0")</f>
        <v>0</v>
      </c>
      <c r="X246" s="56"/>
      <c r="Y246" s="58"/>
      <c r="Z246" s="58"/>
    </row>
    <row r="247" spans="1:53" ht="14.25" customHeight="1" x14ac:dyDescent="0.25">
      <c r="A247" s="82" t="s">
        <v>387</v>
      </c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67"/>
      <c r="Z247" s="67"/>
    </row>
    <row r="248" spans="1:53" ht="16.5" customHeight="1" x14ac:dyDescent="0.25">
      <c r="A248" s="42" t="s">
        <v>388</v>
      </c>
      <c r="B248" s="42" t="s">
        <v>389</v>
      </c>
      <c r="C248" s="43">
        <v>4301180007</v>
      </c>
      <c r="D248" s="75">
        <v>4680115881808</v>
      </c>
      <c r="E248" s="73"/>
      <c r="F248" s="44">
        <v>0.1</v>
      </c>
      <c r="G248" s="45">
        <v>20</v>
      </c>
      <c r="H248" s="44">
        <v>2</v>
      </c>
      <c r="I248" s="44">
        <v>2.2400000000000002</v>
      </c>
      <c r="J248" s="45">
        <v>238</v>
      </c>
      <c r="K248" s="45" t="s">
        <v>390</v>
      </c>
      <c r="L248" s="46" t="s">
        <v>391</v>
      </c>
      <c r="M248" s="45">
        <v>730</v>
      </c>
      <c r="N248" s="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72"/>
      <c r="P248" s="72"/>
      <c r="Q248" s="72"/>
      <c r="R248" s="73"/>
      <c r="S248" s="47"/>
      <c r="T248" s="47"/>
      <c r="U248" s="48" t="s">
        <v>65</v>
      </c>
      <c r="V248" s="49">
        <v>0</v>
      </c>
      <c r="W248" s="50">
        <f>IFERROR(IF(V248="",0,CEILING((V248/$H248),1)*$H248),"")</f>
        <v>0</v>
      </c>
      <c r="X248" s="51" t="str">
        <f>IFERROR(IF(W248=0,"",ROUNDUP(W248/H248,0)*0.00474),"")</f>
        <v/>
      </c>
      <c r="Y248" s="52"/>
      <c r="Z248" s="53"/>
      <c r="AD248" s="54"/>
      <c r="BA248" s="55" t="s">
        <v>1</v>
      </c>
    </row>
    <row r="249" spans="1:53" ht="27" customHeight="1" x14ac:dyDescent="0.25">
      <c r="A249" s="42" t="s">
        <v>392</v>
      </c>
      <c r="B249" s="42" t="s">
        <v>393</v>
      </c>
      <c r="C249" s="43">
        <v>4301180006</v>
      </c>
      <c r="D249" s="75">
        <v>4680115881822</v>
      </c>
      <c r="E249" s="73"/>
      <c r="F249" s="44">
        <v>0.1</v>
      </c>
      <c r="G249" s="45">
        <v>20</v>
      </c>
      <c r="H249" s="44">
        <v>2</v>
      </c>
      <c r="I249" s="44">
        <v>2.2400000000000002</v>
      </c>
      <c r="J249" s="45">
        <v>238</v>
      </c>
      <c r="K249" s="45" t="s">
        <v>390</v>
      </c>
      <c r="L249" s="46" t="s">
        <v>391</v>
      </c>
      <c r="M249" s="45">
        <v>730</v>
      </c>
      <c r="N249" s="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72"/>
      <c r="P249" s="72"/>
      <c r="Q249" s="72"/>
      <c r="R249" s="73"/>
      <c r="S249" s="47"/>
      <c r="T249" s="47"/>
      <c r="U249" s="48" t="s">
        <v>65</v>
      </c>
      <c r="V249" s="49">
        <v>0</v>
      </c>
      <c r="W249" s="50">
        <f>IFERROR(IF(V249="",0,CEILING((V249/$H249),1)*$H249),"")</f>
        <v>0</v>
      </c>
      <c r="X249" s="51" t="str">
        <f>IFERROR(IF(W249=0,"",ROUNDUP(W249/H249,0)*0.00474),"")</f>
        <v/>
      </c>
      <c r="Y249" s="52"/>
      <c r="Z249" s="53"/>
      <c r="AD249" s="54"/>
      <c r="BA249" s="55" t="s">
        <v>1</v>
      </c>
    </row>
    <row r="250" spans="1:53" ht="27" customHeight="1" x14ac:dyDescent="0.25">
      <c r="A250" s="42" t="s">
        <v>394</v>
      </c>
      <c r="B250" s="42" t="s">
        <v>395</v>
      </c>
      <c r="C250" s="43">
        <v>4301180001</v>
      </c>
      <c r="D250" s="75">
        <v>4680115880016</v>
      </c>
      <c r="E250" s="73"/>
      <c r="F250" s="44">
        <v>0.1</v>
      </c>
      <c r="G250" s="45">
        <v>20</v>
      </c>
      <c r="H250" s="44">
        <v>2</v>
      </c>
      <c r="I250" s="44">
        <v>2.2400000000000002</v>
      </c>
      <c r="J250" s="45">
        <v>238</v>
      </c>
      <c r="K250" s="45" t="s">
        <v>390</v>
      </c>
      <c r="L250" s="46" t="s">
        <v>391</v>
      </c>
      <c r="M250" s="45">
        <v>730</v>
      </c>
      <c r="N250" s="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72"/>
      <c r="P250" s="72"/>
      <c r="Q250" s="72"/>
      <c r="R250" s="73"/>
      <c r="S250" s="47"/>
      <c r="T250" s="47"/>
      <c r="U250" s="48" t="s">
        <v>65</v>
      </c>
      <c r="V250" s="49">
        <v>0</v>
      </c>
      <c r="W250" s="50">
        <f>IFERROR(IF(V250="",0,CEILING((V250/$H250),1)*$H250),"")</f>
        <v>0</v>
      </c>
      <c r="X250" s="51" t="str">
        <f>IFERROR(IF(W250=0,"",ROUNDUP(W250/H250,0)*0.00474),"")</f>
        <v/>
      </c>
      <c r="Y250" s="52"/>
      <c r="Z250" s="53"/>
      <c r="AD250" s="54"/>
      <c r="BA250" s="55" t="s">
        <v>1</v>
      </c>
    </row>
    <row r="251" spans="1:53" x14ac:dyDescent="0.2">
      <c r="A251" s="79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1"/>
      <c r="N251" s="76" t="s">
        <v>66</v>
      </c>
      <c r="O251" s="77"/>
      <c r="P251" s="77"/>
      <c r="Q251" s="77"/>
      <c r="R251" s="77"/>
      <c r="S251" s="77"/>
      <c r="T251" s="78"/>
      <c r="U251" s="56" t="s">
        <v>67</v>
      </c>
      <c r="V251" s="57">
        <f>IFERROR(V248/H248,"0")+IFERROR(V249/H249,"0")+IFERROR(V250/H250,"0")</f>
        <v>0</v>
      </c>
      <c r="W251" s="57">
        <f>IFERROR(W248/H248,"0")+IFERROR(W249/H249,"0")+IFERROR(W250/H250,"0")</f>
        <v>0</v>
      </c>
      <c r="X251" s="57">
        <f>IFERROR(IF(X248="",0,X248),"0")+IFERROR(IF(X249="",0,X249),"0")+IFERROR(IF(X250="",0,X250),"0")</f>
        <v>0</v>
      </c>
      <c r="Y251" s="58"/>
      <c r="Z251" s="58"/>
    </row>
    <row r="252" spans="1:53" x14ac:dyDescent="0.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1"/>
      <c r="N252" s="76" t="s">
        <v>66</v>
      </c>
      <c r="O252" s="77"/>
      <c r="P252" s="77"/>
      <c r="Q252" s="77"/>
      <c r="R252" s="77"/>
      <c r="S252" s="77"/>
      <c r="T252" s="78"/>
      <c r="U252" s="56" t="s">
        <v>65</v>
      </c>
      <c r="V252" s="57">
        <f>IFERROR(SUM(V248:V250),"0")</f>
        <v>0</v>
      </c>
      <c r="W252" s="57">
        <f>IFERROR(SUM(W248:W250),"0")</f>
        <v>0</v>
      </c>
      <c r="X252" s="56"/>
      <c r="Y252" s="58"/>
      <c r="Z252" s="58"/>
    </row>
    <row r="253" spans="1:53" ht="16.5" customHeight="1" x14ac:dyDescent="0.25">
      <c r="A253" s="87" t="s">
        <v>396</v>
      </c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66"/>
      <c r="Z253" s="66"/>
    </row>
    <row r="254" spans="1:53" ht="14.25" customHeight="1" x14ac:dyDescent="0.25">
      <c r="A254" s="82" t="s">
        <v>103</v>
      </c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67"/>
      <c r="Z254" s="67"/>
    </row>
    <row r="255" spans="1:53" ht="27" customHeight="1" x14ac:dyDescent="0.25">
      <c r="A255" s="42" t="s">
        <v>397</v>
      </c>
      <c r="B255" s="42" t="s">
        <v>398</v>
      </c>
      <c r="C255" s="43">
        <v>4301011315</v>
      </c>
      <c r="D255" s="75">
        <v>4607091387421</v>
      </c>
      <c r="E255" s="73"/>
      <c r="F255" s="44">
        <v>1.35</v>
      </c>
      <c r="G255" s="45">
        <v>8</v>
      </c>
      <c r="H255" s="44">
        <v>10.8</v>
      </c>
      <c r="I255" s="44">
        <v>11.28</v>
      </c>
      <c r="J255" s="45">
        <v>56</v>
      </c>
      <c r="K255" s="45" t="s">
        <v>98</v>
      </c>
      <c r="L255" s="46" t="s">
        <v>99</v>
      </c>
      <c r="M255" s="45">
        <v>55</v>
      </c>
      <c r="N255" s="7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72"/>
      <c r="P255" s="72"/>
      <c r="Q255" s="72"/>
      <c r="R255" s="73"/>
      <c r="S255" s="47"/>
      <c r="T255" s="47"/>
      <c r="U255" s="48" t="s">
        <v>65</v>
      </c>
      <c r="V255" s="49">
        <v>32.4</v>
      </c>
      <c r="W255" s="50">
        <f t="shared" ref="W255:W261" si="13">IFERROR(IF(V255="",0,CEILING((V255/$H255),1)*$H255),"")</f>
        <v>32.400000000000006</v>
      </c>
      <c r="X255" s="51">
        <f>IFERROR(IF(W255=0,"",ROUNDUP(W255/H255,0)*0.02175),"")</f>
        <v>6.5250000000000002E-2</v>
      </c>
      <c r="Y255" s="52"/>
      <c r="Z255" s="53"/>
      <c r="AD255" s="54"/>
      <c r="BA255" s="55" t="s">
        <v>1</v>
      </c>
    </row>
    <row r="256" spans="1:53" ht="27" customHeight="1" x14ac:dyDescent="0.25">
      <c r="A256" s="42" t="s">
        <v>397</v>
      </c>
      <c r="B256" s="42" t="s">
        <v>399</v>
      </c>
      <c r="C256" s="43">
        <v>4301011121</v>
      </c>
      <c r="D256" s="75">
        <v>4607091387421</v>
      </c>
      <c r="E256" s="73"/>
      <c r="F256" s="44">
        <v>1.35</v>
      </c>
      <c r="G256" s="45">
        <v>8</v>
      </c>
      <c r="H256" s="44">
        <v>10.8</v>
      </c>
      <c r="I256" s="44">
        <v>11.28</v>
      </c>
      <c r="J256" s="45">
        <v>48</v>
      </c>
      <c r="K256" s="45" t="s">
        <v>98</v>
      </c>
      <c r="L256" s="46" t="s">
        <v>106</v>
      </c>
      <c r="M256" s="45">
        <v>55</v>
      </c>
      <c r="N256" s="7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72"/>
      <c r="P256" s="72"/>
      <c r="Q256" s="72"/>
      <c r="R256" s="73"/>
      <c r="S256" s="47"/>
      <c r="T256" s="47"/>
      <c r="U256" s="48" t="s">
        <v>65</v>
      </c>
      <c r="V256" s="49">
        <v>0</v>
      </c>
      <c r="W256" s="50">
        <f t="shared" si="13"/>
        <v>0</v>
      </c>
      <c r="X256" s="51" t="str">
        <f>IFERROR(IF(W256=0,"",ROUNDUP(W256/H256,0)*0.02039),"")</f>
        <v/>
      </c>
      <c r="Y256" s="52"/>
      <c r="Z256" s="53"/>
      <c r="AD256" s="54"/>
      <c r="BA256" s="55" t="s">
        <v>1</v>
      </c>
    </row>
    <row r="257" spans="1:53" ht="27" customHeight="1" x14ac:dyDescent="0.25">
      <c r="A257" s="42" t="s">
        <v>400</v>
      </c>
      <c r="B257" s="42" t="s">
        <v>401</v>
      </c>
      <c r="C257" s="43">
        <v>4301011619</v>
      </c>
      <c r="D257" s="75">
        <v>4607091387452</v>
      </c>
      <c r="E257" s="73"/>
      <c r="F257" s="44">
        <v>1.45</v>
      </c>
      <c r="G257" s="45">
        <v>8</v>
      </c>
      <c r="H257" s="44">
        <v>11.6</v>
      </c>
      <c r="I257" s="44">
        <v>12.08</v>
      </c>
      <c r="J257" s="45">
        <v>56</v>
      </c>
      <c r="K257" s="45" t="s">
        <v>98</v>
      </c>
      <c r="L257" s="46" t="s">
        <v>99</v>
      </c>
      <c r="M257" s="45">
        <v>55</v>
      </c>
      <c r="N257" s="74" t="s">
        <v>402</v>
      </c>
      <c r="O257" s="72"/>
      <c r="P257" s="72"/>
      <c r="Q257" s="72"/>
      <c r="R257" s="73"/>
      <c r="S257" s="47"/>
      <c r="T257" s="47"/>
      <c r="U257" s="48" t="s">
        <v>65</v>
      </c>
      <c r="V257" s="49">
        <v>0</v>
      </c>
      <c r="W257" s="50">
        <f t="shared" si="13"/>
        <v>0</v>
      </c>
      <c r="X257" s="51" t="str">
        <f>IFERROR(IF(W257=0,"",ROUNDUP(W257/H257,0)*0.02175),"")</f>
        <v/>
      </c>
      <c r="Y257" s="52"/>
      <c r="Z257" s="53"/>
      <c r="AD257" s="54"/>
      <c r="BA257" s="55" t="s">
        <v>1</v>
      </c>
    </row>
    <row r="258" spans="1:53" ht="27" customHeight="1" x14ac:dyDescent="0.25">
      <c r="A258" s="42" t="s">
        <v>400</v>
      </c>
      <c r="B258" s="42" t="s">
        <v>403</v>
      </c>
      <c r="C258" s="43">
        <v>4301011396</v>
      </c>
      <c r="D258" s="75">
        <v>4607091387452</v>
      </c>
      <c r="E258" s="73"/>
      <c r="F258" s="44">
        <v>1.35</v>
      </c>
      <c r="G258" s="45">
        <v>8</v>
      </c>
      <c r="H258" s="44">
        <v>10.8</v>
      </c>
      <c r="I258" s="44">
        <v>11.28</v>
      </c>
      <c r="J258" s="45">
        <v>48</v>
      </c>
      <c r="K258" s="45" t="s">
        <v>98</v>
      </c>
      <c r="L258" s="46" t="s">
        <v>106</v>
      </c>
      <c r="M258" s="45">
        <v>55</v>
      </c>
      <c r="N258" s="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72"/>
      <c r="P258" s="72"/>
      <c r="Q258" s="72"/>
      <c r="R258" s="73"/>
      <c r="S258" s="47"/>
      <c r="T258" s="47"/>
      <c r="U258" s="48" t="s">
        <v>65</v>
      </c>
      <c r="V258" s="49">
        <v>0</v>
      </c>
      <c r="W258" s="50">
        <f t="shared" si="13"/>
        <v>0</v>
      </c>
      <c r="X258" s="51" t="str">
        <f>IFERROR(IF(W258=0,"",ROUNDUP(W258/H258,0)*0.02039),"")</f>
        <v/>
      </c>
      <c r="Y258" s="52"/>
      <c r="Z258" s="53"/>
      <c r="AD258" s="54"/>
      <c r="BA258" s="55" t="s">
        <v>1</v>
      </c>
    </row>
    <row r="259" spans="1:53" ht="27" customHeight="1" x14ac:dyDescent="0.25">
      <c r="A259" s="42" t="s">
        <v>404</v>
      </c>
      <c r="B259" s="42" t="s">
        <v>405</v>
      </c>
      <c r="C259" s="43">
        <v>4301011313</v>
      </c>
      <c r="D259" s="75">
        <v>4607091385984</v>
      </c>
      <c r="E259" s="73"/>
      <c r="F259" s="44">
        <v>1.35</v>
      </c>
      <c r="G259" s="45">
        <v>8</v>
      </c>
      <c r="H259" s="44">
        <v>10.8</v>
      </c>
      <c r="I259" s="44">
        <v>11.28</v>
      </c>
      <c r="J259" s="45">
        <v>56</v>
      </c>
      <c r="K259" s="45" t="s">
        <v>98</v>
      </c>
      <c r="L259" s="46" t="s">
        <v>99</v>
      </c>
      <c r="M259" s="45">
        <v>55</v>
      </c>
      <c r="N259" s="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72"/>
      <c r="P259" s="72"/>
      <c r="Q259" s="72"/>
      <c r="R259" s="73"/>
      <c r="S259" s="47"/>
      <c r="T259" s="47"/>
      <c r="U259" s="48" t="s">
        <v>65</v>
      </c>
      <c r="V259" s="49">
        <v>0</v>
      </c>
      <c r="W259" s="50">
        <f t="shared" si="13"/>
        <v>0</v>
      </c>
      <c r="X259" s="51" t="str">
        <f>IFERROR(IF(W259=0,"",ROUNDUP(W259/H259,0)*0.02175),"")</f>
        <v/>
      </c>
      <c r="Y259" s="52"/>
      <c r="Z259" s="53"/>
      <c r="AD259" s="54"/>
      <c r="BA259" s="55" t="s">
        <v>1</v>
      </c>
    </row>
    <row r="260" spans="1:53" ht="27" customHeight="1" x14ac:dyDescent="0.25">
      <c r="A260" s="42" t="s">
        <v>406</v>
      </c>
      <c r="B260" s="42" t="s">
        <v>407</v>
      </c>
      <c r="C260" s="43">
        <v>4301011316</v>
      </c>
      <c r="D260" s="75">
        <v>4607091387438</v>
      </c>
      <c r="E260" s="73"/>
      <c r="F260" s="44">
        <v>0.5</v>
      </c>
      <c r="G260" s="45">
        <v>10</v>
      </c>
      <c r="H260" s="44">
        <v>5</v>
      </c>
      <c r="I260" s="44">
        <v>5.24</v>
      </c>
      <c r="J260" s="45">
        <v>120</v>
      </c>
      <c r="K260" s="45" t="s">
        <v>63</v>
      </c>
      <c r="L260" s="46" t="s">
        <v>99</v>
      </c>
      <c r="M260" s="45">
        <v>55</v>
      </c>
      <c r="N260" s="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72"/>
      <c r="P260" s="72"/>
      <c r="Q260" s="72"/>
      <c r="R260" s="73"/>
      <c r="S260" s="47"/>
      <c r="T260" s="47"/>
      <c r="U260" s="48" t="s">
        <v>65</v>
      </c>
      <c r="V260" s="49">
        <v>0</v>
      </c>
      <c r="W260" s="50">
        <f t="shared" si="13"/>
        <v>0</v>
      </c>
      <c r="X260" s="51" t="str">
        <f>IFERROR(IF(W260=0,"",ROUNDUP(W260/H260,0)*0.00937),"")</f>
        <v/>
      </c>
      <c r="Y260" s="52"/>
      <c r="Z260" s="53"/>
      <c r="AD260" s="54"/>
      <c r="BA260" s="55" t="s">
        <v>1</v>
      </c>
    </row>
    <row r="261" spans="1:53" ht="27" customHeight="1" x14ac:dyDescent="0.25">
      <c r="A261" s="42" t="s">
        <v>408</v>
      </c>
      <c r="B261" s="42" t="s">
        <v>409</v>
      </c>
      <c r="C261" s="43">
        <v>4301011318</v>
      </c>
      <c r="D261" s="75">
        <v>4607091387469</v>
      </c>
      <c r="E261" s="73"/>
      <c r="F261" s="44">
        <v>0.5</v>
      </c>
      <c r="G261" s="45">
        <v>10</v>
      </c>
      <c r="H261" s="44">
        <v>5</v>
      </c>
      <c r="I261" s="44">
        <v>5.21</v>
      </c>
      <c r="J261" s="45">
        <v>120</v>
      </c>
      <c r="K261" s="45" t="s">
        <v>63</v>
      </c>
      <c r="L261" s="46" t="s">
        <v>64</v>
      </c>
      <c r="M261" s="45">
        <v>55</v>
      </c>
      <c r="N261" s="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72"/>
      <c r="P261" s="72"/>
      <c r="Q261" s="72"/>
      <c r="R261" s="73"/>
      <c r="S261" s="47"/>
      <c r="T261" s="47"/>
      <c r="U261" s="48" t="s">
        <v>65</v>
      </c>
      <c r="V261" s="49">
        <v>0</v>
      </c>
      <c r="W261" s="50">
        <f t="shared" si="13"/>
        <v>0</v>
      </c>
      <c r="X261" s="51" t="str">
        <f>IFERROR(IF(W261=0,"",ROUNDUP(W261/H261,0)*0.00937),"")</f>
        <v/>
      </c>
      <c r="Y261" s="52"/>
      <c r="Z261" s="53"/>
      <c r="AD261" s="54"/>
      <c r="BA261" s="55" t="s">
        <v>1</v>
      </c>
    </row>
    <row r="262" spans="1:53" x14ac:dyDescent="0.2">
      <c r="A262" s="79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1"/>
      <c r="N262" s="76" t="s">
        <v>66</v>
      </c>
      <c r="O262" s="77"/>
      <c r="P262" s="77"/>
      <c r="Q262" s="77"/>
      <c r="R262" s="77"/>
      <c r="S262" s="77"/>
      <c r="T262" s="78"/>
      <c r="U262" s="56" t="s">
        <v>67</v>
      </c>
      <c r="V262" s="57">
        <f>IFERROR(V255/H255,"0")+IFERROR(V256/H256,"0")+IFERROR(V257/H257,"0")+IFERROR(V258/H258,"0")+IFERROR(V259/H259,"0")+IFERROR(V260/H260,"0")+IFERROR(V261/H261,"0")</f>
        <v>2.9999999999999996</v>
      </c>
      <c r="W262" s="57">
        <f>IFERROR(W255/H255,"0")+IFERROR(W256/H256,"0")+IFERROR(W257/H257,"0")+IFERROR(W258/H258,"0")+IFERROR(W259/H259,"0")+IFERROR(W260/H260,"0")+IFERROR(W261/H261,"0")</f>
        <v>3.0000000000000004</v>
      </c>
      <c r="X262" s="57">
        <f>IFERROR(IF(X255="",0,X255),"0")+IFERROR(IF(X256="",0,X256),"0")+IFERROR(IF(X257="",0,X257),"0")+IFERROR(IF(X258="",0,X258),"0")+IFERROR(IF(X259="",0,X259),"0")+IFERROR(IF(X260="",0,X260),"0")+IFERROR(IF(X261="",0,X261),"0")</f>
        <v>6.5250000000000002E-2</v>
      </c>
      <c r="Y262" s="58"/>
      <c r="Z262" s="58"/>
    </row>
    <row r="263" spans="1:53" x14ac:dyDescent="0.2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1"/>
      <c r="N263" s="76" t="s">
        <v>66</v>
      </c>
      <c r="O263" s="77"/>
      <c r="P263" s="77"/>
      <c r="Q263" s="77"/>
      <c r="R263" s="77"/>
      <c r="S263" s="77"/>
      <c r="T263" s="78"/>
      <c r="U263" s="56" t="s">
        <v>65</v>
      </c>
      <c r="V263" s="57">
        <f>IFERROR(SUM(V255:V261),"0")</f>
        <v>32.4</v>
      </c>
      <c r="W263" s="57">
        <f>IFERROR(SUM(W255:W261),"0")</f>
        <v>32.400000000000006</v>
      </c>
      <c r="X263" s="56"/>
      <c r="Y263" s="58"/>
      <c r="Z263" s="58"/>
    </row>
    <row r="264" spans="1:53" ht="14.25" customHeight="1" x14ac:dyDescent="0.25">
      <c r="A264" s="82" t="s">
        <v>60</v>
      </c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67"/>
      <c r="Z264" s="67"/>
    </row>
    <row r="265" spans="1:53" ht="27" customHeight="1" x14ac:dyDescent="0.25">
      <c r="A265" s="42" t="s">
        <v>410</v>
      </c>
      <c r="B265" s="42" t="s">
        <v>411</v>
      </c>
      <c r="C265" s="43">
        <v>4301031154</v>
      </c>
      <c r="D265" s="75">
        <v>4607091387292</v>
      </c>
      <c r="E265" s="73"/>
      <c r="F265" s="44">
        <v>0.73</v>
      </c>
      <c r="G265" s="45">
        <v>6</v>
      </c>
      <c r="H265" s="44">
        <v>4.38</v>
      </c>
      <c r="I265" s="44">
        <v>4.6399999999999997</v>
      </c>
      <c r="J265" s="45">
        <v>156</v>
      </c>
      <c r="K265" s="45" t="s">
        <v>63</v>
      </c>
      <c r="L265" s="46" t="s">
        <v>64</v>
      </c>
      <c r="M265" s="45">
        <v>45</v>
      </c>
      <c r="N265" s="7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72"/>
      <c r="P265" s="72"/>
      <c r="Q265" s="72"/>
      <c r="R265" s="73"/>
      <c r="S265" s="47"/>
      <c r="T265" s="47"/>
      <c r="U265" s="48" t="s">
        <v>65</v>
      </c>
      <c r="V265" s="49">
        <v>0</v>
      </c>
      <c r="W265" s="50">
        <f>IFERROR(IF(V265="",0,CEILING((V265/$H265),1)*$H265),"")</f>
        <v>0</v>
      </c>
      <c r="X265" s="51" t="str">
        <f>IFERROR(IF(W265=0,"",ROUNDUP(W265/H265,0)*0.00753),"")</f>
        <v/>
      </c>
      <c r="Y265" s="52"/>
      <c r="Z265" s="53"/>
      <c r="AD265" s="54"/>
      <c r="BA265" s="55" t="s">
        <v>1</v>
      </c>
    </row>
    <row r="266" spans="1:53" ht="27" customHeight="1" x14ac:dyDescent="0.25">
      <c r="A266" s="42" t="s">
        <v>412</v>
      </c>
      <c r="B266" s="42" t="s">
        <v>413</v>
      </c>
      <c r="C266" s="43">
        <v>4301031155</v>
      </c>
      <c r="D266" s="75">
        <v>4607091387315</v>
      </c>
      <c r="E266" s="73"/>
      <c r="F266" s="44">
        <v>0.7</v>
      </c>
      <c r="G266" s="45">
        <v>4</v>
      </c>
      <c r="H266" s="44">
        <v>2.8</v>
      </c>
      <c r="I266" s="44">
        <v>3.048</v>
      </c>
      <c r="J266" s="45">
        <v>156</v>
      </c>
      <c r="K266" s="45" t="s">
        <v>63</v>
      </c>
      <c r="L266" s="46" t="s">
        <v>64</v>
      </c>
      <c r="M266" s="45">
        <v>45</v>
      </c>
      <c r="N266" s="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72"/>
      <c r="P266" s="72"/>
      <c r="Q266" s="72"/>
      <c r="R266" s="73"/>
      <c r="S266" s="47"/>
      <c r="T266" s="47"/>
      <c r="U266" s="48" t="s">
        <v>65</v>
      </c>
      <c r="V266" s="49">
        <v>0</v>
      </c>
      <c r="W266" s="50">
        <f>IFERROR(IF(V266="",0,CEILING((V266/$H266),1)*$H266),"")</f>
        <v>0</v>
      </c>
      <c r="X266" s="51" t="str">
        <f>IFERROR(IF(W266=0,"",ROUNDUP(W266/H266,0)*0.00753),"")</f>
        <v/>
      </c>
      <c r="Y266" s="52"/>
      <c r="Z266" s="53"/>
      <c r="AD266" s="54"/>
      <c r="BA266" s="55" t="s">
        <v>1</v>
      </c>
    </row>
    <row r="267" spans="1:53" x14ac:dyDescent="0.2">
      <c r="A267" s="79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1"/>
      <c r="N267" s="76" t="s">
        <v>66</v>
      </c>
      <c r="O267" s="77"/>
      <c r="P267" s="77"/>
      <c r="Q267" s="77"/>
      <c r="R267" s="77"/>
      <c r="S267" s="77"/>
      <c r="T267" s="78"/>
      <c r="U267" s="56" t="s">
        <v>67</v>
      </c>
      <c r="V267" s="57">
        <f>IFERROR(V265/H265,"0")+IFERROR(V266/H266,"0")</f>
        <v>0</v>
      </c>
      <c r="W267" s="57">
        <f>IFERROR(W265/H265,"0")+IFERROR(W266/H266,"0")</f>
        <v>0</v>
      </c>
      <c r="X267" s="57">
        <f>IFERROR(IF(X265="",0,X265),"0")+IFERROR(IF(X266="",0,X266),"0")</f>
        <v>0</v>
      </c>
      <c r="Y267" s="58"/>
      <c r="Z267" s="58"/>
    </row>
    <row r="268" spans="1:53" x14ac:dyDescent="0.2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1"/>
      <c r="N268" s="76" t="s">
        <v>66</v>
      </c>
      <c r="O268" s="77"/>
      <c r="P268" s="77"/>
      <c r="Q268" s="77"/>
      <c r="R268" s="77"/>
      <c r="S268" s="77"/>
      <c r="T268" s="78"/>
      <c r="U268" s="56" t="s">
        <v>65</v>
      </c>
      <c r="V268" s="57">
        <f>IFERROR(SUM(V265:V266),"0")</f>
        <v>0</v>
      </c>
      <c r="W268" s="57">
        <f>IFERROR(SUM(W265:W266),"0")</f>
        <v>0</v>
      </c>
      <c r="X268" s="56"/>
      <c r="Y268" s="58"/>
      <c r="Z268" s="58"/>
    </row>
    <row r="269" spans="1:53" ht="16.5" customHeight="1" x14ac:dyDescent="0.25">
      <c r="A269" s="87" t="s">
        <v>414</v>
      </c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66"/>
      <c r="Z269" s="66"/>
    </row>
    <row r="270" spans="1:53" ht="14.25" customHeight="1" x14ac:dyDescent="0.25">
      <c r="A270" s="82" t="s">
        <v>60</v>
      </c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67"/>
      <c r="Z270" s="67"/>
    </row>
    <row r="271" spans="1:53" ht="27" customHeight="1" x14ac:dyDescent="0.25">
      <c r="A271" s="42" t="s">
        <v>415</v>
      </c>
      <c r="B271" s="42" t="s">
        <v>416</v>
      </c>
      <c r="C271" s="43">
        <v>4301031066</v>
      </c>
      <c r="D271" s="75">
        <v>4607091383836</v>
      </c>
      <c r="E271" s="73"/>
      <c r="F271" s="44">
        <v>0.3</v>
      </c>
      <c r="G271" s="45">
        <v>6</v>
      </c>
      <c r="H271" s="44">
        <v>1.8</v>
      </c>
      <c r="I271" s="44">
        <v>2.048</v>
      </c>
      <c r="J271" s="45">
        <v>156</v>
      </c>
      <c r="K271" s="45" t="s">
        <v>63</v>
      </c>
      <c r="L271" s="46" t="s">
        <v>64</v>
      </c>
      <c r="M271" s="45">
        <v>40</v>
      </c>
      <c r="N271" s="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72"/>
      <c r="P271" s="72"/>
      <c r="Q271" s="72"/>
      <c r="R271" s="73"/>
      <c r="S271" s="47"/>
      <c r="T271" s="47"/>
      <c r="U271" s="48" t="s">
        <v>65</v>
      </c>
      <c r="V271" s="49">
        <v>0</v>
      </c>
      <c r="W271" s="50">
        <f>IFERROR(IF(V271="",0,CEILING((V271/$H271),1)*$H271),"")</f>
        <v>0</v>
      </c>
      <c r="X271" s="51" t="str">
        <f>IFERROR(IF(W271=0,"",ROUNDUP(W271/H271,0)*0.00753),"")</f>
        <v/>
      </c>
      <c r="Y271" s="52"/>
      <c r="Z271" s="53"/>
      <c r="AD271" s="54"/>
      <c r="BA271" s="55" t="s">
        <v>1</v>
      </c>
    </row>
    <row r="272" spans="1:53" x14ac:dyDescent="0.2">
      <c r="A272" s="79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1"/>
      <c r="N272" s="76" t="s">
        <v>66</v>
      </c>
      <c r="O272" s="77"/>
      <c r="P272" s="77"/>
      <c r="Q272" s="77"/>
      <c r="R272" s="77"/>
      <c r="S272" s="77"/>
      <c r="T272" s="78"/>
      <c r="U272" s="56" t="s">
        <v>67</v>
      </c>
      <c r="V272" s="57">
        <f>IFERROR(V271/H271,"0")</f>
        <v>0</v>
      </c>
      <c r="W272" s="57">
        <f>IFERROR(W271/H271,"0")</f>
        <v>0</v>
      </c>
      <c r="X272" s="57">
        <f>IFERROR(IF(X271="",0,X271),"0")</f>
        <v>0</v>
      </c>
      <c r="Y272" s="58"/>
      <c r="Z272" s="58"/>
    </row>
    <row r="273" spans="1:53" x14ac:dyDescent="0.2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1"/>
      <c r="N273" s="76" t="s">
        <v>66</v>
      </c>
      <c r="O273" s="77"/>
      <c r="P273" s="77"/>
      <c r="Q273" s="77"/>
      <c r="R273" s="77"/>
      <c r="S273" s="77"/>
      <c r="T273" s="78"/>
      <c r="U273" s="56" t="s">
        <v>65</v>
      </c>
      <c r="V273" s="57">
        <f>IFERROR(SUM(V271:V271),"0")</f>
        <v>0</v>
      </c>
      <c r="W273" s="57">
        <f>IFERROR(SUM(W271:W271),"0")</f>
        <v>0</v>
      </c>
      <c r="X273" s="56"/>
      <c r="Y273" s="58"/>
      <c r="Z273" s="58"/>
    </row>
    <row r="274" spans="1:53" ht="14.25" customHeight="1" x14ac:dyDescent="0.25">
      <c r="A274" s="82" t="s">
        <v>68</v>
      </c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67"/>
      <c r="Z274" s="67"/>
    </row>
    <row r="275" spans="1:53" ht="27" customHeight="1" x14ac:dyDescent="0.25">
      <c r="A275" s="42" t="s">
        <v>417</v>
      </c>
      <c r="B275" s="42" t="s">
        <v>418</v>
      </c>
      <c r="C275" s="43">
        <v>4301051142</v>
      </c>
      <c r="D275" s="75">
        <v>4607091387919</v>
      </c>
      <c r="E275" s="73"/>
      <c r="F275" s="44">
        <v>1.35</v>
      </c>
      <c r="G275" s="45">
        <v>6</v>
      </c>
      <c r="H275" s="44">
        <v>8.1</v>
      </c>
      <c r="I275" s="44">
        <v>8.6639999999999997</v>
      </c>
      <c r="J275" s="45">
        <v>56</v>
      </c>
      <c r="K275" s="45" t="s">
        <v>98</v>
      </c>
      <c r="L275" s="46" t="s">
        <v>64</v>
      </c>
      <c r="M275" s="45">
        <v>45</v>
      </c>
      <c r="N275" s="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72"/>
      <c r="P275" s="72"/>
      <c r="Q275" s="72"/>
      <c r="R275" s="73"/>
      <c r="S275" s="47"/>
      <c r="T275" s="47"/>
      <c r="U275" s="48" t="s">
        <v>65</v>
      </c>
      <c r="V275" s="49">
        <v>23.4</v>
      </c>
      <c r="W275" s="50">
        <f>IFERROR(IF(V275="",0,CEILING((V275/$H275),1)*$H275),"")</f>
        <v>24.299999999999997</v>
      </c>
      <c r="X275" s="51">
        <f>IFERROR(IF(W275=0,"",ROUNDUP(W275/H275,0)*0.02175),"")</f>
        <v>6.5250000000000002E-2</v>
      </c>
      <c r="Y275" s="52"/>
      <c r="Z275" s="53"/>
      <c r="AD275" s="54"/>
      <c r="BA275" s="55" t="s">
        <v>1</v>
      </c>
    </row>
    <row r="276" spans="1:53" ht="27" customHeight="1" x14ac:dyDescent="0.25">
      <c r="A276" s="42" t="s">
        <v>419</v>
      </c>
      <c r="B276" s="42" t="s">
        <v>420</v>
      </c>
      <c r="C276" s="43">
        <v>4301051109</v>
      </c>
      <c r="D276" s="75">
        <v>4607091383942</v>
      </c>
      <c r="E276" s="73"/>
      <c r="F276" s="44">
        <v>0.42</v>
      </c>
      <c r="G276" s="45">
        <v>6</v>
      </c>
      <c r="H276" s="44">
        <v>2.52</v>
      </c>
      <c r="I276" s="44">
        <v>2.7919999999999998</v>
      </c>
      <c r="J276" s="45">
        <v>156</v>
      </c>
      <c r="K276" s="45" t="s">
        <v>63</v>
      </c>
      <c r="L276" s="46" t="s">
        <v>128</v>
      </c>
      <c r="M276" s="45">
        <v>45</v>
      </c>
      <c r="N276" s="7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72"/>
      <c r="P276" s="72"/>
      <c r="Q276" s="72"/>
      <c r="R276" s="73"/>
      <c r="S276" s="47"/>
      <c r="T276" s="47"/>
      <c r="U276" s="48" t="s">
        <v>65</v>
      </c>
      <c r="V276" s="49">
        <v>12.6</v>
      </c>
      <c r="W276" s="50">
        <f>IFERROR(IF(V276="",0,CEILING((V276/$H276),1)*$H276),"")</f>
        <v>12.6</v>
      </c>
      <c r="X276" s="51">
        <f>IFERROR(IF(W276=0,"",ROUNDUP(W276/H276,0)*0.00753),"")</f>
        <v>3.7650000000000003E-2</v>
      </c>
      <c r="Y276" s="52"/>
      <c r="Z276" s="53"/>
      <c r="AD276" s="54"/>
      <c r="BA276" s="55" t="s">
        <v>1</v>
      </c>
    </row>
    <row r="277" spans="1:53" ht="27" customHeight="1" x14ac:dyDescent="0.25">
      <c r="A277" s="42" t="s">
        <v>421</v>
      </c>
      <c r="B277" s="42" t="s">
        <v>422</v>
      </c>
      <c r="C277" s="43">
        <v>4301051518</v>
      </c>
      <c r="D277" s="75">
        <v>4607091383959</v>
      </c>
      <c r="E277" s="73"/>
      <c r="F277" s="44">
        <v>0.42</v>
      </c>
      <c r="G277" s="45">
        <v>6</v>
      </c>
      <c r="H277" s="44">
        <v>2.52</v>
      </c>
      <c r="I277" s="44">
        <v>2.78</v>
      </c>
      <c r="J277" s="45">
        <v>156</v>
      </c>
      <c r="K277" s="45" t="s">
        <v>63</v>
      </c>
      <c r="L277" s="46" t="s">
        <v>64</v>
      </c>
      <c r="M277" s="45">
        <v>40</v>
      </c>
      <c r="N277" s="74" t="s">
        <v>423</v>
      </c>
      <c r="O277" s="72"/>
      <c r="P277" s="72"/>
      <c r="Q277" s="72"/>
      <c r="R277" s="73"/>
      <c r="S277" s="47"/>
      <c r="T277" s="47"/>
      <c r="U277" s="48" t="s">
        <v>65</v>
      </c>
      <c r="V277" s="49">
        <v>12.6</v>
      </c>
      <c r="W277" s="50">
        <f>IFERROR(IF(V277="",0,CEILING((V277/$H277),1)*$H277),"")</f>
        <v>12.6</v>
      </c>
      <c r="X277" s="51">
        <f>IFERROR(IF(W277=0,"",ROUNDUP(W277/H277,0)*0.00753),"")</f>
        <v>3.7650000000000003E-2</v>
      </c>
      <c r="Y277" s="52"/>
      <c r="Z277" s="53"/>
      <c r="AD277" s="54"/>
      <c r="BA277" s="55" t="s">
        <v>1</v>
      </c>
    </row>
    <row r="278" spans="1:53" x14ac:dyDescent="0.2">
      <c r="A278" s="79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1"/>
      <c r="N278" s="76" t="s">
        <v>66</v>
      </c>
      <c r="O278" s="77"/>
      <c r="P278" s="77"/>
      <c r="Q278" s="77"/>
      <c r="R278" s="77"/>
      <c r="S278" s="77"/>
      <c r="T278" s="78"/>
      <c r="U278" s="56" t="s">
        <v>67</v>
      </c>
      <c r="V278" s="57">
        <f>IFERROR(V275/H275,"0")+IFERROR(V276/H276,"0")+IFERROR(V277/H277,"0")</f>
        <v>12.888888888888889</v>
      </c>
      <c r="W278" s="57">
        <f>IFERROR(W275/H275,"0")+IFERROR(W276/H276,"0")+IFERROR(W277/H277,"0")</f>
        <v>13</v>
      </c>
      <c r="X278" s="57">
        <f>IFERROR(IF(X275="",0,X275),"0")+IFERROR(IF(X276="",0,X276),"0")+IFERROR(IF(X277="",0,X277),"0")</f>
        <v>0.14055000000000001</v>
      </c>
      <c r="Y278" s="58"/>
      <c r="Z278" s="58"/>
    </row>
    <row r="279" spans="1:53" x14ac:dyDescent="0.2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1"/>
      <c r="N279" s="76" t="s">
        <v>66</v>
      </c>
      <c r="O279" s="77"/>
      <c r="P279" s="77"/>
      <c r="Q279" s="77"/>
      <c r="R279" s="77"/>
      <c r="S279" s="77"/>
      <c r="T279" s="78"/>
      <c r="U279" s="56" t="s">
        <v>65</v>
      </c>
      <c r="V279" s="57">
        <f>IFERROR(SUM(V275:V277),"0")</f>
        <v>48.6</v>
      </c>
      <c r="W279" s="57">
        <f>IFERROR(SUM(W275:W277),"0")</f>
        <v>49.5</v>
      </c>
      <c r="X279" s="56"/>
      <c r="Y279" s="58"/>
      <c r="Z279" s="58"/>
    </row>
    <row r="280" spans="1:53" ht="14.25" customHeight="1" x14ac:dyDescent="0.25">
      <c r="A280" s="82" t="s">
        <v>212</v>
      </c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67"/>
      <c r="Z280" s="67"/>
    </row>
    <row r="281" spans="1:53" ht="27" customHeight="1" x14ac:dyDescent="0.25">
      <c r="A281" s="42" t="s">
        <v>424</v>
      </c>
      <c r="B281" s="42" t="s">
        <v>425</v>
      </c>
      <c r="C281" s="43">
        <v>4301060324</v>
      </c>
      <c r="D281" s="75">
        <v>4607091388831</v>
      </c>
      <c r="E281" s="73"/>
      <c r="F281" s="44">
        <v>0.38</v>
      </c>
      <c r="G281" s="45">
        <v>6</v>
      </c>
      <c r="H281" s="44">
        <v>2.2799999999999998</v>
      </c>
      <c r="I281" s="44">
        <v>2.552</v>
      </c>
      <c r="J281" s="45">
        <v>156</v>
      </c>
      <c r="K281" s="45" t="s">
        <v>63</v>
      </c>
      <c r="L281" s="46" t="s">
        <v>64</v>
      </c>
      <c r="M281" s="45">
        <v>40</v>
      </c>
      <c r="N281" s="7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72"/>
      <c r="P281" s="72"/>
      <c r="Q281" s="72"/>
      <c r="R281" s="73"/>
      <c r="S281" s="47"/>
      <c r="T281" s="47"/>
      <c r="U281" s="48" t="s">
        <v>65</v>
      </c>
      <c r="V281" s="49">
        <v>2.1</v>
      </c>
      <c r="W281" s="50">
        <f>IFERROR(IF(V281="",0,CEILING((V281/$H281),1)*$H281),"")</f>
        <v>2.2799999999999998</v>
      </c>
      <c r="X281" s="51">
        <f>IFERROR(IF(W281=0,"",ROUNDUP(W281/H281,0)*0.00753),"")</f>
        <v>7.5300000000000002E-3</v>
      </c>
      <c r="Y281" s="52"/>
      <c r="Z281" s="53"/>
      <c r="AD281" s="54"/>
      <c r="BA281" s="55" t="s">
        <v>1</v>
      </c>
    </row>
    <row r="282" spans="1:53" x14ac:dyDescent="0.2">
      <c r="A282" s="79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1"/>
      <c r="N282" s="76" t="s">
        <v>66</v>
      </c>
      <c r="O282" s="77"/>
      <c r="P282" s="77"/>
      <c r="Q282" s="77"/>
      <c r="R282" s="77"/>
      <c r="S282" s="77"/>
      <c r="T282" s="78"/>
      <c r="U282" s="56" t="s">
        <v>67</v>
      </c>
      <c r="V282" s="57">
        <f>IFERROR(V281/H281,"0")</f>
        <v>0.92105263157894746</v>
      </c>
      <c r="W282" s="57">
        <f>IFERROR(W281/H281,"0")</f>
        <v>1</v>
      </c>
      <c r="X282" s="57">
        <f>IFERROR(IF(X281="",0,X281),"0")</f>
        <v>7.5300000000000002E-3</v>
      </c>
      <c r="Y282" s="58"/>
      <c r="Z282" s="58"/>
    </row>
    <row r="283" spans="1:53" x14ac:dyDescent="0.2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1"/>
      <c r="N283" s="76" t="s">
        <v>66</v>
      </c>
      <c r="O283" s="77"/>
      <c r="P283" s="77"/>
      <c r="Q283" s="77"/>
      <c r="R283" s="77"/>
      <c r="S283" s="77"/>
      <c r="T283" s="78"/>
      <c r="U283" s="56" t="s">
        <v>65</v>
      </c>
      <c r="V283" s="57">
        <f>IFERROR(SUM(V281:V281),"0")</f>
        <v>2.1</v>
      </c>
      <c r="W283" s="57">
        <f>IFERROR(SUM(W281:W281),"0")</f>
        <v>2.2799999999999998</v>
      </c>
      <c r="X283" s="56"/>
      <c r="Y283" s="58"/>
      <c r="Z283" s="58"/>
    </row>
    <row r="284" spans="1:53" ht="14.25" customHeight="1" x14ac:dyDescent="0.25">
      <c r="A284" s="82" t="s">
        <v>81</v>
      </c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67"/>
      <c r="Z284" s="67"/>
    </row>
    <row r="285" spans="1:53" ht="27" customHeight="1" x14ac:dyDescent="0.25">
      <c r="A285" s="42" t="s">
        <v>426</v>
      </c>
      <c r="B285" s="42" t="s">
        <v>427</v>
      </c>
      <c r="C285" s="43">
        <v>4301032015</v>
      </c>
      <c r="D285" s="75">
        <v>4607091383102</v>
      </c>
      <c r="E285" s="73"/>
      <c r="F285" s="44">
        <v>0.17</v>
      </c>
      <c r="G285" s="45">
        <v>15</v>
      </c>
      <c r="H285" s="44">
        <v>2.5499999999999998</v>
      </c>
      <c r="I285" s="44">
        <v>2.9750000000000001</v>
      </c>
      <c r="J285" s="45">
        <v>156</v>
      </c>
      <c r="K285" s="45" t="s">
        <v>63</v>
      </c>
      <c r="L285" s="46" t="s">
        <v>84</v>
      </c>
      <c r="M285" s="45">
        <v>180</v>
      </c>
      <c r="N285" s="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72"/>
      <c r="P285" s="72"/>
      <c r="Q285" s="72"/>
      <c r="R285" s="73"/>
      <c r="S285" s="47"/>
      <c r="T285" s="47"/>
      <c r="U285" s="48" t="s">
        <v>65</v>
      </c>
      <c r="V285" s="49">
        <v>0</v>
      </c>
      <c r="W285" s="50">
        <f>IFERROR(IF(V285="",0,CEILING((V285/$H285),1)*$H285),"")</f>
        <v>0</v>
      </c>
      <c r="X285" s="51" t="str">
        <f>IFERROR(IF(W285=0,"",ROUNDUP(W285/H285,0)*0.00753),"")</f>
        <v/>
      </c>
      <c r="Y285" s="52"/>
      <c r="Z285" s="53"/>
      <c r="AD285" s="54"/>
      <c r="BA285" s="55" t="s">
        <v>1</v>
      </c>
    </row>
    <row r="286" spans="1:53" x14ac:dyDescent="0.2">
      <c r="A286" s="79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1"/>
      <c r="N286" s="76" t="s">
        <v>66</v>
      </c>
      <c r="O286" s="77"/>
      <c r="P286" s="77"/>
      <c r="Q286" s="77"/>
      <c r="R286" s="77"/>
      <c r="S286" s="77"/>
      <c r="T286" s="78"/>
      <c r="U286" s="56" t="s">
        <v>67</v>
      </c>
      <c r="V286" s="57">
        <f>IFERROR(V285/H285,"0")</f>
        <v>0</v>
      </c>
      <c r="W286" s="57">
        <f>IFERROR(W285/H285,"0")</f>
        <v>0</v>
      </c>
      <c r="X286" s="57">
        <f>IFERROR(IF(X285="",0,X285),"0")</f>
        <v>0</v>
      </c>
      <c r="Y286" s="58"/>
      <c r="Z286" s="58"/>
    </row>
    <row r="287" spans="1:53" x14ac:dyDescent="0.2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1"/>
      <c r="N287" s="76" t="s">
        <v>66</v>
      </c>
      <c r="O287" s="77"/>
      <c r="P287" s="77"/>
      <c r="Q287" s="77"/>
      <c r="R287" s="77"/>
      <c r="S287" s="77"/>
      <c r="T287" s="78"/>
      <c r="U287" s="56" t="s">
        <v>65</v>
      </c>
      <c r="V287" s="57">
        <f>IFERROR(SUM(V285:V285),"0")</f>
        <v>0</v>
      </c>
      <c r="W287" s="57">
        <f>IFERROR(SUM(W285:W285),"0")</f>
        <v>0</v>
      </c>
      <c r="X287" s="56"/>
      <c r="Y287" s="58"/>
      <c r="Z287" s="58"/>
    </row>
    <row r="288" spans="1:53" ht="27.75" customHeight="1" x14ac:dyDescent="0.2">
      <c r="A288" s="101" t="s">
        <v>428</v>
      </c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41"/>
      <c r="Z288" s="41"/>
    </row>
    <row r="289" spans="1:53" ht="16.5" customHeight="1" x14ac:dyDescent="0.25">
      <c r="A289" s="87" t="s">
        <v>429</v>
      </c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66"/>
      <c r="Z289" s="66"/>
    </row>
    <row r="290" spans="1:53" ht="14.25" customHeight="1" x14ac:dyDescent="0.25">
      <c r="A290" s="82" t="s">
        <v>103</v>
      </c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67"/>
      <c r="Z290" s="67"/>
    </row>
    <row r="291" spans="1:53" ht="27" customHeight="1" x14ac:dyDescent="0.25">
      <c r="A291" s="42" t="s">
        <v>430</v>
      </c>
      <c r="B291" s="42" t="s">
        <v>431</v>
      </c>
      <c r="C291" s="43">
        <v>4301011339</v>
      </c>
      <c r="D291" s="75">
        <v>4607091383997</v>
      </c>
      <c r="E291" s="73"/>
      <c r="F291" s="44">
        <v>2.5</v>
      </c>
      <c r="G291" s="45">
        <v>6</v>
      </c>
      <c r="H291" s="44">
        <v>15</v>
      </c>
      <c r="I291" s="44">
        <v>15.48</v>
      </c>
      <c r="J291" s="45">
        <v>48</v>
      </c>
      <c r="K291" s="45" t="s">
        <v>98</v>
      </c>
      <c r="L291" s="46" t="s">
        <v>64</v>
      </c>
      <c r="M291" s="45">
        <v>60</v>
      </c>
      <c r="N291" s="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72"/>
      <c r="P291" s="72"/>
      <c r="Q291" s="72"/>
      <c r="R291" s="73"/>
      <c r="S291" s="47"/>
      <c r="T291" s="47"/>
      <c r="U291" s="48" t="s">
        <v>65</v>
      </c>
      <c r="V291" s="49">
        <v>225</v>
      </c>
      <c r="W291" s="50">
        <f t="shared" ref="W291:W298" si="14">IFERROR(IF(V291="",0,CEILING((V291/$H291),1)*$H291),"")</f>
        <v>225</v>
      </c>
      <c r="X291" s="51">
        <f>IFERROR(IF(W291=0,"",ROUNDUP(W291/H291,0)*0.02175),"")</f>
        <v>0.32624999999999998</v>
      </c>
      <c r="Y291" s="52"/>
      <c r="Z291" s="53"/>
      <c r="AD291" s="54"/>
      <c r="BA291" s="55" t="s">
        <v>1</v>
      </c>
    </row>
    <row r="292" spans="1:53" ht="27" customHeight="1" x14ac:dyDescent="0.25">
      <c r="A292" s="42" t="s">
        <v>430</v>
      </c>
      <c r="B292" s="42" t="s">
        <v>432</v>
      </c>
      <c r="C292" s="43">
        <v>4301011239</v>
      </c>
      <c r="D292" s="75">
        <v>4607091383997</v>
      </c>
      <c r="E292" s="73"/>
      <c r="F292" s="44">
        <v>2.5</v>
      </c>
      <c r="G292" s="45">
        <v>6</v>
      </c>
      <c r="H292" s="44">
        <v>15</v>
      </c>
      <c r="I292" s="44">
        <v>15.48</v>
      </c>
      <c r="J292" s="45">
        <v>48</v>
      </c>
      <c r="K292" s="45" t="s">
        <v>98</v>
      </c>
      <c r="L292" s="46" t="s">
        <v>106</v>
      </c>
      <c r="M292" s="45">
        <v>60</v>
      </c>
      <c r="N292" s="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72"/>
      <c r="P292" s="72"/>
      <c r="Q292" s="72"/>
      <c r="R292" s="73"/>
      <c r="S292" s="47"/>
      <c r="T292" s="47"/>
      <c r="U292" s="48" t="s">
        <v>65</v>
      </c>
      <c r="V292" s="49">
        <v>0</v>
      </c>
      <c r="W292" s="50">
        <f t="shared" si="14"/>
        <v>0</v>
      </c>
      <c r="X292" s="51" t="str">
        <f>IFERROR(IF(W292=0,"",ROUNDUP(W292/H292,0)*0.02039),"")</f>
        <v/>
      </c>
      <c r="Y292" s="52"/>
      <c r="Z292" s="53"/>
      <c r="AD292" s="54"/>
      <c r="BA292" s="55" t="s">
        <v>1</v>
      </c>
    </row>
    <row r="293" spans="1:53" ht="27" customHeight="1" x14ac:dyDescent="0.25">
      <c r="A293" s="42" t="s">
        <v>433</v>
      </c>
      <c r="B293" s="42" t="s">
        <v>434</v>
      </c>
      <c r="C293" s="43">
        <v>4301011326</v>
      </c>
      <c r="D293" s="75">
        <v>4607091384130</v>
      </c>
      <c r="E293" s="73"/>
      <c r="F293" s="44">
        <v>2.5</v>
      </c>
      <c r="G293" s="45">
        <v>6</v>
      </c>
      <c r="H293" s="44">
        <v>15</v>
      </c>
      <c r="I293" s="44">
        <v>15.48</v>
      </c>
      <c r="J293" s="45">
        <v>48</v>
      </c>
      <c r="K293" s="45" t="s">
        <v>98</v>
      </c>
      <c r="L293" s="46" t="s">
        <v>64</v>
      </c>
      <c r="M293" s="45">
        <v>60</v>
      </c>
      <c r="N293" s="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72"/>
      <c r="P293" s="72"/>
      <c r="Q293" s="72"/>
      <c r="R293" s="73"/>
      <c r="S293" s="47"/>
      <c r="T293" s="47"/>
      <c r="U293" s="48" t="s">
        <v>65</v>
      </c>
      <c r="V293" s="49">
        <v>15</v>
      </c>
      <c r="W293" s="50">
        <f t="shared" si="14"/>
        <v>15</v>
      </c>
      <c r="X293" s="51">
        <f>IFERROR(IF(W293=0,"",ROUNDUP(W293/H293,0)*0.02175),"")</f>
        <v>2.1749999999999999E-2</v>
      </c>
      <c r="Y293" s="52"/>
      <c r="Z293" s="53"/>
      <c r="AD293" s="54"/>
      <c r="BA293" s="55" t="s">
        <v>1</v>
      </c>
    </row>
    <row r="294" spans="1:53" ht="27" customHeight="1" x14ac:dyDescent="0.25">
      <c r="A294" s="42" t="s">
        <v>433</v>
      </c>
      <c r="B294" s="42" t="s">
        <v>435</v>
      </c>
      <c r="C294" s="43">
        <v>4301011240</v>
      </c>
      <c r="D294" s="75">
        <v>4607091384130</v>
      </c>
      <c r="E294" s="73"/>
      <c r="F294" s="44">
        <v>2.5</v>
      </c>
      <c r="G294" s="45">
        <v>6</v>
      </c>
      <c r="H294" s="44">
        <v>15</v>
      </c>
      <c r="I294" s="44">
        <v>15.48</v>
      </c>
      <c r="J294" s="45">
        <v>48</v>
      </c>
      <c r="K294" s="45" t="s">
        <v>98</v>
      </c>
      <c r="L294" s="46" t="s">
        <v>106</v>
      </c>
      <c r="M294" s="45">
        <v>60</v>
      </c>
      <c r="N294" s="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72"/>
      <c r="P294" s="72"/>
      <c r="Q294" s="72"/>
      <c r="R294" s="73"/>
      <c r="S294" s="47"/>
      <c r="T294" s="47"/>
      <c r="U294" s="48" t="s">
        <v>65</v>
      </c>
      <c r="V294" s="49">
        <v>0</v>
      </c>
      <c r="W294" s="50">
        <f t="shared" si="14"/>
        <v>0</v>
      </c>
      <c r="X294" s="51" t="str">
        <f>IFERROR(IF(W294=0,"",ROUNDUP(W294/H294,0)*0.02039),"")</f>
        <v/>
      </c>
      <c r="Y294" s="52"/>
      <c r="Z294" s="53"/>
      <c r="AD294" s="54"/>
      <c r="BA294" s="55" t="s">
        <v>1</v>
      </c>
    </row>
    <row r="295" spans="1:53" ht="16.5" customHeight="1" x14ac:dyDescent="0.25">
      <c r="A295" s="42" t="s">
        <v>436</v>
      </c>
      <c r="B295" s="42" t="s">
        <v>437</v>
      </c>
      <c r="C295" s="43">
        <v>4301011330</v>
      </c>
      <c r="D295" s="75">
        <v>4607091384147</v>
      </c>
      <c r="E295" s="73"/>
      <c r="F295" s="44">
        <v>2.5</v>
      </c>
      <c r="G295" s="45">
        <v>6</v>
      </c>
      <c r="H295" s="44">
        <v>15</v>
      </c>
      <c r="I295" s="44">
        <v>15.48</v>
      </c>
      <c r="J295" s="45">
        <v>48</v>
      </c>
      <c r="K295" s="45" t="s">
        <v>98</v>
      </c>
      <c r="L295" s="46" t="s">
        <v>64</v>
      </c>
      <c r="M295" s="45">
        <v>60</v>
      </c>
      <c r="N295" s="7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72"/>
      <c r="P295" s="72"/>
      <c r="Q295" s="72"/>
      <c r="R295" s="73"/>
      <c r="S295" s="47"/>
      <c r="T295" s="47"/>
      <c r="U295" s="48" t="s">
        <v>65</v>
      </c>
      <c r="V295" s="49">
        <v>75</v>
      </c>
      <c r="W295" s="50">
        <f t="shared" si="14"/>
        <v>75</v>
      </c>
      <c r="X295" s="51">
        <f>IFERROR(IF(W295=0,"",ROUNDUP(W295/H295,0)*0.02175),"")</f>
        <v>0.10874999999999999</v>
      </c>
      <c r="Y295" s="52"/>
      <c r="Z295" s="53"/>
      <c r="AD295" s="54"/>
      <c r="BA295" s="55" t="s">
        <v>1</v>
      </c>
    </row>
    <row r="296" spans="1:53" ht="16.5" customHeight="1" x14ac:dyDescent="0.25">
      <c r="A296" s="42" t="s">
        <v>436</v>
      </c>
      <c r="B296" s="42" t="s">
        <v>438</v>
      </c>
      <c r="C296" s="43">
        <v>4301011238</v>
      </c>
      <c r="D296" s="75">
        <v>4607091384147</v>
      </c>
      <c r="E296" s="73"/>
      <c r="F296" s="44">
        <v>2.5</v>
      </c>
      <c r="G296" s="45">
        <v>6</v>
      </c>
      <c r="H296" s="44">
        <v>15</v>
      </c>
      <c r="I296" s="44">
        <v>15.48</v>
      </c>
      <c r="J296" s="45">
        <v>48</v>
      </c>
      <c r="K296" s="45" t="s">
        <v>98</v>
      </c>
      <c r="L296" s="46" t="s">
        <v>106</v>
      </c>
      <c r="M296" s="45">
        <v>60</v>
      </c>
      <c r="N296" s="74" t="s">
        <v>439</v>
      </c>
      <c r="O296" s="72"/>
      <c r="P296" s="72"/>
      <c r="Q296" s="72"/>
      <c r="R296" s="73"/>
      <c r="S296" s="47"/>
      <c r="T296" s="47"/>
      <c r="U296" s="48" t="s">
        <v>65</v>
      </c>
      <c r="V296" s="49">
        <v>0</v>
      </c>
      <c r="W296" s="50">
        <f t="shared" si="14"/>
        <v>0</v>
      </c>
      <c r="X296" s="51" t="str">
        <f>IFERROR(IF(W296=0,"",ROUNDUP(W296/H296,0)*0.02039),"")</f>
        <v/>
      </c>
      <c r="Y296" s="52"/>
      <c r="Z296" s="53"/>
      <c r="AD296" s="54"/>
      <c r="BA296" s="55" t="s">
        <v>1</v>
      </c>
    </row>
    <row r="297" spans="1:53" ht="27" customHeight="1" x14ac:dyDescent="0.25">
      <c r="A297" s="42" t="s">
        <v>440</v>
      </c>
      <c r="B297" s="42" t="s">
        <v>441</v>
      </c>
      <c r="C297" s="43">
        <v>4301011327</v>
      </c>
      <c r="D297" s="75">
        <v>4607091384154</v>
      </c>
      <c r="E297" s="73"/>
      <c r="F297" s="44">
        <v>0.5</v>
      </c>
      <c r="G297" s="45">
        <v>10</v>
      </c>
      <c r="H297" s="44">
        <v>5</v>
      </c>
      <c r="I297" s="44">
        <v>5.21</v>
      </c>
      <c r="J297" s="45">
        <v>120</v>
      </c>
      <c r="K297" s="45" t="s">
        <v>63</v>
      </c>
      <c r="L297" s="46" t="s">
        <v>64</v>
      </c>
      <c r="M297" s="45">
        <v>60</v>
      </c>
      <c r="N297" s="7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72"/>
      <c r="P297" s="72"/>
      <c r="Q297" s="72"/>
      <c r="R297" s="73"/>
      <c r="S297" s="47"/>
      <c r="T297" s="47"/>
      <c r="U297" s="48" t="s">
        <v>65</v>
      </c>
      <c r="V297" s="49">
        <v>0</v>
      </c>
      <c r="W297" s="50">
        <f t="shared" si="14"/>
        <v>0</v>
      </c>
      <c r="X297" s="51" t="str">
        <f>IFERROR(IF(W297=0,"",ROUNDUP(W297/H297,0)*0.00937),"")</f>
        <v/>
      </c>
      <c r="Y297" s="52"/>
      <c r="Z297" s="53"/>
      <c r="AD297" s="54"/>
      <c r="BA297" s="55" t="s">
        <v>1</v>
      </c>
    </row>
    <row r="298" spans="1:53" ht="27" customHeight="1" x14ac:dyDescent="0.25">
      <c r="A298" s="42" t="s">
        <v>442</v>
      </c>
      <c r="B298" s="42" t="s">
        <v>443</v>
      </c>
      <c r="C298" s="43">
        <v>4301011332</v>
      </c>
      <c r="D298" s="75">
        <v>4607091384161</v>
      </c>
      <c r="E298" s="73"/>
      <c r="F298" s="44">
        <v>0.5</v>
      </c>
      <c r="G298" s="45">
        <v>10</v>
      </c>
      <c r="H298" s="44">
        <v>5</v>
      </c>
      <c r="I298" s="44">
        <v>5.21</v>
      </c>
      <c r="J298" s="45">
        <v>120</v>
      </c>
      <c r="K298" s="45" t="s">
        <v>63</v>
      </c>
      <c r="L298" s="46" t="s">
        <v>64</v>
      </c>
      <c r="M298" s="45">
        <v>60</v>
      </c>
      <c r="N298" s="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72"/>
      <c r="P298" s="72"/>
      <c r="Q298" s="72"/>
      <c r="R298" s="73"/>
      <c r="S298" s="47"/>
      <c r="T298" s="47"/>
      <c r="U298" s="48" t="s">
        <v>65</v>
      </c>
      <c r="V298" s="49">
        <v>0</v>
      </c>
      <c r="W298" s="50">
        <f t="shared" si="14"/>
        <v>0</v>
      </c>
      <c r="X298" s="51" t="str">
        <f>IFERROR(IF(W298=0,"",ROUNDUP(W298/H298,0)*0.00937),"")</f>
        <v/>
      </c>
      <c r="Y298" s="52"/>
      <c r="Z298" s="53"/>
      <c r="AD298" s="54"/>
      <c r="BA298" s="55" t="s">
        <v>1</v>
      </c>
    </row>
    <row r="299" spans="1:53" x14ac:dyDescent="0.2">
      <c r="A299" s="79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1"/>
      <c r="N299" s="76" t="s">
        <v>66</v>
      </c>
      <c r="O299" s="77"/>
      <c r="P299" s="77"/>
      <c r="Q299" s="77"/>
      <c r="R299" s="77"/>
      <c r="S299" s="77"/>
      <c r="T299" s="78"/>
      <c r="U299" s="56" t="s">
        <v>67</v>
      </c>
      <c r="V299" s="57">
        <f>IFERROR(V291/H291,"0")+IFERROR(V292/H292,"0")+IFERROR(V293/H293,"0")+IFERROR(V294/H294,"0")+IFERROR(V295/H295,"0")+IFERROR(V296/H296,"0")+IFERROR(V297/H297,"0")+IFERROR(V298/H298,"0")</f>
        <v>21</v>
      </c>
      <c r="W299" s="57">
        <f>IFERROR(W291/H291,"0")+IFERROR(W292/H292,"0")+IFERROR(W293/H293,"0")+IFERROR(W294/H294,"0")+IFERROR(W295/H295,"0")+IFERROR(W296/H296,"0")+IFERROR(W297/H297,"0")+IFERROR(W298/H298,"0")</f>
        <v>21</v>
      </c>
      <c r="X299" s="5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0.45674999999999999</v>
      </c>
      <c r="Y299" s="58"/>
      <c r="Z299" s="58"/>
    </row>
    <row r="300" spans="1:53" x14ac:dyDescent="0.2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1"/>
      <c r="N300" s="76" t="s">
        <v>66</v>
      </c>
      <c r="O300" s="77"/>
      <c r="P300" s="77"/>
      <c r="Q300" s="77"/>
      <c r="R300" s="77"/>
      <c r="S300" s="77"/>
      <c r="T300" s="78"/>
      <c r="U300" s="56" t="s">
        <v>65</v>
      </c>
      <c r="V300" s="57">
        <f>IFERROR(SUM(V291:V298),"0")</f>
        <v>315</v>
      </c>
      <c r="W300" s="57">
        <f>IFERROR(SUM(W291:W298),"0")</f>
        <v>315</v>
      </c>
      <c r="X300" s="56"/>
      <c r="Y300" s="58"/>
      <c r="Z300" s="58"/>
    </row>
    <row r="301" spans="1:53" ht="14.25" customHeight="1" x14ac:dyDescent="0.25">
      <c r="A301" s="82" t="s">
        <v>95</v>
      </c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67"/>
      <c r="Z301" s="67"/>
    </row>
    <row r="302" spans="1:53" ht="16.5" customHeight="1" x14ac:dyDescent="0.25">
      <c r="A302" s="42" t="s">
        <v>444</v>
      </c>
      <c r="B302" s="42" t="s">
        <v>445</v>
      </c>
      <c r="C302" s="43">
        <v>4301020270</v>
      </c>
      <c r="D302" s="75">
        <v>4680115883314</v>
      </c>
      <c r="E302" s="73"/>
      <c r="F302" s="44">
        <v>1.35</v>
      </c>
      <c r="G302" s="45">
        <v>8</v>
      </c>
      <c r="H302" s="44">
        <v>10.8</v>
      </c>
      <c r="I302" s="44">
        <v>11.28</v>
      </c>
      <c r="J302" s="45">
        <v>56</v>
      </c>
      <c r="K302" s="45" t="s">
        <v>98</v>
      </c>
      <c r="L302" s="46" t="s">
        <v>128</v>
      </c>
      <c r="M302" s="45">
        <v>50</v>
      </c>
      <c r="N302" s="74" t="s">
        <v>446</v>
      </c>
      <c r="O302" s="72"/>
      <c r="P302" s="72"/>
      <c r="Q302" s="72"/>
      <c r="R302" s="73"/>
      <c r="S302" s="47"/>
      <c r="T302" s="47"/>
      <c r="U302" s="48" t="s">
        <v>65</v>
      </c>
      <c r="V302" s="49">
        <v>0</v>
      </c>
      <c r="W302" s="50">
        <f>IFERROR(IF(V302="",0,CEILING((V302/$H302),1)*$H302),"")</f>
        <v>0</v>
      </c>
      <c r="X302" s="51" t="str">
        <f>IFERROR(IF(W302=0,"",ROUNDUP(W302/H302,0)*0.02175),"")</f>
        <v/>
      </c>
      <c r="Y302" s="52"/>
      <c r="Z302" s="53" t="s">
        <v>447</v>
      </c>
      <c r="AD302" s="54"/>
      <c r="BA302" s="55" t="s">
        <v>1</v>
      </c>
    </row>
    <row r="303" spans="1:53" ht="27" customHeight="1" x14ac:dyDescent="0.25">
      <c r="A303" s="42" t="s">
        <v>448</v>
      </c>
      <c r="B303" s="42" t="s">
        <v>449</v>
      </c>
      <c r="C303" s="43">
        <v>4301020178</v>
      </c>
      <c r="D303" s="75">
        <v>4607091383980</v>
      </c>
      <c r="E303" s="73"/>
      <c r="F303" s="44">
        <v>2.5</v>
      </c>
      <c r="G303" s="45">
        <v>6</v>
      </c>
      <c r="H303" s="44">
        <v>15</v>
      </c>
      <c r="I303" s="44">
        <v>15.48</v>
      </c>
      <c r="J303" s="45">
        <v>48</v>
      </c>
      <c r="K303" s="45" t="s">
        <v>98</v>
      </c>
      <c r="L303" s="46" t="s">
        <v>99</v>
      </c>
      <c r="M303" s="45">
        <v>50</v>
      </c>
      <c r="N303" s="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72"/>
      <c r="P303" s="72"/>
      <c r="Q303" s="72"/>
      <c r="R303" s="73"/>
      <c r="S303" s="47"/>
      <c r="T303" s="47"/>
      <c r="U303" s="48" t="s">
        <v>65</v>
      </c>
      <c r="V303" s="49">
        <v>150</v>
      </c>
      <c r="W303" s="50">
        <f>IFERROR(IF(V303="",0,CEILING((V303/$H303),1)*$H303),"")</f>
        <v>150</v>
      </c>
      <c r="X303" s="51">
        <f>IFERROR(IF(W303=0,"",ROUNDUP(W303/H303,0)*0.02175),"")</f>
        <v>0.21749999999999997</v>
      </c>
      <c r="Y303" s="52"/>
      <c r="Z303" s="53"/>
      <c r="AD303" s="54"/>
      <c r="BA303" s="55" t="s">
        <v>1</v>
      </c>
    </row>
    <row r="304" spans="1:53" ht="27" customHeight="1" x14ac:dyDescent="0.25">
      <c r="A304" s="42" t="s">
        <v>450</v>
      </c>
      <c r="B304" s="42" t="s">
        <v>451</v>
      </c>
      <c r="C304" s="43">
        <v>4301020179</v>
      </c>
      <c r="D304" s="75">
        <v>4607091384178</v>
      </c>
      <c r="E304" s="73"/>
      <c r="F304" s="44">
        <v>0.4</v>
      </c>
      <c r="G304" s="45">
        <v>10</v>
      </c>
      <c r="H304" s="44">
        <v>4</v>
      </c>
      <c r="I304" s="44">
        <v>4.24</v>
      </c>
      <c r="J304" s="45">
        <v>120</v>
      </c>
      <c r="K304" s="45" t="s">
        <v>63</v>
      </c>
      <c r="L304" s="46" t="s">
        <v>99</v>
      </c>
      <c r="M304" s="45">
        <v>50</v>
      </c>
      <c r="N304" s="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72"/>
      <c r="P304" s="72"/>
      <c r="Q304" s="72"/>
      <c r="R304" s="73"/>
      <c r="S304" s="47"/>
      <c r="T304" s="47"/>
      <c r="U304" s="48" t="s">
        <v>65</v>
      </c>
      <c r="V304" s="49">
        <v>0</v>
      </c>
      <c r="W304" s="50">
        <f>IFERROR(IF(V304="",0,CEILING((V304/$H304),1)*$H304),"")</f>
        <v>0</v>
      </c>
      <c r="X304" s="51" t="str">
        <f>IFERROR(IF(W304=0,"",ROUNDUP(W304/H304,0)*0.00937),"")</f>
        <v/>
      </c>
      <c r="Y304" s="52"/>
      <c r="Z304" s="53"/>
      <c r="AD304" s="54"/>
      <c r="BA304" s="55" t="s">
        <v>1</v>
      </c>
    </row>
    <row r="305" spans="1:53" x14ac:dyDescent="0.2">
      <c r="A305" s="79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1"/>
      <c r="N305" s="76" t="s">
        <v>66</v>
      </c>
      <c r="O305" s="77"/>
      <c r="P305" s="77"/>
      <c r="Q305" s="77"/>
      <c r="R305" s="77"/>
      <c r="S305" s="77"/>
      <c r="T305" s="78"/>
      <c r="U305" s="56" t="s">
        <v>67</v>
      </c>
      <c r="V305" s="57">
        <f>IFERROR(V302/H302,"0")+IFERROR(V303/H303,"0")+IFERROR(V304/H304,"0")</f>
        <v>10</v>
      </c>
      <c r="W305" s="57">
        <f>IFERROR(W302/H302,"0")+IFERROR(W303/H303,"0")+IFERROR(W304/H304,"0")</f>
        <v>10</v>
      </c>
      <c r="X305" s="57">
        <f>IFERROR(IF(X302="",0,X302),"0")+IFERROR(IF(X303="",0,X303),"0")+IFERROR(IF(X304="",0,X304),"0")</f>
        <v>0.21749999999999997</v>
      </c>
      <c r="Y305" s="58"/>
      <c r="Z305" s="58"/>
    </row>
    <row r="306" spans="1:53" x14ac:dyDescent="0.2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1"/>
      <c r="N306" s="76" t="s">
        <v>66</v>
      </c>
      <c r="O306" s="77"/>
      <c r="P306" s="77"/>
      <c r="Q306" s="77"/>
      <c r="R306" s="77"/>
      <c r="S306" s="77"/>
      <c r="T306" s="78"/>
      <c r="U306" s="56" t="s">
        <v>65</v>
      </c>
      <c r="V306" s="57">
        <f>IFERROR(SUM(V302:V304),"0")</f>
        <v>150</v>
      </c>
      <c r="W306" s="57">
        <f>IFERROR(SUM(W302:W304),"0")</f>
        <v>150</v>
      </c>
      <c r="X306" s="56"/>
      <c r="Y306" s="58"/>
      <c r="Z306" s="58"/>
    </row>
    <row r="307" spans="1:53" ht="14.25" customHeight="1" x14ac:dyDescent="0.25">
      <c r="A307" s="82" t="s">
        <v>68</v>
      </c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67"/>
      <c r="Z307" s="67"/>
    </row>
    <row r="308" spans="1:53" ht="27" customHeight="1" x14ac:dyDescent="0.25">
      <c r="A308" s="42" t="s">
        <v>452</v>
      </c>
      <c r="B308" s="42" t="s">
        <v>453</v>
      </c>
      <c r="C308" s="43">
        <v>4301051298</v>
      </c>
      <c r="D308" s="75">
        <v>4607091384260</v>
      </c>
      <c r="E308" s="73"/>
      <c r="F308" s="44">
        <v>1.3</v>
      </c>
      <c r="G308" s="45">
        <v>6</v>
      </c>
      <c r="H308" s="44">
        <v>7.8</v>
      </c>
      <c r="I308" s="44">
        <v>8.3640000000000008</v>
      </c>
      <c r="J308" s="45">
        <v>56</v>
      </c>
      <c r="K308" s="45" t="s">
        <v>98</v>
      </c>
      <c r="L308" s="46" t="s">
        <v>64</v>
      </c>
      <c r="M308" s="45">
        <v>35</v>
      </c>
      <c r="N308" s="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72"/>
      <c r="P308" s="72"/>
      <c r="Q308" s="72"/>
      <c r="R308" s="73"/>
      <c r="S308" s="47"/>
      <c r="T308" s="47"/>
      <c r="U308" s="48" t="s">
        <v>65</v>
      </c>
      <c r="V308" s="49">
        <v>0</v>
      </c>
      <c r="W308" s="50">
        <f>IFERROR(IF(V308="",0,CEILING((V308/$H308),1)*$H308),"")</f>
        <v>0</v>
      </c>
      <c r="X308" s="51" t="str">
        <f>IFERROR(IF(W308=0,"",ROUNDUP(W308/H308,0)*0.02175),"")</f>
        <v/>
      </c>
      <c r="Y308" s="52"/>
      <c r="Z308" s="53"/>
      <c r="AD308" s="54"/>
      <c r="BA308" s="55" t="s">
        <v>1</v>
      </c>
    </row>
    <row r="309" spans="1:53" x14ac:dyDescent="0.2">
      <c r="A309" s="79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1"/>
      <c r="N309" s="76" t="s">
        <v>66</v>
      </c>
      <c r="O309" s="77"/>
      <c r="P309" s="77"/>
      <c r="Q309" s="77"/>
      <c r="R309" s="77"/>
      <c r="S309" s="77"/>
      <c r="T309" s="78"/>
      <c r="U309" s="56" t="s">
        <v>67</v>
      </c>
      <c r="V309" s="57">
        <f>IFERROR(V308/H308,"0")</f>
        <v>0</v>
      </c>
      <c r="W309" s="57">
        <f>IFERROR(W308/H308,"0")</f>
        <v>0</v>
      </c>
      <c r="X309" s="57">
        <f>IFERROR(IF(X308="",0,X308),"0")</f>
        <v>0</v>
      </c>
      <c r="Y309" s="58"/>
      <c r="Z309" s="58"/>
    </row>
    <row r="310" spans="1:53" x14ac:dyDescent="0.2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1"/>
      <c r="N310" s="76" t="s">
        <v>66</v>
      </c>
      <c r="O310" s="77"/>
      <c r="P310" s="77"/>
      <c r="Q310" s="77"/>
      <c r="R310" s="77"/>
      <c r="S310" s="77"/>
      <c r="T310" s="78"/>
      <c r="U310" s="56" t="s">
        <v>65</v>
      </c>
      <c r="V310" s="57">
        <f>IFERROR(SUM(V308:V308),"0")</f>
        <v>0</v>
      </c>
      <c r="W310" s="57">
        <f>IFERROR(SUM(W308:W308),"0")</f>
        <v>0</v>
      </c>
      <c r="X310" s="56"/>
      <c r="Y310" s="58"/>
      <c r="Z310" s="58"/>
    </row>
    <row r="311" spans="1:53" ht="14.25" customHeight="1" x14ac:dyDescent="0.25">
      <c r="A311" s="82" t="s">
        <v>212</v>
      </c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67"/>
      <c r="Z311" s="67"/>
    </row>
    <row r="312" spans="1:53" ht="16.5" customHeight="1" x14ac:dyDescent="0.25">
      <c r="A312" s="42" t="s">
        <v>454</v>
      </c>
      <c r="B312" s="42" t="s">
        <v>455</v>
      </c>
      <c r="C312" s="43">
        <v>4301060314</v>
      </c>
      <c r="D312" s="75">
        <v>4607091384673</v>
      </c>
      <c r="E312" s="73"/>
      <c r="F312" s="44">
        <v>1.3</v>
      </c>
      <c r="G312" s="45">
        <v>6</v>
      </c>
      <c r="H312" s="44">
        <v>7.8</v>
      </c>
      <c r="I312" s="44">
        <v>8.3640000000000008</v>
      </c>
      <c r="J312" s="45">
        <v>56</v>
      </c>
      <c r="K312" s="45" t="s">
        <v>98</v>
      </c>
      <c r="L312" s="46" t="s">
        <v>64</v>
      </c>
      <c r="M312" s="45">
        <v>30</v>
      </c>
      <c r="N312" s="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72"/>
      <c r="P312" s="72"/>
      <c r="Q312" s="72"/>
      <c r="R312" s="73"/>
      <c r="S312" s="47"/>
      <c r="T312" s="47"/>
      <c r="U312" s="48" t="s">
        <v>65</v>
      </c>
      <c r="V312" s="49">
        <v>0</v>
      </c>
      <c r="W312" s="50">
        <f>IFERROR(IF(V312="",0,CEILING((V312/$H312),1)*$H312),"")</f>
        <v>0</v>
      </c>
      <c r="X312" s="51" t="str">
        <f>IFERROR(IF(W312=0,"",ROUNDUP(W312/H312,0)*0.02175),"")</f>
        <v/>
      </c>
      <c r="Y312" s="52"/>
      <c r="Z312" s="53"/>
      <c r="AD312" s="54"/>
      <c r="BA312" s="55" t="s">
        <v>1</v>
      </c>
    </row>
    <row r="313" spans="1:53" x14ac:dyDescent="0.2">
      <c r="A313" s="79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1"/>
      <c r="N313" s="76" t="s">
        <v>66</v>
      </c>
      <c r="O313" s="77"/>
      <c r="P313" s="77"/>
      <c r="Q313" s="77"/>
      <c r="R313" s="77"/>
      <c r="S313" s="77"/>
      <c r="T313" s="78"/>
      <c r="U313" s="56" t="s">
        <v>67</v>
      </c>
      <c r="V313" s="57">
        <f>IFERROR(V312/H312,"0")</f>
        <v>0</v>
      </c>
      <c r="W313" s="57">
        <f>IFERROR(W312/H312,"0")</f>
        <v>0</v>
      </c>
      <c r="X313" s="57">
        <f>IFERROR(IF(X312="",0,X312),"0")</f>
        <v>0</v>
      </c>
      <c r="Y313" s="58"/>
      <c r="Z313" s="58"/>
    </row>
    <row r="314" spans="1:53" x14ac:dyDescent="0.2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1"/>
      <c r="N314" s="76" t="s">
        <v>66</v>
      </c>
      <c r="O314" s="77"/>
      <c r="P314" s="77"/>
      <c r="Q314" s="77"/>
      <c r="R314" s="77"/>
      <c r="S314" s="77"/>
      <c r="T314" s="78"/>
      <c r="U314" s="56" t="s">
        <v>65</v>
      </c>
      <c r="V314" s="57">
        <f>IFERROR(SUM(V312:V312),"0")</f>
        <v>0</v>
      </c>
      <c r="W314" s="57">
        <f>IFERROR(SUM(W312:W312),"0")</f>
        <v>0</v>
      </c>
      <c r="X314" s="56"/>
      <c r="Y314" s="58"/>
      <c r="Z314" s="58"/>
    </row>
    <row r="315" spans="1:53" ht="16.5" customHeight="1" x14ac:dyDescent="0.25">
      <c r="A315" s="87" t="s">
        <v>456</v>
      </c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66"/>
      <c r="Z315" s="66"/>
    </row>
    <row r="316" spans="1:53" ht="14.25" customHeight="1" x14ac:dyDescent="0.25">
      <c r="A316" s="82" t="s">
        <v>103</v>
      </c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67"/>
      <c r="Z316" s="67"/>
    </row>
    <row r="317" spans="1:53" ht="27" customHeight="1" x14ac:dyDescent="0.25">
      <c r="A317" s="42" t="s">
        <v>457</v>
      </c>
      <c r="B317" s="42" t="s">
        <v>458</v>
      </c>
      <c r="C317" s="43">
        <v>4301011324</v>
      </c>
      <c r="D317" s="75">
        <v>4607091384185</v>
      </c>
      <c r="E317" s="73"/>
      <c r="F317" s="44">
        <v>0.8</v>
      </c>
      <c r="G317" s="45">
        <v>15</v>
      </c>
      <c r="H317" s="44">
        <v>12</v>
      </c>
      <c r="I317" s="44">
        <v>12.48</v>
      </c>
      <c r="J317" s="45">
        <v>56</v>
      </c>
      <c r="K317" s="45" t="s">
        <v>98</v>
      </c>
      <c r="L317" s="46" t="s">
        <v>64</v>
      </c>
      <c r="M317" s="45">
        <v>60</v>
      </c>
      <c r="N317" s="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72"/>
      <c r="P317" s="72"/>
      <c r="Q317" s="72"/>
      <c r="R317" s="73"/>
      <c r="S317" s="47"/>
      <c r="T317" s="47"/>
      <c r="U317" s="48" t="s">
        <v>65</v>
      </c>
      <c r="V317" s="49">
        <v>0</v>
      </c>
      <c r="W317" s="50">
        <f>IFERROR(IF(V317="",0,CEILING((V317/$H317),1)*$H317),"")</f>
        <v>0</v>
      </c>
      <c r="X317" s="51" t="str">
        <f>IFERROR(IF(W317=0,"",ROUNDUP(W317/H317,0)*0.02175),"")</f>
        <v/>
      </c>
      <c r="Y317" s="52"/>
      <c r="Z317" s="53"/>
      <c r="AD317" s="54"/>
      <c r="BA317" s="55" t="s">
        <v>1</v>
      </c>
    </row>
    <row r="318" spans="1:53" ht="27" customHeight="1" x14ac:dyDescent="0.25">
      <c r="A318" s="42" t="s">
        <v>459</v>
      </c>
      <c r="B318" s="42" t="s">
        <v>460</v>
      </c>
      <c r="C318" s="43">
        <v>4301011312</v>
      </c>
      <c r="D318" s="75">
        <v>4607091384192</v>
      </c>
      <c r="E318" s="73"/>
      <c r="F318" s="44">
        <v>1.8</v>
      </c>
      <c r="G318" s="45">
        <v>6</v>
      </c>
      <c r="H318" s="44">
        <v>10.8</v>
      </c>
      <c r="I318" s="44">
        <v>11.28</v>
      </c>
      <c r="J318" s="45">
        <v>56</v>
      </c>
      <c r="K318" s="45" t="s">
        <v>98</v>
      </c>
      <c r="L318" s="46" t="s">
        <v>99</v>
      </c>
      <c r="M318" s="45">
        <v>60</v>
      </c>
      <c r="N318" s="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72"/>
      <c r="P318" s="72"/>
      <c r="Q318" s="72"/>
      <c r="R318" s="73"/>
      <c r="S318" s="47"/>
      <c r="T318" s="47"/>
      <c r="U318" s="48" t="s">
        <v>65</v>
      </c>
      <c r="V318" s="49">
        <v>0</v>
      </c>
      <c r="W318" s="50">
        <f>IFERROR(IF(V318="",0,CEILING((V318/$H318),1)*$H318),"")</f>
        <v>0</v>
      </c>
      <c r="X318" s="51" t="str">
        <f>IFERROR(IF(W318=0,"",ROUNDUP(W318/H318,0)*0.02175),"")</f>
        <v/>
      </c>
      <c r="Y318" s="52"/>
      <c r="Z318" s="53"/>
      <c r="AD318" s="54"/>
      <c r="BA318" s="55" t="s">
        <v>1</v>
      </c>
    </row>
    <row r="319" spans="1:53" ht="27" customHeight="1" x14ac:dyDescent="0.25">
      <c r="A319" s="42" t="s">
        <v>461</v>
      </c>
      <c r="B319" s="42" t="s">
        <v>462</v>
      </c>
      <c r="C319" s="43">
        <v>4301011483</v>
      </c>
      <c r="D319" s="75">
        <v>4680115881907</v>
      </c>
      <c r="E319" s="73"/>
      <c r="F319" s="44">
        <v>1.8</v>
      </c>
      <c r="G319" s="45">
        <v>6</v>
      </c>
      <c r="H319" s="44">
        <v>10.8</v>
      </c>
      <c r="I319" s="44">
        <v>11.28</v>
      </c>
      <c r="J319" s="45">
        <v>56</v>
      </c>
      <c r="K319" s="45" t="s">
        <v>98</v>
      </c>
      <c r="L319" s="46" t="s">
        <v>64</v>
      </c>
      <c r="M319" s="45">
        <v>60</v>
      </c>
      <c r="N319" s="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72"/>
      <c r="P319" s="72"/>
      <c r="Q319" s="72"/>
      <c r="R319" s="73"/>
      <c r="S319" s="47"/>
      <c r="T319" s="47"/>
      <c r="U319" s="48" t="s">
        <v>65</v>
      </c>
      <c r="V319" s="49">
        <v>0</v>
      </c>
      <c r="W319" s="50">
        <f>IFERROR(IF(V319="",0,CEILING((V319/$H319),1)*$H319),"")</f>
        <v>0</v>
      </c>
      <c r="X319" s="51" t="str">
        <f>IFERROR(IF(W319=0,"",ROUNDUP(W319/H319,0)*0.02175),"")</f>
        <v/>
      </c>
      <c r="Y319" s="52"/>
      <c r="Z319" s="53"/>
      <c r="AD319" s="54"/>
      <c r="BA319" s="55" t="s">
        <v>1</v>
      </c>
    </row>
    <row r="320" spans="1:53" ht="27" customHeight="1" x14ac:dyDescent="0.25">
      <c r="A320" s="42" t="s">
        <v>463</v>
      </c>
      <c r="B320" s="42" t="s">
        <v>464</v>
      </c>
      <c r="C320" s="43">
        <v>4301011303</v>
      </c>
      <c r="D320" s="75">
        <v>4607091384680</v>
      </c>
      <c r="E320" s="73"/>
      <c r="F320" s="44">
        <v>0.4</v>
      </c>
      <c r="G320" s="45">
        <v>10</v>
      </c>
      <c r="H320" s="44">
        <v>4</v>
      </c>
      <c r="I320" s="44">
        <v>4.21</v>
      </c>
      <c r="J320" s="45">
        <v>120</v>
      </c>
      <c r="K320" s="45" t="s">
        <v>63</v>
      </c>
      <c r="L320" s="46" t="s">
        <v>64</v>
      </c>
      <c r="M320" s="45">
        <v>60</v>
      </c>
      <c r="N320" s="7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72"/>
      <c r="P320" s="72"/>
      <c r="Q320" s="72"/>
      <c r="R320" s="73"/>
      <c r="S320" s="47"/>
      <c r="T320" s="47"/>
      <c r="U320" s="48" t="s">
        <v>65</v>
      </c>
      <c r="V320" s="49">
        <v>0</v>
      </c>
      <c r="W320" s="50">
        <f>IFERROR(IF(V320="",0,CEILING((V320/$H320),1)*$H320),"")</f>
        <v>0</v>
      </c>
      <c r="X320" s="51" t="str">
        <f>IFERROR(IF(W320=0,"",ROUNDUP(W320/H320,0)*0.00937),"")</f>
        <v/>
      </c>
      <c r="Y320" s="52"/>
      <c r="Z320" s="53"/>
      <c r="AD320" s="54"/>
      <c r="BA320" s="55" t="s">
        <v>1</v>
      </c>
    </row>
    <row r="321" spans="1:53" x14ac:dyDescent="0.2">
      <c r="A321" s="79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1"/>
      <c r="N321" s="76" t="s">
        <v>66</v>
      </c>
      <c r="O321" s="77"/>
      <c r="P321" s="77"/>
      <c r="Q321" s="77"/>
      <c r="R321" s="77"/>
      <c r="S321" s="77"/>
      <c r="T321" s="78"/>
      <c r="U321" s="56" t="s">
        <v>67</v>
      </c>
      <c r="V321" s="57">
        <f>IFERROR(V317/H317,"0")+IFERROR(V318/H318,"0")+IFERROR(V319/H319,"0")+IFERROR(V320/H320,"0")</f>
        <v>0</v>
      </c>
      <c r="W321" s="57">
        <f>IFERROR(W317/H317,"0")+IFERROR(W318/H318,"0")+IFERROR(W319/H319,"0")+IFERROR(W320/H320,"0")</f>
        <v>0</v>
      </c>
      <c r="X321" s="57">
        <f>IFERROR(IF(X317="",0,X317),"0")+IFERROR(IF(X318="",0,X318),"0")+IFERROR(IF(X319="",0,X319),"0")+IFERROR(IF(X320="",0,X320),"0")</f>
        <v>0</v>
      </c>
      <c r="Y321" s="58"/>
      <c r="Z321" s="58"/>
    </row>
    <row r="322" spans="1:53" x14ac:dyDescent="0.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1"/>
      <c r="N322" s="76" t="s">
        <v>66</v>
      </c>
      <c r="O322" s="77"/>
      <c r="P322" s="77"/>
      <c r="Q322" s="77"/>
      <c r="R322" s="77"/>
      <c r="S322" s="77"/>
      <c r="T322" s="78"/>
      <c r="U322" s="56" t="s">
        <v>65</v>
      </c>
      <c r="V322" s="57">
        <f>IFERROR(SUM(V317:V320),"0")</f>
        <v>0</v>
      </c>
      <c r="W322" s="57">
        <f>IFERROR(SUM(W317:W320),"0")</f>
        <v>0</v>
      </c>
      <c r="X322" s="56"/>
      <c r="Y322" s="58"/>
      <c r="Z322" s="58"/>
    </row>
    <row r="323" spans="1:53" ht="14.25" customHeight="1" x14ac:dyDescent="0.25">
      <c r="A323" s="82" t="s">
        <v>60</v>
      </c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67"/>
      <c r="Z323" s="67"/>
    </row>
    <row r="324" spans="1:53" ht="27" customHeight="1" x14ac:dyDescent="0.25">
      <c r="A324" s="42" t="s">
        <v>465</v>
      </c>
      <c r="B324" s="42" t="s">
        <v>466</v>
      </c>
      <c r="C324" s="43">
        <v>4301031139</v>
      </c>
      <c r="D324" s="75">
        <v>4607091384802</v>
      </c>
      <c r="E324" s="73"/>
      <c r="F324" s="44">
        <v>0.73</v>
      </c>
      <c r="G324" s="45">
        <v>6</v>
      </c>
      <c r="H324" s="44">
        <v>4.38</v>
      </c>
      <c r="I324" s="44">
        <v>4.58</v>
      </c>
      <c r="J324" s="45">
        <v>156</v>
      </c>
      <c r="K324" s="45" t="s">
        <v>63</v>
      </c>
      <c r="L324" s="46" t="s">
        <v>64</v>
      </c>
      <c r="M324" s="45">
        <v>35</v>
      </c>
      <c r="N324" s="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72"/>
      <c r="P324" s="72"/>
      <c r="Q324" s="72"/>
      <c r="R324" s="73"/>
      <c r="S324" s="47"/>
      <c r="T324" s="47"/>
      <c r="U324" s="48" t="s">
        <v>65</v>
      </c>
      <c r="V324" s="49">
        <v>0</v>
      </c>
      <c r="W324" s="50">
        <f>IFERROR(IF(V324="",0,CEILING((V324/$H324),1)*$H324),"")</f>
        <v>0</v>
      </c>
      <c r="X324" s="51" t="str">
        <f>IFERROR(IF(W324=0,"",ROUNDUP(W324/H324,0)*0.00753),"")</f>
        <v/>
      </c>
      <c r="Y324" s="52"/>
      <c r="Z324" s="53"/>
      <c r="AD324" s="54"/>
      <c r="BA324" s="55" t="s">
        <v>1</v>
      </c>
    </row>
    <row r="325" spans="1:53" ht="27" customHeight="1" x14ac:dyDescent="0.25">
      <c r="A325" s="42" t="s">
        <v>467</v>
      </c>
      <c r="B325" s="42" t="s">
        <v>468</v>
      </c>
      <c r="C325" s="43">
        <v>4301031140</v>
      </c>
      <c r="D325" s="75">
        <v>4607091384826</v>
      </c>
      <c r="E325" s="73"/>
      <c r="F325" s="44">
        <v>0.35</v>
      </c>
      <c r="G325" s="45">
        <v>8</v>
      </c>
      <c r="H325" s="44">
        <v>2.8</v>
      </c>
      <c r="I325" s="44">
        <v>2.9</v>
      </c>
      <c r="J325" s="45">
        <v>234</v>
      </c>
      <c r="K325" s="45" t="s">
        <v>163</v>
      </c>
      <c r="L325" s="46" t="s">
        <v>64</v>
      </c>
      <c r="M325" s="45">
        <v>35</v>
      </c>
      <c r="N325" s="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72"/>
      <c r="P325" s="72"/>
      <c r="Q325" s="72"/>
      <c r="R325" s="73"/>
      <c r="S325" s="47"/>
      <c r="T325" s="47"/>
      <c r="U325" s="48" t="s">
        <v>65</v>
      </c>
      <c r="V325" s="49">
        <v>0</v>
      </c>
      <c r="W325" s="50">
        <f>IFERROR(IF(V325="",0,CEILING((V325/$H325),1)*$H325),"")</f>
        <v>0</v>
      </c>
      <c r="X325" s="51" t="str">
        <f>IFERROR(IF(W325=0,"",ROUNDUP(W325/H325,0)*0.00502),"")</f>
        <v/>
      </c>
      <c r="Y325" s="52"/>
      <c r="Z325" s="53"/>
      <c r="AD325" s="54"/>
      <c r="BA325" s="55" t="s">
        <v>1</v>
      </c>
    </row>
    <row r="326" spans="1:53" x14ac:dyDescent="0.2">
      <c r="A326" s="79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1"/>
      <c r="N326" s="76" t="s">
        <v>66</v>
      </c>
      <c r="O326" s="77"/>
      <c r="P326" s="77"/>
      <c r="Q326" s="77"/>
      <c r="R326" s="77"/>
      <c r="S326" s="77"/>
      <c r="T326" s="78"/>
      <c r="U326" s="56" t="s">
        <v>67</v>
      </c>
      <c r="V326" s="57">
        <f>IFERROR(V324/H324,"0")+IFERROR(V325/H325,"0")</f>
        <v>0</v>
      </c>
      <c r="W326" s="57">
        <f>IFERROR(W324/H324,"0")+IFERROR(W325/H325,"0")</f>
        <v>0</v>
      </c>
      <c r="X326" s="57">
        <f>IFERROR(IF(X324="",0,X324),"0")+IFERROR(IF(X325="",0,X325),"0")</f>
        <v>0</v>
      </c>
      <c r="Y326" s="58"/>
      <c r="Z326" s="58"/>
    </row>
    <row r="327" spans="1:53" x14ac:dyDescent="0.2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1"/>
      <c r="N327" s="76" t="s">
        <v>66</v>
      </c>
      <c r="O327" s="77"/>
      <c r="P327" s="77"/>
      <c r="Q327" s="77"/>
      <c r="R327" s="77"/>
      <c r="S327" s="77"/>
      <c r="T327" s="78"/>
      <c r="U327" s="56" t="s">
        <v>65</v>
      </c>
      <c r="V327" s="57">
        <f>IFERROR(SUM(V324:V325),"0")</f>
        <v>0</v>
      </c>
      <c r="W327" s="57">
        <f>IFERROR(SUM(W324:W325),"0")</f>
        <v>0</v>
      </c>
      <c r="X327" s="56"/>
      <c r="Y327" s="58"/>
      <c r="Z327" s="58"/>
    </row>
    <row r="328" spans="1:53" ht="14.25" customHeight="1" x14ac:dyDescent="0.25">
      <c r="A328" s="82" t="s">
        <v>68</v>
      </c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67"/>
      <c r="Z328" s="67"/>
    </row>
    <row r="329" spans="1:53" ht="27" customHeight="1" x14ac:dyDescent="0.25">
      <c r="A329" s="42" t="s">
        <v>469</v>
      </c>
      <c r="B329" s="42" t="s">
        <v>470</v>
      </c>
      <c r="C329" s="43">
        <v>4301051303</v>
      </c>
      <c r="D329" s="75">
        <v>4607091384246</v>
      </c>
      <c r="E329" s="73"/>
      <c r="F329" s="44">
        <v>1.3</v>
      </c>
      <c r="G329" s="45">
        <v>6</v>
      </c>
      <c r="H329" s="44">
        <v>7.8</v>
      </c>
      <c r="I329" s="44">
        <v>8.3640000000000008</v>
      </c>
      <c r="J329" s="45">
        <v>56</v>
      </c>
      <c r="K329" s="45" t="s">
        <v>98</v>
      </c>
      <c r="L329" s="46" t="s">
        <v>64</v>
      </c>
      <c r="M329" s="45">
        <v>40</v>
      </c>
      <c r="N329" s="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72"/>
      <c r="P329" s="72"/>
      <c r="Q329" s="72"/>
      <c r="R329" s="73"/>
      <c r="S329" s="47"/>
      <c r="T329" s="47"/>
      <c r="U329" s="48" t="s">
        <v>65</v>
      </c>
      <c r="V329" s="49">
        <v>0</v>
      </c>
      <c r="W329" s="50">
        <f>IFERROR(IF(V329="",0,CEILING((V329/$H329),1)*$H329),"")</f>
        <v>0</v>
      </c>
      <c r="X329" s="51" t="str">
        <f>IFERROR(IF(W329=0,"",ROUNDUP(W329/H329,0)*0.02175),"")</f>
        <v/>
      </c>
      <c r="Y329" s="52"/>
      <c r="Z329" s="53"/>
      <c r="AD329" s="54"/>
      <c r="BA329" s="55" t="s">
        <v>1</v>
      </c>
    </row>
    <row r="330" spans="1:53" ht="27" customHeight="1" x14ac:dyDescent="0.25">
      <c r="A330" s="42" t="s">
        <v>471</v>
      </c>
      <c r="B330" s="42" t="s">
        <v>472</v>
      </c>
      <c r="C330" s="43">
        <v>4301051445</v>
      </c>
      <c r="D330" s="75">
        <v>4680115881976</v>
      </c>
      <c r="E330" s="73"/>
      <c r="F330" s="44">
        <v>1.3</v>
      </c>
      <c r="G330" s="45">
        <v>6</v>
      </c>
      <c r="H330" s="44">
        <v>7.8</v>
      </c>
      <c r="I330" s="44">
        <v>8.2799999999999994</v>
      </c>
      <c r="J330" s="45">
        <v>56</v>
      </c>
      <c r="K330" s="45" t="s">
        <v>98</v>
      </c>
      <c r="L330" s="46" t="s">
        <v>64</v>
      </c>
      <c r="M330" s="45">
        <v>40</v>
      </c>
      <c r="N330" s="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72"/>
      <c r="P330" s="72"/>
      <c r="Q330" s="72"/>
      <c r="R330" s="73"/>
      <c r="S330" s="47"/>
      <c r="T330" s="47"/>
      <c r="U330" s="48" t="s">
        <v>65</v>
      </c>
      <c r="V330" s="49">
        <v>0</v>
      </c>
      <c r="W330" s="50">
        <f>IFERROR(IF(V330="",0,CEILING((V330/$H330),1)*$H330),"")</f>
        <v>0</v>
      </c>
      <c r="X330" s="51" t="str">
        <f>IFERROR(IF(W330=0,"",ROUNDUP(W330/H330,0)*0.02175),"")</f>
        <v/>
      </c>
      <c r="Y330" s="52"/>
      <c r="Z330" s="53"/>
      <c r="AD330" s="54"/>
      <c r="BA330" s="55" t="s">
        <v>1</v>
      </c>
    </row>
    <row r="331" spans="1:53" ht="27" customHeight="1" x14ac:dyDescent="0.25">
      <c r="A331" s="42" t="s">
        <v>473</v>
      </c>
      <c r="B331" s="42" t="s">
        <v>474</v>
      </c>
      <c r="C331" s="43">
        <v>4301051297</v>
      </c>
      <c r="D331" s="75">
        <v>4607091384253</v>
      </c>
      <c r="E331" s="73"/>
      <c r="F331" s="44">
        <v>0.4</v>
      </c>
      <c r="G331" s="45">
        <v>6</v>
      </c>
      <c r="H331" s="44">
        <v>2.4</v>
      </c>
      <c r="I331" s="44">
        <v>2.6840000000000002</v>
      </c>
      <c r="J331" s="45">
        <v>156</v>
      </c>
      <c r="K331" s="45" t="s">
        <v>63</v>
      </c>
      <c r="L331" s="46" t="s">
        <v>64</v>
      </c>
      <c r="M331" s="45">
        <v>40</v>
      </c>
      <c r="N331" s="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72"/>
      <c r="P331" s="72"/>
      <c r="Q331" s="72"/>
      <c r="R331" s="73"/>
      <c r="S331" s="47"/>
      <c r="T331" s="47"/>
      <c r="U331" s="48" t="s">
        <v>65</v>
      </c>
      <c r="V331" s="49">
        <v>0</v>
      </c>
      <c r="W331" s="50">
        <f>IFERROR(IF(V331="",0,CEILING((V331/$H331),1)*$H331),"")</f>
        <v>0</v>
      </c>
      <c r="X331" s="51" t="str">
        <f>IFERROR(IF(W331=0,"",ROUNDUP(W331/H331,0)*0.00753),"")</f>
        <v/>
      </c>
      <c r="Y331" s="52"/>
      <c r="Z331" s="53"/>
      <c r="AD331" s="54"/>
      <c r="BA331" s="55" t="s">
        <v>1</v>
      </c>
    </row>
    <row r="332" spans="1:53" ht="27" customHeight="1" x14ac:dyDescent="0.25">
      <c r="A332" s="42" t="s">
        <v>475</v>
      </c>
      <c r="B332" s="42" t="s">
        <v>476</v>
      </c>
      <c r="C332" s="43">
        <v>4301051444</v>
      </c>
      <c r="D332" s="75">
        <v>4680115881969</v>
      </c>
      <c r="E332" s="73"/>
      <c r="F332" s="44">
        <v>0.4</v>
      </c>
      <c r="G332" s="45">
        <v>6</v>
      </c>
      <c r="H332" s="44">
        <v>2.4</v>
      </c>
      <c r="I332" s="44">
        <v>2.6</v>
      </c>
      <c r="J332" s="45">
        <v>156</v>
      </c>
      <c r="K332" s="45" t="s">
        <v>63</v>
      </c>
      <c r="L332" s="46" t="s">
        <v>64</v>
      </c>
      <c r="M332" s="45">
        <v>40</v>
      </c>
      <c r="N332" s="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72"/>
      <c r="P332" s="72"/>
      <c r="Q332" s="72"/>
      <c r="R332" s="73"/>
      <c r="S332" s="47"/>
      <c r="T332" s="47"/>
      <c r="U332" s="48" t="s">
        <v>65</v>
      </c>
      <c r="V332" s="49">
        <v>0</v>
      </c>
      <c r="W332" s="50">
        <f>IFERROR(IF(V332="",0,CEILING((V332/$H332),1)*$H332),"")</f>
        <v>0</v>
      </c>
      <c r="X332" s="51" t="str">
        <f>IFERROR(IF(W332=0,"",ROUNDUP(W332/H332,0)*0.00753),"")</f>
        <v/>
      </c>
      <c r="Y332" s="52"/>
      <c r="Z332" s="53"/>
      <c r="AD332" s="54"/>
      <c r="BA332" s="55" t="s">
        <v>1</v>
      </c>
    </row>
    <row r="333" spans="1:53" x14ac:dyDescent="0.2">
      <c r="A333" s="79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1"/>
      <c r="N333" s="76" t="s">
        <v>66</v>
      </c>
      <c r="O333" s="77"/>
      <c r="P333" s="77"/>
      <c r="Q333" s="77"/>
      <c r="R333" s="77"/>
      <c r="S333" s="77"/>
      <c r="T333" s="78"/>
      <c r="U333" s="56" t="s">
        <v>67</v>
      </c>
      <c r="V333" s="57">
        <f>IFERROR(V329/H329,"0")+IFERROR(V330/H330,"0")+IFERROR(V331/H331,"0")+IFERROR(V332/H332,"0")</f>
        <v>0</v>
      </c>
      <c r="W333" s="57">
        <f>IFERROR(W329/H329,"0")+IFERROR(W330/H330,"0")+IFERROR(W331/H331,"0")+IFERROR(W332/H332,"0")</f>
        <v>0</v>
      </c>
      <c r="X333" s="57">
        <f>IFERROR(IF(X329="",0,X329),"0")+IFERROR(IF(X330="",0,X330),"0")+IFERROR(IF(X331="",0,X331),"0")+IFERROR(IF(X332="",0,X332),"0")</f>
        <v>0</v>
      </c>
      <c r="Y333" s="58"/>
      <c r="Z333" s="58"/>
    </row>
    <row r="334" spans="1:53" x14ac:dyDescent="0.2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1"/>
      <c r="N334" s="76" t="s">
        <v>66</v>
      </c>
      <c r="O334" s="77"/>
      <c r="P334" s="77"/>
      <c r="Q334" s="77"/>
      <c r="R334" s="77"/>
      <c r="S334" s="77"/>
      <c r="T334" s="78"/>
      <c r="U334" s="56" t="s">
        <v>65</v>
      </c>
      <c r="V334" s="57">
        <f>IFERROR(SUM(V329:V332),"0")</f>
        <v>0</v>
      </c>
      <c r="W334" s="57">
        <f>IFERROR(SUM(W329:W332),"0")</f>
        <v>0</v>
      </c>
      <c r="X334" s="56"/>
      <c r="Y334" s="58"/>
      <c r="Z334" s="58"/>
    </row>
    <row r="335" spans="1:53" ht="14.25" customHeight="1" x14ac:dyDescent="0.25">
      <c r="A335" s="82" t="s">
        <v>212</v>
      </c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67"/>
      <c r="Z335" s="67"/>
    </row>
    <row r="336" spans="1:53" ht="27" customHeight="1" x14ac:dyDescent="0.25">
      <c r="A336" s="42" t="s">
        <v>477</v>
      </c>
      <c r="B336" s="42" t="s">
        <v>478</v>
      </c>
      <c r="C336" s="43">
        <v>4301060322</v>
      </c>
      <c r="D336" s="75">
        <v>4607091389357</v>
      </c>
      <c r="E336" s="73"/>
      <c r="F336" s="44">
        <v>1.3</v>
      </c>
      <c r="G336" s="45">
        <v>6</v>
      </c>
      <c r="H336" s="44">
        <v>7.8</v>
      </c>
      <c r="I336" s="44">
        <v>8.2799999999999994</v>
      </c>
      <c r="J336" s="45">
        <v>56</v>
      </c>
      <c r="K336" s="45" t="s">
        <v>98</v>
      </c>
      <c r="L336" s="46" t="s">
        <v>64</v>
      </c>
      <c r="M336" s="45">
        <v>40</v>
      </c>
      <c r="N336" s="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72"/>
      <c r="P336" s="72"/>
      <c r="Q336" s="72"/>
      <c r="R336" s="73"/>
      <c r="S336" s="47"/>
      <c r="T336" s="47"/>
      <c r="U336" s="48" t="s">
        <v>65</v>
      </c>
      <c r="V336" s="49">
        <v>0</v>
      </c>
      <c r="W336" s="50">
        <f>IFERROR(IF(V336="",0,CEILING((V336/$H336),1)*$H336),"")</f>
        <v>0</v>
      </c>
      <c r="X336" s="51" t="str">
        <f>IFERROR(IF(W336=0,"",ROUNDUP(W336/H336,0)*0.02175),"")</f>
        <v/>
      </c>
      <c r="Y336" s="52"/>
      <c r="Z336" s="53"/>
      <c r="AD336" s="54"/>
      <c r="BA336" s="55" t="s">
        <v>1</v>
      </c>
    </row>
    <row r="337" spans="1:53" x14ac:dyDescent="0.2">
      <c r="A337" s="79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1"/>
      <c r="N337" s="76" t="s">
        <v>66</v>
      </c>
      <c r="O337" s="77"/>
      <c r="P337" s="77"/>
      <c r="Q337" s="77"/>
      <c r="R337" s="77"/>
      <c r="S337" s="77"/>
      <c r="T337" s="78"/>
      <c r="U337" s="56" t="s">
        <v>67</v>
      </c>
      <c r="V337" s="57">
        <f>IFERROR(V336/H336,"0")</f>
        <v>0</v>
      </c>
      <c r="W337" s="57">
        <f>IFERROR(W336/H336,"0")</f>
        <v>0</v>
      </c>
      <c r="X337" s="57">
        <f>IFERROR(IF(X336="",0,X336),"0")</f>
        <v>0</v>
      </c>
      <c r="Y337" s="58"/>
      <c r="Z337" s="58"/>
    </row>
    <row r="338" spans="1:53" x14ac:dyDescent="0.2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1"/>
      <c r="N338" s="76" t="s">
        <v>66</v>
      </c>
      <c r="O338" s="77"/>
      <c r="P338" s="77"/>
      <c r="Q338" s="77"/>
      <c r="R338" s="77"/>
      <c r="S338" s="77"/>
      <c r="T338" s="78"/>
      <c r="U338" s="56" t="s">
        <v>65</v>
      </c>
      <c r="V338" s="57">
        <f>IFERROR(SUM(V336:V336),"0")</f>
        <v>0</v>
      </c>
      <c r="W338" s="57">
        <f>IFERROR(SUM(W336:W336),"0")</f>
        <v>0</v>
      </c>
      <c r="X338" s="56"/>
      <c r="Y338" s="58"/>
      <c r="Z338" s="58"/>
    </row>
    <row r="339" spans="1:53" ht="27.75" customHeight="1" x14ac:dyDescent="0.2">
      <c r="A339" s="101" t="s">
        <v>479</v>
      </c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41"/>
      <c r="Z339" s="41"/>
    </row>
    <row r="340" spans="1:53" ht="16.5" customHeight="1" x14ac:dyDescent="0.25">
      <c r="A340" s="87" t="s">
        <v>480</v>
      </c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66"/>
      <c r="Z340" s="66"/>
    </row>
    <row r="341" spans="1:53" ht="14.25" customHeight="1" x14ac:dyDescent="0.25">
      <c r="A341" s="82" t="s">
        <v>103</v>
      </c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67"/>
      <c r="Z341" s="67"/>
    </row>
    <row r="342" spans="1:53" ht="27" customHeight="1" x14ac:dyDescent="0.25">
      <c r="A342" s="42" t="s">
        <v>481</v>
      </c>
      <c r="B342" s="42" t="s">
        <v>482</v>
      </c>
      <c r="C342" s="43">
        <v>4301011428</v>
      </c>
      <c r="D342" s="75">
        <v>4607091389708</v>
      </c>
      <c r="E342" s="73"/>
      <c r="F342" s="44">
        <v>0.45</v>
      </c>
      <c r="G342" s="45">
        <v>6</v>
      </c>
      <c r="H342" s="44">
        <v>2.7</v>
      </c>
      <c r="I342" s="44">
        <v>2.9</v>
      </c>
      <c r="J342" s="45">
        <v>156</v>
      </c>
      <c r="K342" s="45" t="s">
        <v>63</v>
      </c>
      <c r="L342" s="46" t="s">
        <v>99</v>
      </c>
      <c r="M342" s="45">
        <v>50</v>
      </c>
      <c r="N342" s="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72"/>
      <c r="P342" s="72"/>
      <c r="Q342" s="72"/>
      <c r="R342" s="73"/>
      <c r="S342" s="47"/>
      <c r="T342" s="47"/>
      <c r="U342" s="48" t="s">
        <v>65</v>
      </c>
      <c r="V342" s="49">
        <v>0</v>
      </c>
      <c r="W342" s="50">
        <f>IFERROR(IF(V342="",0,CEILING((V342/$H342),1)*$H342),"")</f>
        <v>0</v>
      </c>
      <c r="X342" s="51" t="str">
        <f>IFERROR(IF(W342=0,"",ROUNDUP(W342/H342,0)*0.00753),"")</f>
        <v/>
      </c>
      <c r="Y342" s="52"/>
      <c r="Z342" s="53"/>
      <c r="AD342" s="54"/>
      <c r="BA342" s="55" t="s">
        <v>1</v>
      </c>
    </row>
    <row r="343" spans="1:53" ht="27" customHeight="1" x14ac:dyDescent="0.25">
      <c r="A343" s="42" t="s">
        <v>483</v>
      </c>
      <c r="B343" s="42" t="s">
        <v>484</v>
      </c>
      <c r="C343" s="43">
        <v>4301011427</v>
      </c>
      <c r="D343" s="75">
        <v>4607091389692</v>
      </c>
      <c r="E343" s="73"/>
      <c r="F343" s="44">
        <v>0.45</v>
      </c>
      <c r="G343" s="45">
        <v>6</v>
      </c>
      <c r="H343" s="44">
        <v>2.7</v>
      </c>
      <c r="I343" s="44">
        <v>2.9</v>
      </c>
      <c r="J343" s="45">
        <v>156</v>
      </c>
      <c r="K343" s="45" t="s">
        <v>63</v>
      </c>
      <c r="L343" s="46" t="s">
        <v>99</v>
      </c>
      <c r="M343" s="45">
        <v>50</v>
      </c>
      <c r="N343" s="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72"/>
      <c r="P343" s="72"/>
      <c r="Q343" s="72"/>
      <c r="R343" s="73"/>
      <c r="S343" s="47"/>
      <c r="T343" s="47"/>
      <c r="U343" s="48" t="s">
        <v>65</v>
      </c>
      <c r="V343" s="49">
        <v>0</v>
      </c>
      <c r="W343" s="50">
        <f>IFERROR(IF(V343="",0,CEILING((V343/$H343),1)*$H343),"")</f>
        <v>0</v>
      </c>
      <c r="X343" s="51" t="str">
        <f>IFERROR(IF(W343=0,"",ROUNDUP(W343/H343,0)*0.00753),"")</f>
        <v/>
      </c>
      <c r="Y343" s="52"/>
      <c r="Z343" s="53"/>
      <c r="AD343" s="54"/>
      <c r="BA343" s="55" t="s">
        <v>1</v>
      </c>
    </row>
    <row r="344" spans="1:53" x14ac:dyDescent="0.2">
      <c r="A344" s="79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1"/>
      <c r="N344" s="76" t="s">
        <v>66</v>
      </c>
      <c r="O344" s="77"/>
      <c r="P344" s="77"/>
      <c r="Q344" s="77"/>
      <c r="R344" s="77"/>
      <c r="S344" s="77"/>
      <c r="T344" s="78"/>
      <c r="U344" s="56" t="s">
        <v>67</v>
      </c>
      <c r="V344" s="57">
        <f>IFERROR(V342/H342,"0")+IFERROR(V343/H343,"0")</f>
        <v>0</v>
      </c>
      <c r="W344" s="57">
        <f>IFERROR(W342/H342,"0")+IFERROR(W343/H343,"0")</f>
        <v>0</v>
      </c>
      <c r="X344" s="57">
        <f>IFERROR(IF(X342="",0,X342),"0")+IFERROR(IF(X343="",0,X343),"0")</f>
        <v>0</v>
      </c>
      <c r="Y344" s="58"/>
      <c r="Z344" s="58"/>
    </row>
    <row r="345" spans="1:53" x14ac:dyDescent="0.2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1"/>
      <c r="N345" s="76" t="s">
        <v>66</v>
      </c>
      <c r="O345" s="77"/>
      <c r="P345" s="77"/>
      <c r="Q345" s="77"/>
      <c r="R345" s="77"/>
      <c r="S345" s="77"/>
      <c r="T345" s="78"/>
      <c r="U345" s="56" t="s">
        <v>65</v>
      </c>
      <c r="V345" s="57">
        <f>IFERROR(SUM(V342:V343),"0")</f>
        <v>0</v>
      </c>
      <c r="W345" s="57">
        <f>IFERROR(SUM(W342:W343),"0")</f>
        <v>0</v>
      </c>
      <c r="X345" s="56"/>
      <c r="Y345" s="58"/>
      <c r="Z345" s="58"/>
    </row>
    <row r="346" spans="1:53" ht="14.25" customHeight="1" x14ac:dyDescent="0.25">
      <c r="A346" s="82" t="s">
        <v>60</v>
      </c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67"/>
      <c r="Z346" s="67"/>
    </row>
    <row r="347" spans="1:53" ht="27" customHeight="1" x14ac:dyDescent="0.25">
      <c r="A347" s="42" t="s">
        <v>485</v>
      </c>
      <c r="B347" s="42" t="s">
        <v>486</v>
      </c>
      <c r="C347" s="43">
        <v>4301031177</v>
      </c>
      <c r="D347" s="75">
        <v>4607091389753</v>
      </c>
      <c r="E347" s="73"/>
      <c r="F347" s="44">
        <v>0.7</v>
      </c>
      <c r="G347" s="45">
        <v>6</v>
      </c>
      <c r="H347" s="44">
        <v>4.2</v>
      </c>
      <c r="I347" s="44">
        <v>4.43</v>
      </c>
      <c r="J347" s="45">
        <v>156</v>
      </c>
      <c r="K347" s="45" t="s">
        <v>63</v>
      </c>
      <c r="L347" s="46" t="s">
        <v>64</v>
      </c>
      <c r="M347" s="45">
        <v>45</v>
      </c>
      <c r="N347" s="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72"/>
      <c r="P347" s="72"/>
      <c r="Q347" s="72"/>
      <c r="R347" s="73"/>
      <c r="S347" s="47"/>
      <c r="T347" s="47"/>
      <c r="U347" s="48" t="s">
        <v>65</v>
      </c>
      <c r="V347" s="49">
        <v>0</v>
      </c>
      <c r="W347" s="50">
        <f t="shared" ref="W347:W359" si="15">IFERROR(IF(V347="",0,CEILING((V347/$H347),1)*$H347),"")</f>
        <v>0</v>
      </c>
      <c r="X347" s="51" t="str">
        <f>IFERROR(IF(W347=0,"",ROUNDUP(W347/H347,0)*0.00753),"")</f>
        <v/>
      </c>
      <c r="Y347" s="52"/>
      <c r="Z347" s="53"/>
      <c r="AD347" s="54"/>
      <c r="BA347" s="55" t="s">
        <v>1</v>
      </c>
    </row>
    <row r="348" spans="1:53" ht="27" customHeight="1" x14ac:dyDescent="0.25">
      <c r="A348" s="42" t="s">
        <v>487</v>
      </c>
      <c r="B348" s="42" t="s">
        <v>488</v>
      </c>
      <c r="C348" s="43">
        <v>4301031174</v>
      </c>
      <c r="D348" s="75">
        <v>4607091389760</v>
      </c>
      <c r="E348" s="73"/>
      <c r="F348" s="44">
        <v>0.7</v>
      </c>
      <c r="G348" s="45">
        <v>6</v>
      </c>
      <c r="H348" s="44">
        <v>4.2</v>
      </c>
      <c r="I348" s="44">
        <v>4.43</v>
      </c>
      <c r="J348" s="45">
        <v>156</v>
      </c>
      <c r="K348" s="45" t="s">
        <v>63</v>
      </c>
      <c r="L348" s="46" t="s">
        <v>64</v>
      </c>
      <c r="M348" s="45">
        <v>45</v>
      </c>
      <c r="N348" s="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72"/>
      <c r="P348" s="72"/>
      <c r="Q348" s="72"/>
      <c r="R348" s="73"/>
      <c r="S348" s="47"/>
      <c r="T348" s="47"/>
      <c r="U348" s="48" t="s">
        <v>65</v>
      </c>
      <c r="V348" s="49">
        <v>0</v>
      </c>
      <c r="W348" s="50">
        <f t="shared" si="15"/>
        <v>0</v>
      </c>
      <c r="X348" s="51" t="str">
        <f>IFERROR(IF(W348=0,"",ROUNDUP(W348/H348,0)*0.00753),"")</f>
        <v/>
      </c>
      <c r="Y348" s="52"/>
      <c r="Z348" s="53"/>
      <c r="AD348" s="54"/>
      <c r="BA348" s="55" t="s">
        <v>1</v>
      </c>
    </row>
    <row r="349" spans="1:53" ht="27" customHeight="1" x14ac:dyDescent="0.25">
      <c r="A349" s="42" t="s">
        <v>489</v>
      </c>
      <c r="B349" s="42" t="s">
        <v>490</v>
      </c>
      <c r="C349" s="43">
        <v>4301031175</v>
      </c>
      <c r="D349" s="75">
        <v>4607091389746</v>
      </c>
      <c r="E349" s="73"/>
      <c r="F349" s="44">
        <v>0.7</v>
      </c>
      <c r="G349" s="45">
        <v>6</v>
      </c>
      <c r="H349" s="44">
        <v>4.2</v>
      </c>
      <c r="I349" s="44">
        <v>4.43</v>
      </c>
      <c r="J349" s="45">
        <v>156</v>
      </c>
      <c r="K349" s="45" t="s">
        <v>63</v>
      </c>
      <c r="L349" s="46" t="s">
        <v>64</v>
      </c>
      <c r="M349" s="45">
        <v>45</v>
      </c>
      <c r="N349" s="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72"/>
      <c r="P349" s="72"/>
      <c r="Q349" s="72"/>
      <c r="R349" s="73"/>
      <c r="S349" s="47"/>
      <c r="T349" s="47"/>
      <c r="U349" s="48" t="s">
        <v>65</v>
      </c>
      <c r="V349" s="49">
        <v>21</v>
      </c>
      <c r="W349" s="50">
        <f t="shared" si="15"/>
        <v>21</v>
      </c>
      <c r="X349" s="51">
        <f>IFERROR(IF(W349=0,"",ROUNDUP(W349/H349,0)*0.00753),"")</f>
        <v>3.7650000000000003E-2</v>
      </c>
      <c r="Y349" s="52"/>
      <c r="Z349" s="53"/>
      <c r="AD349" s="54"/>
      <c r="BA349" s="55" t="s">
        <v>1</v>
      </c>
    </row>
    <row r="350" spans="1:53" ht="37.5" customHeight="1" x14ac:dyDescent="0.25">
      <c r="A350" s="42" t="s">
        <v>491</v>
      </c>
      <c r="B350" s="42" t="s">
        <v>492</v>
      </c>
      <c r="C350" s="43">
        <v>4301031236</v>
      </c>
      <c r="D350" s="75">
        <v>4680115882928</v>
      </c>
      <c r="E350" s="73"/>
      <c r="F350" s="44">
        <v>0.28000000000000003</v>
      </c>
      <c r="G350" s="45">
        <v>6</v>
      </c>
      <c r="H350" s="44">
        <v>1.68</v>
      </c>
      <c r="I350" s="44">
        <v>2.6</v>
      </c>
      <c r="J350" s="45">
        <v>156</v>
      </c>
      <c r="K350" s="45" t="s">
        <v>63</v>
      </c>
      <c r="L350" s="46" t="s">
        <v>64</v>
      </c>
      <c r="M350" s="45">
        <v>35</v>
      </c>
      <c r="N350" s="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72"/>
      <c r="P350" s="72"/>
      <c r="Q350" s="72"/>
      <c r="R350" s="73"/>
      <c r="S350" s="47"/>
      <c r="T350" s="47"/>
      <c r="U350" s="48" t="s">
        <v>65</v>
      </c>
      <c r="V350" s="49">
        <v>3.36</v>
      </c>
      <c r="W350" s="50">
        <f t="shared" si="15"/>
        <v>3.36</v>
      </c>
      <c r="X350" s="51">
        <f>IFERROR(IF(W350=0,"",ROUNDUP(W350/H350,0)*0.00753),"")</f>
        <v>1.506E-2</v>
      </c>
      <c r="Y350" s="52"/>
      <c r="Z350" s="53"/>
      <c r="AD350" s="54"/>
      <c r="BA350" s="55" t="s">
        <v>1</v>
      </c>
    </row>
    <row r="351" spans="1:53" ht="27" customHeight="1" x14ac:dyDescent="0.25">
      <c r="A351" s="42" t="s">
        <v>493</v>
      </c>
      <c r="B351" s="42" t="s">
        <v>494</v>
      </c>
      <c r="C351" s="43">
        <v>4301031257</v>
      </c>
      <c r="D351" s="75">
        <v>4680115883147</v>
      </c>
      <c r="E351" s="73"/>
      <c r="F351" s="44">
        <v>0.28000000000000003</v>
      </c>
      <c r="G351" s="45">
        <v>6</v>
      </c>
      <c r="H351" s="44">
        <v>1.68</v>
      </c>
      <c r="I351" s="44">
        <v>1.81</v>
      </c>
      <c r="J351" s="45">
        <v>234</v>
      </c>
      <c r="K351" s="45" t="s">
        <v>163</v>
      </c>
      <c r="L351" s="46" t="s">
        <v>64</v>
      </c>
      <c r="M351" s="45">
        <v>45</v>
      </c>
      <c r="N351" s="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72"/>
      <c r="P351" s="72"/>
      <c r="Q351" s="72"/>
      <c r="R351" s="73"/>
      <c r="S351" s="47"/>
      <c r="T351" s="47"/>
      <c r="U351" s="48" t="s">
        <v>65</v>
      </c>
      <c r="V351" s="49">
        <v>0</v>
      </c>
      <c r="W351" s="50">
        <f t="shared" si="15"/>
        <v>0</v>
      </c>
      <c r="X351" s="51" t="str">
        <f t="shared" ref="X351:X359" si="16">IFERROR(IF(W351=0,"",ROUNDUP(W351/H351,0)*0.00502),"")</f>
        <v/>
      </c>
      <c r="Y351" s="52"/>
      <c r="Z351" s="53"/>
      <c r="AD351" s="54"/>
      <c r="BA351" s="55" t="s">
        <v>1</v>
      </c>
    </row>
    <row r="352" spans="1:53" ht="27" customHeight="1" x14ac:dyDescent="0.25">
      <c r="A352" s="42" t="s">
        <v>495</v>
      </c>
      <c r="B352" s="42" t="s">
        <v>496</v>
      </c>
      <c r="C352" s="43">
        <v>4301031178</v>
      </c>
      <c r="D352" s="75">
        <v>4607091384338</v>
      </c>
      <c r="E352" s="73"/>
      <c r="F352" s="44">
        <v>0.35</v>
      </c>
      <c r="G352" s="45">
        <v>6</v>
      </c>
      <c r="H352" s="44">
        <v>2.1</v>
      </c>
      <c r="I352" s="44">
        <v>2.23</v>
      </c>
      <c r="J352" s="45">
        <v>234</v>
      </c>
      <c r="K352" s="45" t="s">
        <v>163</v>
      </c>
      <c r="L352" s="46" t="s">
        <v>64</v>
      </c>
      <c r="M352" s="45">
        <v>45</v>
      </c>
      <c r="N352" s="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72"/>
      <c r="P352" s="72"/>
      <c r="Q352" s="72"/>
      <c r="R352" s="73"/>
      <c r="S352" s="47"/>
      <c r="T352" s="47"/>
      <c r="U352" s="48" t="s">
        <v>65</v>
      </c>
      <c r="V352" s="49">
        <v>0</v>
      </c>
      <c r="W352" s="50">
        <f t="shared" si="15"/>
        <v>0</v>
      </c>
      <c r="X352" s="51" t="str">
        <f t="shared" si="16"/>
        <v/>
      </c>
      <c r="Y352" s="52"/>
      <c r="Z352" s="53"/>
      <c r="AD352" s="54"/>
      <c r="BA352" s="55" t="s">
        <v>1</v>
      </c>
    </row>
    <row r="353" spans="1:53" ht="37.5" customHeight="1" x14ac:dyDescent="0.25">
      <c r="A353" s="42" t="s">
        <v>497</v>
      </c>
      <c r="B353" s="42" t="s">
        <v>498</v>
      </c>
      <c r="C353" s="43">
        <v>4301031254</v>
      </c>
      <c r="D353" s="75">
        <v>4680115883154</v>
      </c>
      <c r="E353" s="73"/>
      <c r="F353" s="44">
        <v>0.28000000000000003</v>
      </c>
      <c r="G353" s="45">
        <v>6</v>
      </c>
      <c r="H353" s="44">
        <v>1.68</v>
      </c>
      <c r="I353" s="44">
        <v>1.81</v>
      </c>
      <c r="J353" s="45">
        <v>234</v>
      </c>
      <c r="K353" s="45" t="s">
        <v>163</v>
      </c>
      <c r="L353" s="46" t="s">
        <v>64</v>
      </c>
      <c r="M353" s="45">
        <v>45</v>
      </c>
      <c r="N353" s="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72"/>
      <c r="P353" s="72"/>
      <c r="Q353" s="72"/>
      <c r="R353" s="73"/>
      <c r="S353" s="47"/>
      <c r="T353" s="47"/>
      <c r="U353" s="48" t="s">
        <v>65</v>
      </c>
      <c r="V353" s="49">
        <v>0</v>
      </c>
      <c r="W353" s="50">
        <f t="shared" si="15"/>
        <v>0</v>
      </c>
      <c r="X353" s="51" t="str">
        <f t="shared" si="16"/>
        <v/>
      </c>
      <c r="Y353" s="52"/>
      <c r="Z353" s="53"/>
      <c r="AD353" s="54"/>
      <c r="BA353" s="55" t="s">
        <v>1</v>
      </c>
    </row>
    <row r="354" spans="1:53" ht="37.5" customHeight="1" x14ac:dyDescent="0.25">
      <c r="A354" s="42" t="s">
        <v>499</v>
      </c>
      <c r="B354" s="42" t="s">
        <v>500</v>
      </c>
      <c r="C354" s="43">
        <v>4301031171</v>
      </c>
      <c r="D354" s="75">
        <v>4607091389524</v>
      </c>
      <c r="E354" s="73"/>
      <c r="F354" s="44">
        <v>0.35</v>
      </c>
      <c r="G354" s="45">
        <v>6</v>
      </c>
      <c r="H354" s="44">
        <v>2.1</v>
      </c>
      <c r="I354" s="44">
        <v>2.23</v>
      </c>
      <c r="J354" s="45">
        <v>234</v>
      </c>
      <c r="K354" s="45" t="s">
        <v>163</v>
      </c>
      <c r="L354" s="46" t="s">
        <v>64</v>
      </c>
      <c r="M354" s="45">
        <v>45</v>
      </c>
      <c r="N354" s="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72"/>
      <c r="P354" s="72"/>
      <c r="Q354" s="72"/>
      <c r="R354" s="73"/>
      <c r="S354" s="47"/>
      <c r="T354" s="47"/>
      <c r="U354" s="48" t="s">
        <v>65</v>
      </c>
      <c r="V354" s="49">
        <v>4.2</v>
      </c>
      <c r="W354" s="50">
        <f t="shared" si="15"/>
        <v>4.2</v>
      </c>
      <c r="X354" s="51">
        <f t="shared" si="16"/>
        <v>1.004E-2</v>
      </c>
      <c r="Y354" s="52"/>
      <c r="Z354" s="53"/>
      <c r="AD354" s="54"/>
      <c r="BA354" s="55" t="s">
        <v>1</v>
      </c>
    </row>
    <row r="355" spans="1:53" ht="27" customHeight="1" x14ac:dyDescent="0.25">
      <c r="A355" s="42" t="s">
        <v>501</v>
      </c>
      <c r="B355" s="42" t="s">
        <v>502</v>
      </c>
      <c r="C355" s="43">
        <v>4301031258</v>
      </c>
      <c r="D355" s="75">
        <v>4680115883161</v>
      </c>
      <c r="E355" s="73"/>
      <c r="F355" s="44">
        <v>0.28000000000000003</v>
      </c>
      <c r="G355" s="45">
        <v>6</v>
      </c>
      <c r="H355" s="44">
        <v>1.68</v>
      </c>
      <c r="I355" s="44">
        <v>1.81</v>
      </c>
      <c r="J355" s="45">
        <v>234</v>
      </c>
      <c r="K355" s="45" t="s">
        <v>163</v>
      </c>
      <c r="L355" s="46" t="s">
        <v>64</v>
      </c>
      <c r="M355" s="45">
        <v>45</v>
      </c>
      <c r="N355" s="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72"/>
      <c r="P355" s="72"/>
      <c r="Q355" s="72"/>
      <c r="R355" s="73"/>
      <c r="S355" s="47"/>
      <c r="T355" s="47"/>
      <c r="U355" s="48" t="s">
        <v>65</v>
      </c>
      <c r="V355" s="49">
        <v>0</v>
      </c>
      <c r="W355" s="50">
        <f t="shared" si="15"/>
        <v>0</v>
      </c>
      <c r="X355" s="51" t="str">
        <f t="shared" si="16"/>
        <v/>
      </c>
      <c r="Y355" s="52"/>
      <c r="Z355" s="53"/>
      <c r="AD355" s="54"/>
      <c r="BA355" s="55" t="s">
        <v>1</v>
      </c>
    </row>
    <row r="356" spans="1:53" ht="27" customHeight="1" x14ac:dyDescent="0.25">
      <c r="A356" s="42" t="s">
        <v>503</v>
      </c>
      <c r="B356" s="42" t="s">
        <v>504</v>
      </c>
      <c r="C356" s="43">
        <v>4301031170</v>
      </c>
      <c r="D356" s="75">
        <v>4607091384345</v>
      </c>
      <c r="E356" s="73"/>
      <c r="F356" s="44">
        <v>0.35</v>
      </c>
      <c r="G356" s="45">
        <v>6</v>
      </c>
      <c r="H356" s="44">
        <v>2.1</v>
      </c>
      <c r="I356" s="44">
        <v>2.23</v>
      </c>
      <c r="J356" s="45">
        <v>234</v>
      </c>
      <c r="K356" s="45" t="s">
        <v>163</v>
      </c>
      <c r="L356" s="46" t="s">
        <v>64</v>
      </c>
      <c r="M356" s="45">
        <v>45</v>
      </c>
      <c r="N356" s="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72"/>
      <c r="P356" s="72"/>
      <c r="Q356" s="72"/>
      <c r="R356" s="73"/>
      <c r="S356" s="47"/>
      <c r="T356" s="47"/>
      <c r="U356" s="48" t="s">
        <v>65</v>
      </c>
      <c r="V356" s="49">
        <v>0</v>
      </c>
      <c r="W356" s="50">
        <f t="shared" si="15"/>
        <v>0</v>
      </c>
      <c r="X356" s="51" t="str">
        <f t="shared" si="16"/>
        <v/>
      </c>
      <c r="Y356" s="52"/>
      <c r="Z356" s="53"/>
      <c r="AD356" s="54"/>
      <c r="BA356" s="55" t="s">
        <v>1</v>
      </c>
    </row>
    <row r="357" spans="1:53" ht="27" customHeight="1" x14ac:dyDescent="0.25">
      <c r="A357" s="42" t="s">
        <v>505</v>
      </c>
      <c r="B357" s="42" t="s">
        <v>506</v>
      </c>
      <c r="C357" s="43">
        <v>4301031256</v>
      </c>
      <c r="D357" s="75">
        <v>4680115883178</v>
      </c>
      <c r="E357" s="73"/>
      <c r="F357" s="44">
        <v>0.28000000000000003</v>
      </c>
      <c r="G357" s="45">
        <v>6</v>
      </c>
      <c r="H357" s="44">
        <v>1.68</v>
      </c>
      <c r="I357" s="44">
        <v>1.81</v>
      </c>
      <c r="J357" s="45">
        <v>234</v>
      </c>
      <c r="K357" s="45" t="s">
        <v>163</v>
      </c>
      <c r="L357" s="46" t="s">
        <v>64</v>
      </c>
      <c r="M357" s="45">
        <v>45</v>
      </c>
      <c r="N357" s="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72"/>
      <c r="P357" s="72"/>
      <c r="Q357" s="72"/>
      <c r="R357" s="73"/>
      <c r="S357" s="47"/>
      <c r="T357" s="47"/>
      <c r="U357" s="48" t="s">
        <v>65</v>
      </c>
      <c r="V357" s="49">
        <v>0</v>
      </c>
      <c r="W357" s="50">
        <f t="shared" si="15"/>
        <v>0</v>
      </c>
      <c r="X357" s="51" t="str">
        <f t="shared" si="16"/>
        <v/>
      </c>
      <c r="Y357" s="52"/>
      <c r="Z357" s="53"/>
      <c r="AD357" s="54"/>
      <c r="BA357" s="55" t="s">
        <v>1</v>
      </c>
    </row>
    <row r="358" spans="1:53" ht="27" customHeight="1" x14ac:dyDescent="0.25">
      <c r="A358" s="42" t="s">
        <v>507</v>
      </c>
      <c r="B358" s="42" t="s">
        <v>508</v>
      </c>
      <c r="C358" s="43">
        <v>4301031172</v>
      </c>
      <c r="D358" s="75">
        <v>4607091389531</v>
      </c>
      <c r="E358" s="73"/>
      <c r="F358" s="44">
        <v>0.35</v>
      </c>
      <c r="G358" s="45">
        <v>6</v>
      </c>
      <c r="H358" s="44">
        <v>2.1</v>
      </c>
      <c r="I358" s="44">
        <v>2.23</v>
      </c>
      <c r="J358" s="45">
        <v>234</v>
      </c>
      <c r="K358" s="45" t="s">
        <v>163</v>
      </c>
      <c r="L358" s="46" t="s">
        <v>64</v>
      </c>
      <c r="M358" s="45">
        <v>45</v>
      </c>
      <c r="N358" s="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72"/>
      <c r="P358" s="72"/>
      <c r="Q358" s="72"/>
      <c r="R358" s="73"/>
      <c r="S358" s="47"/>
      <c r="T358" s="47"/>
      <c r="U358" s="48" t="s">
        <v>65</v>
      </c>
      <c r="V358" s="49">
        <v>2.1</v>
      </c>
      <c r="W358" s="50">
        <f t="shared" si="15"/>
        <v>2.1</v>
      </c>
      <c r="X358" s="51">
        <f t="shared" si="16"/>
        <v>5.0200000000000002E-3</v>
      </c>
      <c r="Y358" s="52"/>
      <c r="Z358" s="53"/>
      <c r="AD358" s="54"/>
      <c r="BA358" s="55" t="s">
        <v>1</v>
      </c>
    </row>
    <row r="359" spans="1:53" ht="27" customHeight="1" x14ac:dyDescent="0.25">
      <c r="A359" s="42" t="s">
        <v>509</v>
      </c>
      <c r="B359" s="42" t="s">
        <v>510</v>
      </c>
      <c r="C359" s="43">
        <v>4301031255</v>
      </c>
      <c r="D359" s="75">
        <v>4680115883185</v>
      </c>
      <c r="E359" s="73"/>
      <c r="F359" s="44">
        <v>0.28000000000000003</v>
      </c>
      <c r="G359" s="45">
        <v>6</v>
      </c>
      <c r="H359" s="44">
        <v>1.68</v>
      </c>
      <c r="I359" s="44">
        <v>1.81</v>
      </c>
      <c r="J359" s="45">
        <v>234</v>
      </c>
      <c r="K359" s="45" t="s">
        <v>163</v>
      </c>
      <c r="L359" s="46" t="s">
        <v>64</v>
      </c>
      <c r="M359" s="45">
        <v>45</v>
      </c>
      <c r="N359" s="74" t="s">
        <v>511</v>
      </c>
      <c r="O359" s="72"/>
      <c r="P359" s="72"/>
      <c r="Q359" s="72"/>
      <c r="R359" s="73"/>
      <c r="S359" s="47"/>
      <c r="T359" s="47"/>
      <c r="U359" s="48" t="s">
        <v>65</v>
      </c>
      <c r="V359" s="49">
        <v>0</v>
      </c>
      <c r="W359" s="50">
        <f t="shared" si="15"/>
        <v>0</v>
      </c>
      <c r="X359" s="51" t="str">
        <f t="shared" si="16"/>
        <v/>
      </c>
      <c r="Y359" s="52"/>
      <c r="Z359" s="53"/>
      <c r="AD359" s="54"/>
      <c r="BA359" s="55" t="s">
        <v>1</v>
      </c>
    </row>
    <row r="360" spans="1:53" x14ac:dyDescent="0.2">
      <c r="A360" s="79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1"/>
      <c r="N360" s="76" t="s">
        <v>66</v>
      </c>
      <c r="O360" s="77"/>
      <c r="P360" s="77"/>
      <c r="Q360" s="77"/>
      <c r="R360" s="77"/>
      <c r="S360" s="77"/>
      <c r="T360" s="78"/>
      <c r="U360" s="56" t="s">
        <v>67</v>
      </c>
      <c r="V360" s="5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10</v>
      </c>
      <c r="W360" s="57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10</v>
      </c>
      <c r="X360" s="57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6.7769999999999997E-2</v>
      </c>
      <c r="Y360" s="58"/>
      <c r="Z360" s="58"/>
    </row>
    <row r="361" spans="1:53" x14ac:dyDescent="0.2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1"/>
      <c r="N361" s="76" t="s">
        <v>66</v>
      </c>
      <c r="O361" s="77"/>
      <c r="P361" s="77"/>
      <c r="Q361" s="77"/>
      <c r="R361" s="77"/>
      <c r="S361" s="77"/>
      <c r="T361" s="78"/>
      <c r="U361" s="56" t="s">
        <v>65</v>
      </c>
      <c r="V361" s="57">
        <f>IFERROR(SUM(V347:V359),"0")</f>
        <v>30.66</v>
      </c>
      <c r="W361" s="57">
        <f>IFERROR(SUM(W347:W359),"0")</f>
        <v>30.66</v>
      </c>
      <c r="X361" s="56"/>
      <c r="Y361" s="58"/>
      <c r="Z361" s="58"/>
    </row>
    <row r="362" spans="1:53" ht="14.25" customHeight="1" x14ac:dyDescent="0.25">
      <c r="A362" s="82" t="s">
        <v>68</v>
      </c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67"/>
      <c r="Z362" s="67"/>
    </row>
    <row r="363" spans="1:53" ht="27" customHeight="1" x14ac:dyDescent="0.25">
      <c r="A363" s="42" t="s">
        <v>512</v>
      </c>
      <c r="B363" s="42" t="s">
        <v>513</v>
      </c>
      <c r="C363" s="43">
        <v>4301051258</v>
      </c>
      <c r="D363" s="75">
        <v>4607091389685</v>
      </c>
      <c r="E363" s="73"/>
      <c r="F363" s="44">
        <v>1.3</v>
      </c>
      <c r="G363" s="45">
        <v>6</v>
      </c>
      <c r="H363" s="44">
        <v>7.8</v>
      </c>
      <c r="I363" s="44">
        <v>8.3460000000000001</v>
      </c>
      <c r="J363" s="45">
        <v>56</v>
      </c>
      <c r="K363" s="45" t="s">
        <v>98</v>
      </c>
      <c r="L363" s="46" t="s">
        <v>128</v>
      </c>
      <c r="M363" s="45">
        <v>45</v>
      </c>
      <c r="N363" s="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72"/>
      <c r="P363" s="72"/>
      <c r="Q363" s="72"/>
      <c r="R363" s="73"/>
      <c r="S363" s="47"/>
      <c r="T363" s="47"/>
      <c r="U363" s="48" t="s">
        <v>65</v>
      </c>
      <c r="V363" s="49">
        <v>0</v>
      </c>
      <c r="W363" s="50">
        <f>IFERROR(IF(V363="",0,CEILING((V363/$H363),1)*$H363),"")</f>
        <v>0</v>
      </c>
      <c r="X363" s="51" t="str">
        <f>IFERROR(IF(W363=0,"",ROUNDUP(W363/H363,0)*0.02175),"")</f>
        <v/>
      </c>
      <c r="Y363" s="52"/>
      <c r="Z363" s="53"/>
      <c r="AD363" s="54"/>
      <c r="BA363" s="55" t="s">
        <v>1</v>
      </c>
    </row>
    <row r="364" spans="1:53" ht="27" customHeight="1" x14ac:dyDescent="0.25">
      <c r="A364" s="42" t="s">
        <v>514</v>
      </c>
      <c r="B364" s="42" t="s">
        <v>515</v>
      </c>
      <c r="C364" s="43">
        <v>4301051431</v>
      </c>
      <c r="D364" s="75">
        <v>4607091389654</v>
      </c>
      <c r="E364" s="73"/>
      <c r="F364" s="44">
        <v>0.33</v>
      </c>
      <c r="G364" s="45">
        <v>6</v>
      </c>
      <c r="H364" s="44">
        <v>1.98</v>
      </c>
      <c r="I364" s="44">
        <v>2.258</v>
      </c>
      <c r="J364" s="45">
        <v>156</v>
      </c>
      <c r="K364" s="45" t="s">
        <v>63</v>
      </c>
      <c r="L364" s="46" t="s">
        <v>128</v>
      </c>
      <c r="M364" s="45">
        <v>45</v>
      </c>
      <c r="N364" s="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72"/>
      <c r="P364" s="72"/>
      <c r="Q364" s="72"/>
      <c r="R364" s="73"/>
      <c r="S364" s="47"/>
      <c r="T364" s="47"/>
      <c r="U364" s="48" t="s">
        <v>65</v>
      </c>
      <c r="V364" s="49">
        <v>0</v>
      </c>
      <c r="W364" s="50">
        <f>IFERROR(IF(V364="",0,CEILING((V364/$H364),1)*$H364),"")</f>
        <v>0</v>
      </c>
      <c r="X364" s="51" t="str">
        <f>IFERROR(IF(W364=0,"",ROUNDUP(W364/H364,0)*0.00753),"")</f>
        <v/>
      </c>
      <c r="Y364" s="52"/>
      <c r="Z364" s="53"/>
      <c r="AD364" s="54"/>
      <c r="BA364" s="55" t="s">
        <v>1</v>
      </c>
    </row>
    <row r="365" spans="1:53" ht="27" customHeight="1" x14ac:dyDescent="0.25">
      <c r="A365" s="42" t="s">
        <v>516</v>
      </c>
      <c r="B365" s="42" t="s">
        <v>517</v>
      </c>
      <c r="C365" s="43">
        <v>4301051284</v>
      </c>
      <c r="D365" s="75">
        <v>4607091384352</v>
      </c>
      <c r="E365" s="73"/>
      <c r="F365" s="44">
        <v>0.6</v>
      </c>
      <c r="G365" s="45">
        <v>4</v>
      </c>
      <c r="H365" s="44">
        <v>2.4</v>
      </c>
      <c r="I365" s="44">
        <v>2.6459999999999999</v>
      </c>
      <c r="J365" s="45">
        <v>120</v>
      </c>
      <c r="K365" s="45" t="s">
        <v>63</v>
      </c>
      <c r="L365" s="46" t="s">
        <v>128</v>
      </c>
      <c r="M365" s="45">
        <v>45</v>
      </c>
      <c r="N365" s="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72"/>
      <c r="P365" s="72"/>
      <c r="Q365" s="72"/>
      <c r="R365" s="73"/>
      <c r="S365" s="47"/>
      <c r="T365" s="47"/>
      <c r="U365" s="48" t="s">
        <v>65</v>
      </c>
      <c r="V365" s="49">
        <v>0</v>
      </c>
      <c r="W365" s="50">
        <f>IFERROR(IF(V365="",0,CEILING((V365/$H365),1)*$H365),"")</f>
        <v>0</v>
      </c>
      <c r="X365" s="51" t="str">
        <f>IFERROR(IF(W365=0,"",ROUNDUP(W365/H365,0)*0.00937),"")</f>
        <v/>
      </c>
      <c r="Y365" s="52"/>
      <c r="Z365" s="53"/>
      <c r="AD365" s="54"/>
      <c r="BA365" s="55" t="s">
        <v>1</v>
      </c>
    </row>
    <row r="366" spans="1:53" ht="27" customHeight="1" x14ac:dyDescent="0.25">
      <c r="A366" s="42" t="s">
        <v>518</v>
      </c>
      <c r="B366" s="42" t="s">
        <v>519</v>
      </c>
      <c r="C366" s="43">
        <v>4301051257</v>
      </c>
      <c r="D366" s="75">
        <v>4607091389661</v>
      </c>
      <c r="E366" s="73"/>
      <c r="F366" s="44">
        <v>0.55000000000000004</v>
      </c>
      <c r="G366" s="45">
        <v>4</v>
      </c>
      <c r="H366" s="44">
        <v>2.2000000000000002</v>
      </c>
      <c r="I366" s="44">
        <v>2.492</v>
      </c>
      <c r="J366" s="45">
        <v>120</v>
      </c>
      <c r="K366" s="45" t="s">
        <v>63</v>
      </c>
      <c r="L366" s="46" t="s">
        <v>128</v>
      </c>
      <c r="M366" s="45">
        <v>45</v>
      </c>
      <c r="N366" s="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72"/>
      <c r="P366" s="72"/>
      <c r="Q366" s="72"/>
      <c r="R366" s="73"/>
      <c r="S366" s="47"/>
      <c r="T366" s="47"/>
      <c r="U366" s="48" t="s">
        <v>65</v>
      </c>
      <c r="V366" s="49">
        <v>0</v>
      </c>
      <c r="W366" s="50">
        <f>IFERROR(IF(V366="",0,CEILING((V366/$H366),1)*$H366),"")</f>
        <v>0</v>
      </c>
      <c r="X366" s="51" t="str">
        <f>IFERROR(IF(W366=0,"",ROUNDUP(W366/H366,0)*0.00937),"")</f>
        <v/>
      </c>
      <c r="Y366" s="52"/>
      <c r="Z366" s="53"/>
      <c r="AD366" s="54"/>
      <c r="BA366" s="55" t="s">
        <v>1</v>
      </c>
    </row>
    <row r="367" spans="1:53" x14ac:dyDescent="0.2">
      <c r="A367" s="79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1"/>
      <c r="N367" s="76" t="s">
        <v>66</v>
      </c>
      <c r="O367" s="77"/>
      <c r="P367" s="77"/>
      <c r="Q367" s="77"/>
      <c r="R367" s="77"/>
      <c r="S367" s="77"/>
      <c r="T367" s="78"/>
      <c r="U367" s="56" t="s">
        <v>67</v>
      </c>
      <c r="V367" s="57">
        <f>IFERROR(V363/H363,"0")+IFERROR(V364/H364,"0")+IFERROR(V365/H365,"0")+IFERROR(V366/H366,"0")</f>
        <v>0</v>
      </c>
      <c r="W367" s="57">
        <f>IFERROR(W363/H363,"0")+IFERROR(W364/H364,"0")+IFERROR(W365/H365,"0")+IFERROR(W366/H366,"0")</f>
        <v>0</v>
      </c>
      <c r="X367" s="57">
        <f>IFERROR(IF(X363="",0,X363),"0")+IFERROR(IF(X364="",0,X364),"0")+IFERROR(IF(X365="",0,X365),"0")+IFERROR(IF(X366="",0,X366),"0")</f>
        <v>0</v>
      </c>
      <c r="Y367" s="58"/>
      <c r="Z367" s="58"/>
    </row>
    <row r="368" spans="1:53" x14ac:dyDescent="0.2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1"/>
      <c r="N368" s="76" t="s">
        <v>66</v>
      </c>
      <c r="O368" s="77"/>
      <c r="P368" s="77"/>
      <c r="Q368" s="77"/>
      <c r="R368" s="77"/>
      <c r="S368" s="77"/>
      <c r="T368" s="78"/>
      <c r="U368" s="56" t="s">
        <v>65</v>
      </c>
      <c r="V368" s="57">
        <f>IFERROR(SUM(V363:V366),"0")</f>
        <v>0</v>
      </c>
      <c r="W368" s="57">
        <f>IFERROR(SUM(W363:W366),"0")</f>
        <v>0</v>
      </c>
      <c r="X368" s="56"/>
      <c r="Y368" s="58"/>
      <c r="Z368" s="58"/>
    </row>
    <row r="369" spans="1:53" ht="14.25" customHeight="1" x14ac:dyDescent="0.25">
      <c r="A369" s="82" t="s">
        <v>212</v>
      </c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67"/>
      <c r="Z369" s="67"/>
    </row>
    <row r="370" spans="1:53" ht="27" customHeight="1" x14ac:dyDescent="0.25">
      <c r="A370" s="42" t="s">
        <v>520</v>
      </c>
      <c r="B370" s="42" t="s">
        <v>521</v>
      </c>
      <c r="C370" s="43">
        <v>4301060352</v>
      </c>
      <c r="D370" s="75">
        <v>4680115881648</v>
      </c>
      <c r="E370" s="73"/>
      <c r="F370" s="44">
        <v>1</v>
      </c>
      <c r="G370" s="45">
        <v>4</v>
      </c>
      <c r="H370" s="44">
        <v>4</v>
      </c>
      <c r="I370" s="44">
        <v>4.4039999999999999</v>
      </c>
      <c r="J370" s="45">
        <v>104</v>
      </c>
      <c r="K370" s="45" t="s">
        <v>98</v>
      </c>
      <c r="L370" s="46" t="s">
        <v>64</v>
      </c>
      <c r="M370" s="45">
        <v>35</v>
      </c>
      <c r="N370" s="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72"/>
      <c r="P370" s="72"/>
      <c r="Q370" s="72"/>
      <c r="R370" s="73"/>
      <c r="S370" s="47"/>
      <c r="T370" s="47"/>
      <c r="U370" s="48" t="s">
        <v>65</v>
      </c>
      <c r="V370" s="49">
        <v>0</v>
      </c>
      <c r="W370" s="50">
        <f>IFERROR(IF(V370="",0,CEILING((V370/$H370),1)*$H370),"")</f>
        <v>0</v>
      </c>
      <c r="X370" s="51" t="str">
        <f>IFERROR(IF(W370=0,"",ROUNDUP(W370/H370,0)*0.01196),"")</f>
        <v/>
      </c>
      <c r="Y370" s="52"/>
      <c r="Z370" s="53"/>
      <c r="AD370" s="54"/>
      <c r="BA370" s="55" t="s">
        <v>1</v>
      </c>
    </row>
    <row r="371" spans="1:53" x14ac:dyDescent="0.2">
      <c r="A371" s="79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1"/>
      <c r="N371" s="76" t="s">
        <v>66</v>
      </c>
      <c r="O371" s="77"/>
      <c r="P371" s="77"/>
      <c r="Q371" s="77"/>
      <c r="R371" s="77"/>
      <c r="S371" s="77"/>
      <c r="T371" s="78"/>
      <c r="U371" s="56" t="s">
        <v>67</v>
      </c>
      <c r="V371" s="57">
        <f>IFERROR(V370/H370,"0")</f>
        <v>0</v>
      </c>
      <c r="W371" s="57">
        <f>IFERROR(W370/H370,"0")</f>
        <v>0</v>
      </c>
      <c r="X371" s="57">
        <f>IFERROR(IF(X370="",0,X370),"0")</f>
        <v>0</v>
      </c>
      <c r="Y371" s="58"/>
      <c r="Z371" s="58"/>
    </row>
    <row r="372" spans="1:53" x14ac:dyDescent="0.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1"/>
      <c r="N372" s="76" t="s">
        <v>66</v>
      </c>
      <c r="O372" s="77"/>
      <c r="P372" s="77"/>
      <c r="Q372" s="77"/>
      <c r="R372" s="77"/>
      <c r="S372" s="77"/>
      <c r="T372" s="78"/>
      <c r="U372" s="56" t="s">
        <v>65</v>
      </c>
      <c r="V372" s="57">
        <f>IFERROR(SUM(V370:V370),"0")</f>
        <v>0</v>
      </c>
      <c r="W372" s="57">
        <f>IFERROR(SUM(W370:W370),"0")</f>
        <v>0</v>
      </c>
      <c r="X372" s="56"/>
      <c r="Y372" s="58"/>
      <c r="Z372" s="58"/>
    </row>
    <row r="373" spans="1:53" ht="14.25" customHeight="1" x14ac:dyDescent="0.25">
      <c r="A373" s="82" t="s">
        <v>90</v>
      </c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67"/>
      <c r="Z373" s="67"/>
    </row>
    <row r="374" spans="1:53" ht="27" customHeight="1" x14ac:dyDescent="0.25">
      <c r="A374" s="42" t="s">
        <v>522</v>
      </c>
      <c r="B374" s="42" t="s">
        <v>523</v>
      </c>
      <c r="C374" s="43">
        <v>4301170009</v>
      </c>
      <c r="D374" s="75">
        <v>4680115882997</v>
      </c>
      <c r="E374" s="73"/>
      <c r="F374" s="44">
        <v>0.13</v>
      </c>
      <c r="G374" s="45">
        <v>10</v>
      </c>
      <c r="H374" s="44">
        <v>1.3</v>
      </c>
      <c r="I374" s="44">
        <v>1.46</v>
      </c>
      <c r="J374" s="45">
        <v>200</v>
      </c>
      <c r="K374" s="45" t="s">
        <v>524</v>
      </c>
      <c r="L374" s="46" t="s">
        <v>525</v>
      </c>
      <c r="M374" s="45">
        <v>150</v>
      </c>
      <c r="N374" s="74" t="s">
        <v>526</v>
      </c>
      <c r="O374" s="72"/>
      <c r="P374" s="72"/>
      <c r="Q374" s="72"/>
      <c r="R374" s="73"/>
      <c r="S374" s="47"/>
      <c r="T374" s="47"/>
      <c r="U374" s="48" t="s">
        <v>65</v>
      </c>
      <c r="V374" s="49">
        <v>0</v>
      </c>
      <c r="W374" s="50">
        <f>IFERROR(IF(V374="",0,CEILING((V374/$H374),1)*$H374),"")</f>
        <v>0</v>
      </c>
      <c r="X374" s="51" t="str">
        <f>IFERROR(IF(W374=0,"",ROUNDUP(W374/H374,0)*0.00673),"")</f>
        <v/>
      </c>
      <c r="Y374" s="52"/>
      <c r="Z374" s="53"/>
      <c r="AD374" s="54"/>
      <c r="BA374" s="55" t="s">
        <v>1</v>
      </c>
    </row>
    <row r="375" spans="1:53" x14ac:dyDescent="0.2">
      <c r="A375" s="79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1"/>
      <c r="N375" s="76" t="s">
        <v>66</v>
      </c>
      <c r="O375" s="77"/>
      <c r="P375" s="77"/>
      <c r="Q375" s="77"/>
      <c r="R375" s="77"/>
      <c r="S375" s="77"/>
      <c r="T375" s="78"/>
      <c r="U375" s="56" t="s">
        <v>67</v>
      </c>
      <c r="V375" s="57">
        <f>IFERROR(V374/H374,"0")</f>
        <v>0</v>
      </c>
      <c r="W375" s="57">
        <f>IFERROR(W374/H374,"0")</f>
        <v>0</v>
      </c>
      <c r="X375" s="57">
        <f>IFERROR(IF(X374="",0,X374),"0")</f>
        <v>0</v>
      </c>
      <c r="Y375" s="58"/>
      <c r="Z375" s="58"/>
    </row>
    <row r="376" spans="1:53" x14ac:dyDescent="0.2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1"/>
      <c r="N376" s="76" t="s">
        <v>66</v>
      </c>
      <c r="O376" s="77"/>
      <c r="P376" s="77"/>
      <c r="Q376" s="77"/>
      <c r="R376" s="77"/>
      <c r="S376" s="77"/>
      <c r="T376" s="78"/>
      <c r="U376" s="56" t="s">
        <v>65</v>
      </c>
      <c r="V376" s="57">
        <f>IFERROR(SUM(V374:V374),"0")</f>
        <v>0</v>
      </c>
      <c r="W376" s="57">
        <f>IFERROR(SUM(W374:W374),"0")</f>
        <v>0</v>
      </c>
      <c r="X376" s="56"/>
      <c r="Y376" s="58"/>
      <c r="Z376" s="58"/>
    </row>
    <row r="377" spans="1:53" ht="16.5" customHeight="1" x14ac:dyDescent="0.25">
      <c r="A377" s="87" t="s">
        <v>527</v>
      </c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66"/>
      <c r="Z377" s="66"/>
    </row>
    <row r="378" spans="1:53" ht="14.25" customHeight="1" x14ac:dyDescent="0.25">
      <c r="A378" s="82" t="s">
        <v>95</v>
      </c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67"/>
      <c r="Z378" s="67"/>
    </row>
    <row r="379" spans="1:53" ht="27" customHeight="1" x14ac:dyDescent="0.25">
      <c r="A379" s="42" t="s">
        <v>528</v>
      </c>
      <c r="B379" s="42" t="s">
        <v>529</v>
      </c>
      <c r="C379" s="43">
        <v>4301020196</v>
      </c>
      <c r="D379" s="75">
        <v>4607091389388</v>
      </c>
      <c r="E379" s="73"/>
      <c r="F379" s="44">
        <v>1.3</v>
      </c>
      <c r="G379" s="45">
        <v>4</v>
      </c>
      <c r="H379" s="44">
        <v>5.2</v>
      </c>
      <c r="I379" s="44">
        <v>5.6079999999999997</v>
      </c>
      <c r="J379" s="45">
        <v>104</v>
      </c>
      <c r="K379" s="45" t="s">
        <v>98</v>
      </c>
      <c r="L379" s="46" t="s">
        <v>128</v>
      </c>
      <c r="M379" s="45">
        <v>35</v>
      </c>
      <c r="N379" s="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72"/>
      <c r="P379" s="72"/>
      <c r="Q379" s="72"/>
      <c r="R379" s="73"/>
      <c r="S379" s="47"/>
      <c r="T379" s="47"/>
      <c r="U379" s="48" t="s">
        <v>65</v>
      </c>
      <c r="V379" s="49">
        <v>0</v>
      </c>
      <c r="W379" s="50">
        <f>IFERROR(IF(V379="",0,CEILING((V379/$H379),1)*$H379),"")</f>
        <v>0</v>
      </c>
      <c r="X379" s="51" t="str">
        <f>IFERROR(IF(W379=0,"",ROUNDUP(W379/H379,0)*0.01196),"")</f>
        <v/>
      </c>
      <c r="Y379" s="52"/>
      <c r="Z379" s="53"/>
      <c r="AD379" s="54"/>
      <c r="BA379" s="55" t="s">
        <v>1</v>
      </c>
    </row>
    <row r="380" spans="1:53" ht="27" customHeight="1" x14ac:dyDescent="0.25">
      <c r="A380" s="42" t="s">
        <v>530</v>
      </c>
      <c r="B380" s="42" t="s">
        <v>531</v>
      </c>
      <c r="C380" s="43">
        <v>4301020185</v>
      </c>
      <c r="D380" s="75">
        <v>4607091389364</v>
      </c>
      <c r="E380" s="73"/>
      <c r="F380" s="44">
        <v>0.42</v>
      </c>
      <c r="G380" s="45">
        <v>6</v>
      </c>
      <c r="H380" s="44">
        <v>2.52</v>
      </c>
      <c r="I380" s="44">
        <v>2.75</v>
      </c>
      <c r="J380" s="45">
        <v>156</v>
      </c>
      <c r="K380" s="45" t="s">
        <v>63</v>
      </c>
      <c r="L380" s="46" t="s">
        <v>128</v>
      </c>
      <c r="M380" s="45">
        <v>35</v>
      </c>
      <c r="N380" s="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72"/>
      <c r="P380" s="72"/>
      <c r="Q380" s="72"/>
      <c r="R380" s="73"/>
      <c r="S380" s="47"/>
      <c r="T380" s="47"/>
      <c r="U380" s="48" t="s">
        <v>65</v>
      </c>
      <c r="V380" s="49">
        <v>0</v>
      </c>
      <c r="W380" s="50">
        <f>IFERROR(IF(V380="",0,CEILING((V380/$H380),1)*$H380),"")</f>
        <v>0</v>
      </c>
      <c r="X380" s="51" t="str">
        <f>IFERROR(IF(W380=0,"",ROUNDUP(W380/H380,0)*0.00753),"")</f>
        <v/>
      </c>
      <c r="Y380" s="52"/>
      <c r="Z380" s="53"/>
      <c r="AD380" s="54"/>
      <c r="BA380" s="55" t="s">
        <v>1</v>
      </c>
    </row>
    <row r="381" spans="1:53" x14ac:dyDescent="0.2">
      <c r="A381" s="79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1"/>
      <c r="N381" s="76" t="s">
        <v>66</v>
      </c>
      <c r="O381" s="77"/>
      <c r="P381" s="77"/>
      <c r="Q381" s="77"/>
      <c r="R381" s="77"/>
      <c r="S381" s="77"/>
      <c r="T381" s="78"/>
      <c r="U381" s="56" t="s">
        <v>67</v>
      </c>
      <c r="V381" s="57">
        <f>IFERROR(V379/H379,"0")+IFERROR(V380/H380,"0")</f>
        <v>0</v>
      </c>
      <c r="W381" s="57">
        <f>IFERROR(W379/H379,"0")+IFERROR(W380/H380,"0")</f>
        <v>0</v>
      </c>
      <c r="X381" s="57">
        <f>IFERROR(IF(X379="",0,X379),"0")+IFERROR(IF(X380="",0,X380),"0")</f>
        <v>0</v>
      </c>
      <c r="Y381" s="58"/>
      <c r="Z381" s="58"/>
    </row>
    <row r="382" spans="1:53" x14ac:dyDescent="0.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1"/>
      <c r="N382" s="76" t="s">
        <v>66</v>
      </c>
      <c r="O382" s="77"/>
      <c r="P382" s="77"/>
      <c r="Q382" s="77"/>
      <c r="R382" s="77"/>
      <c r="S382" s="77"/>
      <c r="T382" s="78"/>
      <c r="U382" s="56" t="s">
        <v>65</v>
      </c>
      <c r="V382" s="57">
        <f>IFERROR(SUM(V379:V380),"0")</f>
        <v>0</v>
      </c>
      <c r="W382" s="57">
        <f>IFERROR(SUM(W379:W380),"0")</f>
        <v>0</v>
      </c>
      <c r="X382" s="56"/>
      <c r="Y382" s="58"/>
      <c r="Z382" s="58"/>
    </row>
    <row r="383" spans="1:53" ht="14.25" customHeight="1" x14ac:dyDescent="0.25">
      <c r="A383" s="82" t="s">
        <v>60</v>
      </c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67"/>
      <c r="Z383" s="67"/>
    </row>
    <row r="384" spans="1:53" ht="27" customHeight="1" x14ac:dyDescent="0.25">
      <c r="A384" s="42" t="s">
        <v>532</v>
      </c>
      <c r="B384" s="42" t="s">
        <v>533</v>
      </c>
      <c r="C384" s="43">
        <v>4301031212</v>
      </c>
      <c r="D384" s="75">
        <v>4607091389739</v>
      </c>
      <c r="E384" s="73"/>
      <c r="F384" s="44">
        <v>0.7</v>
      </c>
      <c r="G384" s="45">
        <v>6</v>
      </c>
      <c r="H384" s="44">
        <v>4.2</v>
      </c>
      <c r="I384" s="44">
        <v>4.43</v>
      </c>
      <c r="J384" s="45">
        <v>156</v>
      </c>
      <c r="K384" s="45" t="s">
        <v>63</v>
      </c>
      <c r="L384" s="46" t="s">
        <v>99</v>
      </c>
      <c r="M384" s="45">
        <v>45</v>
      </c>
      <c r="N384" s="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72"/>
      <c r="P384" s="72"/>
      <c r="Q384" s="72"/>
      <c r="R384" s="73"/>
      <c r="S384" s="47"/>
      <c r="T384" s="47"/>
      <c r="U384" s="48" t="s">
        <v>65</v>
      </c>
      <c r="V384" s="49">
        <v>0</v>
      </c>
      <c r="W384" s="50">
        <f t="shared" ref="W384:W390" si="17">IFERROR(IF(V384="",0,CEILING((V384/$H384),1)*$H384),"")</f>
        <v>0</v>
      </c>
      <c r="X384" s="51" t="str">
        <f>IFERROR(IF(W384=0,"",ROUNDUP(W384/H384,0)*0.00753),"")</f>
        <v/>
      </c>
      <c r="Y384" s="52"/>
      <c r="Z384" s="53"/>
      <c r="AD384" s="54"/>
      <c r="BA384" s="55" t="s">
        <v>1</v>
      </c>
    </row>
    <row r="385" spans="1:53" ht="27" customHeight="1" x14ac:dyDescent="0.25">
      <c r="A385" s="42" t="s">
        <v>534</v>
      </c>
      <c r="B385" s="42" t="s">
        <v>535</v>
      </c>
      <c r="C385" s="43">
        <v>4301031247</v>
      </c>
      <c r="D385" s="75">
        <v>4680115883048</v>
      </c>
      <c r="E385" s="73"/>
      <c r="F385" s="44">
        <v>1</v>
      </c>
      <c r="G385" s="45">
        <v>4</v>
      </c>
      <c r="H385" s="44">
        <v>4</v>
      </c>
      <c r="I385" s="44">
        <v>4.21</v>
      </c>
      <c r="J385" s="45">
        <v>120</v>
      </c>
      <c r="K385" s="45" t="s">
        <v>63</v>
      </c>
      <c r="L385" s="46" t="s">
        <v>64</v>
      </c>
      <c r="M385" s="45">
        <v>40</v>
      </c>
      <c r="N385" s="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72"/>
      <c r="P385" s="72"/>
      <c r="Q385" s="72"/>
      <c r="R385" s="73"/>
      <c r="S385" s="47"/>
      <c r="T385" s="47"/>
      <c r="U385" s="48" t="s">
        <v>65</v>
      </c>
      <c r="V385" s="49">
        <v>0</v>
      </c>
      <c r="W385" s="50">
        <f t="shared" si="17"/>
        <v>0</v>
      </c>
      <c r="X385" s="51" t="str">
        <f>IFERROR(IF(W385=0,"",ROUNDUP(W385/H385,0)*0.00937),"")</f>
        <v/>
      </c>
      <c r="Y385" s="52"/>
      <c r="Z385" s="53"/>
      <c r="AD385" s="54"/>
      <c r="BA385" s="55" t="s">
        <v>1</v>
      </c>
    </row>
    <row r="386" spans="1:53" ht="27" customHeight="1" x14ac:dyDescent="0.25">
      <c r="A386" s="42" t="s">
        <v>536</v>
      </c>
      <c r="B386" s="42" t="s">
        <v>537</v>
      </c>
      <c r="C386" s="43">
        <v>4301031176</v>
      </c>
      <c r="D386" s="75">
        <v>4607091389425</v>
      </c>
      <c r="E386" s="73"/>
      <c r="F386" s="44">
        <v>0.35</v>
      </c>
      <c r="G386" s="45">
        <v>6</v>
      </c>
      <c r="H386" s="44">
        <v>2.1</v>
      </c>
      <c r="I386" s="44">
        <v>2.23</v>
      </c>
      <c r="J386" s="45">
        <v>234</v>
      </c>
      <c r="K386" s="45" t="s">
        <v>163</v>
      </c>
      <c r="L386" s="46" t="s">
        <v>64</v>
      </c>
      <c r="M386" s="45">
        <v>45</v>
      </c>
      <c r="N386" s="7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72"/>
      <c r="P386" s="72"/>
      <c r="Q386" s="72"/>
      <c r="R386" s="73"/>
      <c r="S386" s="47"/>
      <c r="T386" s="47"/>
      <c r="U386" s="48" t="s">
        <v>65</v>
      </c>
      <c r="V386" s="49">
        <v>2.52</v>
      </c>
      <c r="W386" s="50">
        <f t="shared" si="17"/>
        <v>4.2</v>
      </c>
      <c r="X386" s="51">
        <f>IFERROR(IF(W386=0,"",ROUNDUP(W386/H386,0)*0.00502),"")</f>
        <v>1.004E-2</v>
      </c>
      <c r="Y386" s="52"/>
      <c r="Z386" s="53"/>
      <c r="AD386" s="54"/>
      <c r="BA386" s="55" t="s">
        <v>1</v>
      </c>
    </row>
    <row r="387" spans="1:53" ht="27" customHeight="1" x14ac:dyDescent="0.25">
      <c r="A387" s="42" t="s">
        <v>538</v>
      </c>
      <c r="B387" s="42" t="s">
        <v>539</v>
      </c>
      <c r="C387" s="43">
        <v>4301031215</v>
      </c>
      <c r="D387" s="75">
        <v>4680115882911</v>
      </c>
      <c r="E387" s="73"/>
      <c r="F387" s="44">
        <v>0.4</v>
      </c>
      <c r="G387" s="45">
        <v>6</v>
      </c>
      <c r="H387" s="44">
        <v>2.4</v>
      </c>
      <c r="I387" s="44">
        <v>2.5299999999999998</v>
      </c>
      <c r="J387" s="45">
        <v>234</v>
      </c>
      <c r="K387" s="45" t="s">
        <v>163</v>
      </c>
      <c r="L387" s="46" t="s">
        <v>64</v>
      </c>
      <c r="M387" s="45">
        <v>40</v>
      </c>
      <c r="N387" s="74" t="s">
        <v>540</v>
      </c>
      <c r="O387" s="72"/>
      <c r="P387" s="72"/>
      <c r="Q387" s="72"/>
      <c r="R387" s="73"/>
      <c r="S387" s="47"/>
      <c r="T387" s="47"/>
      <c r="U387" s="48" t="s">
        <v>65</v>
      </c>
      <c r="V387" s="49">
        <v>0</v>
      </c>
      <c r="W387" s="50">
        <f t="shared" si="17"/>
        <v>0</v>
      </c>
      <c r="X387" s="51" t="str">
        <f>IFERROR(IF(W387=0,"",ROUNDUP(W387/H387,0)*0.00502),"")</f>
        <v/>
      </c>
      <c r="Y387" s="52"/>
      <c r="Z387" s="53"/>
      <c r="AD387" s="54"/>
      <c r="BA387" s="55" t="s">
        <v>1</v>
      </c>
    </row>
    <row r="388" spans="1:53" ht="27" customHeight="1" x14ac:dyDescent="0.25">
      <c r="A388" s="42" t="s">
        <v>541</v>
      </c>
      <c r="B388" s="42" t="s">
        <v>542</v>
      </c>
      <c r="C388" s="43">
        <v>4301031167</v>
      </c>
      <c r="D388" s="75">
        <v>4680115880771</v>
      </c>
      <c r="E388" s="73"/>
      <c r="F388" s="44">
        <v>0.28000000000000003</v>
      </c>
      <c r="G388" s="45">
        <v>6</v>
      </c>
      <c r="H388" s="44">
        <v>1.68</v>
      </c>
      <c r="I388" s="44">
        <v>1.81</v>
      </c>
      <c r="J388" s="45">
        <v>234</v>
      </c>
      <c r="K388" s="45" t="s">
        <v>163</v>
      </c>
      <c r="L388" s="46" t="s">
        <v>64</v>
      </c>
      <c r="M388" s="45">
        <v>45</v>
      </c>
      <c r="N388" s="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72"/>
      <c r="P388" s="72"/>
      <c r="Q388" s="72"/>
      <c r="R388" s="73"/>
      <c r="S388" s="47"/>
      <c r="T388" s="47"/>
      <c r="U388" s="48" t="s">
        <v>65</v>
      </c>
      <c r="V388" s="49">
        <v>0</v>
      </c>
      <c r="W388" s="50">
        <f t="shared" si="17"/>
        <v>0</v>
      </c>
      <c r="X388" s="51" t="str">
        <f>IFERROR(IF(W388=0,"",ROUNDUP(W388/H388,0)*0.00502),"")</f>
        <v/>
      </c>
      <c r="Y388" s="52"/>
      <c r="Z388" s="53"/>
      <c r="AD388" s="54"/>
      <c r="BA388" s="55" t="s">
        <v>1</v>
      </c>
    </row>
    <row r="389" spans="1:53" ht="27" customHeight="1" x14ac:dyDescent="0.25">
      <c r="A389" s="42" t="s">
        <v>543</v>
      </c>
      <c r="B389" s="42" t="s">
        <v>544</v>
      </c>
      <c r="C389" s="43">
        <v>4301031173</v>
      </c>
      <c r="D389" s="75">
        <v>4607091389500</v>
      </c>
      <c r="E389" s="73"/>
      <c r="F389" s="44">
        <v>0.35</v>
      </c>
      <c r="G389" s="45">
        <v>6</v>
      </c>
      <c r="H389" s="44">
        <v>2.1</v>
      </c>
      <c r="I389" s="44">
        <v>2.23</v>
      </c>
      <c r="J389" s="45">
        <v>234</v>
      </c>
      <c r="K389" s="45" t="s">
        <v>163</v>
      </c>
      <c r="L389" s="46" t="s">
        <v>64</v>
      </c>
      <c r="M389" s="45">
        <v>45</v>
      </c>
      <c r="N389" s="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72"/>
      <c r="P389" s="72"/>
      <c r="Q389" s="72"/>
      <c r="R389" s="73"/>
      <c r="S389" s="47"/>
      <c r="T389" s="47"/>
      <c r="U389" s="48" t="s">
        <v>65</v>
      </c>
      <c r="V389" s="49">
        <v>1.68</v>
      </c>
      <c r="W389" s="50">
        <f t="shared" si="17"/>
        <v>2.1</v>
      </c>
      <c r="X389" s="51">
        <f>IFERROR(IF(W389=0,"",ROUNDUP(W389/H389,0)*0.00502),"")</f>
        <v>5.0200000000000002E-3</v>
      </c>
      <c r="Y389" s="52"/>
      <c r="Z389" s="53"/>
      <c r="AD389" s="54"/>
      <c r="BA389" s="55" t="s">
        <v>1</v>
      </c>
    </row>
    <row r="390" spans="1:53" ht="27" customHeight="1" x14ac:dyDescent="0.25">
      <c r="A390" s="42" t="s">
        <v>545</v>
      </c>
      <c r="B390" s="42" t="s">
        <v>546</v>
      </c>
      <c r="C390" s="43">
        <v>4301031103</v>
      </c>
      <c r="D390" s="75">
        <v>4680115881983</v>
      </c>
      <c r="E390" s="73"/>
      <c r="F390" s="44">
        <v>0.28000000000000003</v>
      </c>
      <c r="G390" s="45">
        <v>4</v>
      </c>
      <c r="H390" s="44">
        <v>1.1200000000000001</v>
      </c>
      <c r="I390" s="44">
        <v>1.252</v>
      </c>
      <c r="J390" s="45">
        <v>234</v>
      </c>
      <c r="K390" s="45" t="s">
        <v>163</v>
      </c>
      <c r="L390" s="46" t="s">
        <v>64</v>
      </c>
      <c r="M390" s="45">
        <v>40</v>
      </c>
      <c r="N390" s="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72"/>
      <c r="P390" s="72"/>
      <c r="Q390" s="72"/>
      <c r="R390" s="73"/>
      <c r="S390" s="47"/>
      <c r="T390" s="47"/>
      <c r="U390" s="48" t="s">
        <v>65</v>
      </c>
      <c r="V390" s="49">
        <v>0</v>
      </c>
      <c r="W390" s="50">
        <f t="shared" si="17"/>
        <v>0</v>
      </c>
      <c r="X390" s="51" t="str">
        <f>IFERROR(IF(W390=0,"",ROUNDUP(W390/H390,0)*0.00502),"")</f>
        <v/>
      </c>
      <c r="Y390" s="52"/>
      <c r="Z390" s="53"/>
      <c r="AD390" s="54"/>
      <c r="BA390" s="55" t="s">
        <v>1</v>
      </c>
    </row>
    <row r="391" spans="1:53" x14ac:dyDescent="0.2">
      <c r="A391" s="79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1"/>
      <c r="N391" s="76" t="s">
        <v>66</v>
      </c>
      <c r="O391" s="77"/>
      <c r="P391" s="77"/>
      <c r="Q391" s="77"/>
      <c r="R391" s="77"/>
      <c r="S391" s="77"/>
      <c r="T391" s="78"/>
      <c r="U391" s="56" t="s">
        <v>67</v>
      </c>
      <c r="V391" s="57">
        <f>IFERROR(V384/H384,"0")+IFERROR(V385/H385,"0")+IFERROR(V386/H386,"0")+IFERROR(V387/H387,"0")+IFERROR(V388/H388,"0")+IFERROR(V389/H389,"0")+IFERROR(V390/H390,"0")</f>
        <v>2</v>
      </c>
      <c r="W391" s="57">
        <f>IFERROR(W384/H384,"0")+IFERROR(W385/H385,"0")+IFERROR(W386/H386,"0")+IFERROR(W387/H387,"0")+IFERROR(W388/H388,"0")+IFERROR(W389/H389,"0")+IFERROR(W390/H390,"0")</f>
        <v>3</v>
      </c>
      <c r="X391" s="57">
        <f>IFERROR(IF(X384="",0,X384),"0")+IFERROR(IF(X385="",0,X385),"0")+IFERROR(IF(X386="",0,X386),"0")+IFERROR(IF(X387="",0,X387),"0")+IFERROR(IF(X388="",0,X388),"0")+IFERROR(IF(X389="",0,X389),"0")+IFERROR(IF(X390="",0,X390),"0")</f>
        <v>1.506E-2</v>
      </c>
      <c r="Y391" s="58"/>
      <c r="Z391" s="58"/>
    </row>
    <row r="392" spans="1:53" x14ac:dyDescent="0.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1"/>
      <c r="N392" s="76" t="s">
        <v>66</v>
      </c>
      <c r="O392" s="77"/>
      <c r="P392" s="77"/>
      <c r="Q392" s="77"/>
      <c r="R392" s="77"/>
      <c r="S392" s="77"/>
      <c r="T392" s="78"/>
      <c r="U392" s="56" t="s">
        <v>65</v>
      </c>
      <c r="V392" s="57">
        <f>IFERROR(SUM(V384:V390),"0")</f>
        <v>4.2</v>
      </c>
      <c r="W392" s="57">
        <f>IFERROR(SUM(W384:W390),"0")</f>
        <v>6.3000000000000007</v>
      </c>
      <c r="X392" s="56"/>
      <c r="Y392" s="58"/>
      <c r="Z392" s="58"/>
    </row>
    <row r="393" spans="1:53" ht="14.25" customHeight="1" x14ac:dyDescent="0.25">
      <c r="A393" s="82" t="s">
        <v>90</v>
      </c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67"/>
      <c r="Z393" s="67"/>
    </row>
    <row r="394" spans="1:53" ht="27" customHeight="1" x14ac:dyDescent="0.25">
      <c r="A394" s="42" t="s">
        <v>547</v>
      </c>
      <c r="B394" s="42" t="s">
        <v>548</v>
      </c>
      <c r="C394" s="43">
        <v>4301170008</v>
      </c>
      <c r="D394" s="75">
        <v>4680115882980</v>
      </c>
      <c r="E394" s="73"/>
      <c r="F394" s="44">
        <v>0.13</v>
      </c>
      <c r="G394" s="45">
        <v>10</v>
      </c>
      <c r="H394" s="44">
        <v>1.3</v>
      </c>
      <c r="I394" s="44">
        <v>1.46</v>
      </c>
      <c r="J394" s="45">
        <v>200</v>
      </c>
      <c r="K394" s="45" t="s">
        <v>524</v>
      </c>
      <c r="L394" s="46" t="s">
        <v>525</v>
      </c>
      <c r="M394" s="45">
        <v>150</v>
      </c>
      <c r="N394" s="7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72"/>
      <c r="P394" s="72"/>
      <c r="Q394" s="72"/>
      <c r="R394" s="73"/>
      <c r="S394" s="47"/>
      <c r="T394" s="47"/>
      <c r="U394" s="48" t="s">
        <v>65</v>
      </c>
      <c r="V394" s="49">
        <v>0</v>
      </c>
      <c r="W394" s="50">
        <f>IFERROR(IF(V394="",0,CEILING((V394/$H394),1)*$H394),"")</f>
        <v>0</v>
      </c>
      <c r="X394" s="51" t="str">
        <f>IFERROR(IF(W394=0,"",ROUNDUP(W394/H394,0)*0.00673),"")</f>
        <v/>
      </c>
      <c r="Y394" s="52"/>
      <c r="Z394" s="53"/>
      <c r="AD394" s="54"/>
      <c r="BA394" s="55" t="s">
        <v>1</v>
      </c>
    </row>
    <row r="395" spans="1:53" x14ac:dyDescent="0.2">
      <c r="A395" s="79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1"/>
      <c r="N395" s="76" t="s">
        <v>66</v>
      </c>
      <c r="O395" s="77"/>
      <c r="P395" s="77"/>
      <c r="Q395" s="77"/>
      <c r="R395" s="77"/>
      <c r="S395" s="77"/>
      <c r="T395" s="78"/>
      <c r="U395" s="56" t="s">
        <v>67</v>
      </c>
      <c r="V395" s="57">
        <f>IFERROR(V394/H394,"0")</f>
        <v>0</v>
      </c>
      <c r="W395" s="57">
        <f>IFERROR(W394/H394,"0")</f>
        <v>0</v>
      </c>
      <c r="X395" s="57">
        <f>IFERROR(IF(X394="",0,X394),"0")</f>
        <v>0</v>
      </c>
      <c r="Y395" s="58"/>
      <c r="Z395" s="58"/>
    </row>
    <row r="396" spans="1:53" x14ac:dyDescent="0.2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1"/>
      <c r="N396" s="76" t="s">
        <v>66</v>
      </c>
      <c r="O396" s="77"/>
      <c r="P396" s="77"/>
      <c r="Q396" s="77"/>
      <c r="R396" s="77"/>
      <c r="S396" s="77"/>
      <c r="T396" s="78"/>
      <c r="U396" s="56" t="s">
        <v>65</v>
      </c>
      <c r="V396" s="57">
        <f>IFERROR(SUM(V394:V394),"0")</f>
        <v>0</v>
      </c>
      <c r="W396" s="57">
        <f>IFERROR(SUM(W394:W394),"0")</f>
        <v>0</v>
      </c>
      <c r="X396" s="56"/>
      <c r="Y396" s="58"/>
      <c r="Z396" s="58"/>
    </row>
    <row r="397" spans="1:53" ht="27.75" customHeight="1" x14ac:dyDescent="0.2">
      <c r="A397" s="101" t="s">
        <v>549</v>
      </c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41"/>
      <c r="Z397" s="41"/>
    </row>
    <row r="398" spans="1:53" ht="16.5" customHeight="1" x14ac:dyDescent="0.25">
      <c r="A398" s="87" t="s">
        <v>549</v>
      </c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66"/>
      <c r="Z398" s="66"/>
    </row>
    <row r="399" spans="1:53" ht="14.25" customHeight="1" x14ac:dyDescent="0.25">
      <c r="A399" s="82" t="s">
        <v>103</v>
      </c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67"/>
      <c r="Z399" s="67"/>
    </row>
    <row r="400" spans="1:53" ht="27" customHeight="1" x14ac:dyDescent="0.25">
      <c r="A400" s="42" t="s">
        <v>550</v>
      </c>
      <c r="B400" s="42" t="s">
        <v>551</v>
      </c>
      <c r="C400" s="43">
        <v>4301011371</v>
      </c>
      <c r="D400" s="75">
        <v>4607091389067</v>
      </c>
      <c r="E400" s="73"/>
      <c r="F400" s="44">
        <v>0.88</v>
      </c>
      <c r="G400" s="45">
        <v>6</v>
      </c>
      <c r="H400" s="44">
        <v>5.28</v>
      </c>
      <c r="I400" s="44">
        <v>5.64</v>
      </c>
      <c r="J400" s="45">
        <v>104</v>
      </c>
      <c r="K400" s="45" t="s">
        <v>98</v>
      </c>
      <c r="L400" s="46" t="s">
        <v>128</v>
      </c>
      <c r="M400" s="45">
        <v>55</v>
      </c>
      <c r="N400" s="7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72"/>
      <c r="P400" s="72"/>
      <c r="Q400" s="72"/>
      <c r="R400" s="73"/>
      <c r="S400" s="47"/>
      <c r="T400" s="47"/>
      <c r="U400" s="48" t="s">
        <v>65</v>
      </c>
      <c r="V400" s="49">
        <v>20.399999999999999</v>
      </c>
      <c r="W400" s="50">
        <f t="shared" ref="W400:W408" si="18">IFERROR(IF(V400="",0,CEILING((V400/$H400),1)*$H400),"")</f>
        <v>21.12</v>
      </c>
      <c r="X400" s="51">
        <f>IFERROR(IF(W400=0,"",ROUNDUP(W400/H400,0)*0.01196),"")</f>
        <v>4.7840000000000001E-2</v>
      </c>
      <c r="Y400" s="52"/>
      <c r="Z400" s="53"/>
      <c r="AD400" s="54"/>
      <c r="BA400" s="55" t="s">
        <v>1</v>
      </c>
    </row>
    <row r="401" spans="1:53" ht="27" customHeight="1" x14ac:dyDescent="0.25">
      <c r="A401" s="42" t="s">
        <v>552</v>
      </c>
      <c r="B401" s="42" t="s">
        <v>553</v>
      </c>
      <c r="C401" s="43">
        <v>4301011363</v>
      </c>
      <c r="D401" s="75">
        <v>4607091383522</v>
      </c>
      <c r="E401" s="73"/>
      <c r="F401" s="44">
        <v>0.88</v>
      </c>
      <c r="G401" s="45">
        <v>6</v>
      </c>
      <c r="H401" s="44">
        <v>5.28</v>
      </c>
      <c r="I401" s="44">
        <v>5.64</v>
      </c>
      <c r="J401" s="45">
        <v>104</v>
      </c>
      <c r="K401" s="45" t="s">
        <v>98</v>
      </c>
      <c r="L401" s="46" t="s">
        <v>99</v>
      </c>
      <c r="M401" s="45">
        <v>55</v>
      </c>
      <c r="N401" s="7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72"/>
      <c r="P401" s="72"/>
      <c r="Q401" s="72"/>
      <c r="R401" s="73"/>
      <c r="S401" s="47"/>
      <c r="T401" s="47"/>
      <c r="U401" s="48" t="s">
        <v>65</v>
      </c>
      <c r="V401" s="49">
        <v>5.0999999999999996</v>
      </c>
      <c r="W401" s="50">
        <f t="shared" si="18"/>
        <v>5.28</v>
      </c>
      <c r="X401" s="51">
        <f>IFERROR(IF(W401=0,"",ROUNDUP(W401/H401,0)*0.01196),"")</f>
        <v>1.196E-2</v>
      </c>
      <c r="Y401" s="52"/>
      <c r="Z401" s="53"/>
      <c r="AD401" s="54"/>
      <c r="BA401" s="55" t="s">
        <v>1</v>
      </c>
    </row>
    <row r="402" spans="1:53" ht="27" customHeight="1" x14ac:dyDescent="0.25">
      <c r="A402" s="42" t="s">
        <v>554</v>
      </c>
      <c r="B402" s="42" t="s">
        <v>555</v>
      </c>
      <c r="C402" s="43">
        <v>4301011431</v>
      </c>
      <c r="D402" s="75">
        <v>4607091384437</v>
      </c>
      <c r="E402" s="73"/>
      <c r="F402" s="44">
        <v>0.88</v>
      </c>
      <c r="G402" s="45">
        <v>6</v>
      </c>
      <c r="H402" s="44">
        <v>5.28</v>
      </c>
      <c r="I402" s="44">
        <v>5.64</v>
      </c>
      <c r="J402" s="45">
        <v>104</v>
      </c>
      <c r="K402" s="45" t="s">
        <v>98</v>
      </c>
      <c r="L402" s="46" t="s">
        <v>99</v>
      </c>
      <c r="M402" s="45">
        <v>50</v>
      </c>
      <c r="N402" s="7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72"/>
      <c r="P402" s="72"/>
      <c r="Q402" s="72"/>
      <c r="R402" s="73"/>
      <c r="S402" s="47"/>
      <c r="T402" s="47"/>
      <c r="U402" s="48" t="s">
        <v>65</v>
      </c>
      <c r="V402" s="49">
        <v>5.0999999999999996</v>
      </c>
      <c r="W402" s="50">
        <f t="shared" si="18"/>
        <v>5.28</v>
      </c>
      <c r="X402" s="51">
        <f>IFERROR(IF(W402=0,"",ROUNDUP(W402/H402,0)*0.01196),"")</f>
        <v>1.196E-2</v>
      </c>
      <c r="Y402" s="52"/>
      <c r="Z402" s="53"/>
      <c r="AD402" s="54"/>
      <c r="BA402" s="55" t="s">
        <v>1</v>
      </c>
    </row>
    <row r="403" spans="1:53" ht="27" customHeight="1" x14ac:dyDescent="0.25">
      <c r="A403" s="42" t="s">
        <v>556</v>
      </c>
      <c r="B403" s="42" t="s">
        <v>557</v>
      </c>
      <c r="C403" s="43">
        <v>4301011365</v>
      </c>
      <c r="D403" s="75">
        <v>4607091389104</v>
      </c>
      <c r="E403" s="73"/>
      <c r="F403" s="44">
        <v>0.88</v>
      </c>
      <c r="G403" s="45">
        <v>6</v>
      </c>
      <c r="H403" s="44">
        <v>5.28</v>
      </c>
      <c r="I403" s="44">
        <v>5.64</v>
      </c>
      <c r="J403" s="45">
        <v>104</v>
      </c>
      <c r="K403" s="45" t="s">
        <v>98</v>
      </c>
      <c r="L403" s="46" t="s">
        <v>99</v>
      </c>
      <c r="M403" s="45">
        <v>55</v>
      </c>
      <c r="N403" s="7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72"/>
      <c r="P403" s="72"/>
      <c r="Q403" s="72"/>
      <c r="R403" s="73"/>
      <c r="S403" s="47"/>
      <c r="T403" s="47"/>
      <c r="U403" s="48" t="s">
        <v>65</v>
      </c>
      <c r="V403" s="49">
        <v>0</v>
      </c>
      <c r="W403" s="50">
        <f t="shared" si="18"/>
        <v>0</v>
      </c>
      <c r="X403" s="51" t="str">
        <f>IFERROR(IF(W403=0,"",ROUNDUP(W403/H403,0)*0.01196),"")</f>
        <v/>
      </c>
      <c r="Y403" s="52"/>
      <c r="Z403" s="53"/>
      <c r="AD403" s="54"/>
      <c r="BA403" s="55" t="s">
        <v>1</v>
      </c>
    </row>
    <row r="404" spans="1:53" ht="27" customHeight="1" x14ac:dyDescent="0.25">
      <c r="A404" s="42" t="s">
        <v>558</v>
      </c>
      <c r="B404" s="42" t="s">
        <v>559</v>
      </c>
      <c r="C404" s="43">
        <v>4301011367</v>
      </c>
      <c r="D404" s="75">
        <v>4680115880603</v>
      </c>
      <c r="E404" s="73"/>
      <c r="F404" s="44">
        <v>0.6</v>
      </c>
      <c r="G404" s="45">
        <v>6</v>
      </c>
      <c r="H404" s="44">
        <v>3.6</v>
      </c>
      <c r="I404" s="44">
        <v>3.84</v>
      </c>
      <c r="J404" s="45">
        <v>120</v>
      </c>
      <c r="K404" s="45" t="s">
        <v>63</v>
      </c>
      <c r="L404" s="46" t="s">
        <v>99</v>
      </c>
      <c r="M404" s="45">
        <v>55</v>
      </c>
      <c r="N404" s="7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72"/>
      <c r="P404" s="72"/>
      <c r="Q404" s="72"/>
      <c r="R404" s="73"/>
      <c r="S404" s="47"/>
      <c r="T404" s="47"/>
      <c r="U404" s="48" t="s">
        <v>65</v>
      </c>
      <c r="V404" s="49">
        <v>0</v>
      </c>
      <c r="W404" s="50">
        <f t="shared" si="18"/>
        <v>0</v>
      </c>
      <c r="X404" s="51" t="str">
        <f>IFERROR(IF(W404=0,"",ROUNDUP(W404/H404,0)*0.00937),"")</f>
        <v/>
      </c>
      <c r="Y404" s="52"/>
      <c r="Z404" s="53"/>
      <c r="AD404" s="54"/>
      <c r="BA404" s="55" t="s">
        <v>1</v>
      </c>
    </row>
    <row r="405" spans="1:53" ht="27" customHeight="1" x14ac:dyDescent="0.25">
      <c r="A405" s="42" t="s">
        <v>560</v>
      </c>
      <c r="B405" s="42" t="s">
        <v>561</v>
      </c>
      <c r="C405" s="43">
        <v>4301011168</v>
      </c>
      <c r="D405" s="75">
        <v>4607091389999</v>
      </c>
      <c r="E405" s="73"/>
      <c r="F405" s="44">
        <v>0.6</v>
      </c>
      <c r="G405" s="45">
        <v>6</v>
      </c>
      <c r="H405" s="44">
        <v>3.6</v>
      </c>
      <c r="I405" s="44">
        <v>3.84</v>
      </c>
      <c r="J405" s="45">
        <v>120</v>
      </c>
      <c r="K405" s="45" t="s">
        <v>63</v>
      </c>
      <c r="L405" s="46" t="s">
        <v>99</v>
      </c>
      <c r="M405" s="45">
        <v>55</v>
      </c>
      <c r="N405" s="7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72"/>
      <c r="P405" s="72"/>
      <c r="Q405" s="72"/>
      <c r="R405" s="73"/>
      <c r="S405" s="47"/>
      <c r="T405" s="47"/>
      <c r="U405" s="48" t="s">
        <v>65</v>
      </c>
      <c r="V405" s="49">
        <v>0</v>
      </c>
      <c r="W405" s="50">
        <f t="shared" si="18"/>
        <v>0</v>
      </c>
      <c r="X405" s="51" t="str">
        <f>IFERROR(IF(W405=0,"",ROUNDUP(W405/H405,0)*0.00937),"")</f>
        <v/>
      </c>
      <c r="Y405" s="52"/>
      <c r="Z405" s="53"/>
      <c r="AD405" s="54"/>
      <c r="BA405" s="55" t="s">
        <v>1</v>
      </c>
    </row>
    <row r="406" spans="1:53" ht="27" customHeight="1" x14ac:dyDescent="0.25">
      <c r="A406" s="42" t="s">
        <v>562</v>
      </c>
      <c r="B406" s="42" t="s">
        <v>563</v>
      </c>
      <c r="C406" s="43">
        <v>4301011372</v>
      </c>
      <c r="D406" s="75">
        <v>4680115882782</v>
      </c>
      <c r="E406" s="73"/>
      <c r="F406" s="44">
        <v>0.6</v>
      </c>
      <c r="G406" s="45">
        <v>6</v>
      </c>
      <c r="H406" s="44">
        <v>3.6</v>
      </c>
      <c r="I406" s="44">
        <v>3.84</v>
      </c>
      <c r="J406" s="45">
        <v>120</v>
      </c>
      <c r="K406" s="45" t="s">
        <v>63</v>
      </c>
      <c r="L406" s="46" t="s">
        <v>99</v>
      </c>
      <c r="M406" s="45">
        <v>50</v>
      </c>
      <c r="N406" s="7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72"/>
      <c r="P406" s="72"/>
      <c r="Q406" s="72"/>
      <c r="R406" s="73"/>
      <c r="S406" s="47"/>
      <c r="T406" s="47"/>
      <c r="U406" s="48" t="s">
        <v>65</v>
      </c>
      <c r="V406" s="49">
        <v>0</v>
      </c>
      <c r="W406" s="50">
        <f t="shared" si="18"/>
        <v>0</v>
      </c>
      <c r="X406" s="51" t="str">
        <f>IFERROR(IF(W406=0,"",ROUNDUP(W406/H406,0)*0.00937),"")</f>
        <v/>
      </c>
      <c r="Y406" s="52"/>
      <c r="Z406" s="53"/>
      <c r="AD406" s="54"/>
      <c r="BA406" s="55" t="s">
        <v>1</v>
      </c>
    </row>
    <row r="407" spans="1:53" ht="27" customHeight="1" x14ac:dyDescent="0.25">
      <c r="A407" s="42" t="s">
        <v>564</v>
      </c>
      <c r="B407" s="42" t="s">
        <v>565</v>
      </c>
      <c r="C407" s="43">
        <v>4301011190</v>
      </c>
      <c r="D407" s="75">
        <v>4607091389098</v>
      </c>
      <c r="E407" s="73"/>
      <c r="F407" s="44">
        <v>0.4</v>
      </c>
      <c r="G407" s="45">
        <v>6</v>
      </c>
      <c r="H407" s="44">
        <v>2.4</v>
      </c>
      <c r="I407" s="44">
        <v>2.6</v>
      </c>
      <c r="J407" s="45">
        <v>156</v>
      </c>
      <c r="K407" s="45" t="s">
        <v>63</v>
      </c>
      <c r="L407" s="46" t="s">
        <v>128</v>
      </c>
      <c r="M407" s="45">
        <v>50</v>
      </c>
      <c r="N407" s="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72"/>
      <c r="P407" s="72"/>
      <c r="Q407" s="72"/>
      <c r="R407" s="73"/>
      <c r="S407" s="47"/>
      <c r="T407" s="47"/>
      <c r="U407" s="48" t="s">
        <v>65</v>
      </c>
      <c r="V407" s="49">
        <v>0</v>
      </c>
      <c r="W407" s="50">
        <f t="shared" si="18"/>
        <v>0</v>
      </c>
      <c r="X407" s="51" t="str">
        <f>IFERROR(IF(W407=0,"",ROUNDUP(W407/H407,0)*0.00753),"")</f>
        <v/>
      </c>
      <c r="Y407" s="52"/>
      <c r="Z407" s="53"/>
      <c r="AD407" s="54"/>
      <c r="BA407" s="55" t="s">
        <v>1</v>
      </c>
    </row>
    <row r="408" spans="1:53" ht="27" customHeight="1" x14ac:dyDescent="0.25">
      <c r="A408" s="42" t="s">
        <v>566</v>
      </c>
      <c r="B408" s="42" t="s">
        <v>567</v>
      </c>
      <c r="C408" s="43">
        <v>4301011366</v>
      </c>
      <c r="D408" s="75">
        <v>4607091389982</v>
      </c>
      <c r="E408" s="73"/>
      <c r="F408" s="44">
        <v>0.6</v>
      </c>
      <c r="G408" s="45">
        <v>6</v>
      </c>
      <c r="H408" s="44">
        <v>3.6</v>
      </c>
      <c r="I408" s="44">
        <v>3.84</v>
      </c>
      <c r="J408" s="45">
        <v>120</v>
      </c>
      <c r="K408" s="45" t="s">
        <v>63</v>
      </c>
      <c r="L408" s="46" t="s">
        <v>99</v>
      </c>
      <c r="M408" s="45">
        <v>55</v>
      </c>
      <c r="N408" s="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72"/>
      <c r="P408" s="72"/>
      <c r="Q408" s="72"/>
      <c r="R408" s="73"/>
      <c r="S408" s="47"/>
      <c r="T408" s="47"/>
      <c r="U408" s="48" t="s">
        <v>65</v>
      </c>
      <c r="V408" s="49">
        <v>0</v>
      </c>
      <c r="W408" s="50">
        <f t="shared" si="18"/>
        <v>0</v>
      </c>
      <c r="X408" s="51" t="str">
        <f>IFERROR(IF(W408=0,"",ROUNDUP(W408/H408,0)*0.00937),"")</f>
        <v/>
      </c>
      <c r="Y408" s="52"/>
      <c r="Z408" s="53"/>
      <c r="AD408" s="54"/>
      <c r="BA408" s="55" t="s">
        <v>1</v>
      </c>
    </row>
    <row r="409" spans="1:53" x14ac:dyDescent="0.2">
      <c r="A409" s="79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1"/>
      <c r="N409" s="76" t="s">
        <v>66</v>
      </c>
      <c r="O409" s="77"/>
      <c r="P409" s="77"/>
      <c r="Q409" s="77"/>
      <c r="R409" s="77"/>
      <c r="S409" s="77"/>
      <c r="T409" s="78"/>
      <c r="U409" s="56" t="s">
        <v>67</v>
      </c>
      <c r="V409" s="57">
        <f>IFERROR(V400/H400,"0")+IFERROR(V401/H401,"0")+IFERROR(V402/H402,"0")+IFERROR(V403/H403,"0")+IFERROR(V404/H404,"0")+IFERROR(V405/H405,"0")+IFERROR(V406/H406,"0")+IFERROR(V407/H407,"0")+IFERROR(V408/H408,"0")</f>
        <v>5.795454545454545</v>
      </c>
      <c r="W409" s="57">
        <f>IFERROR(W400/H400,"0")+IFERROR(W401/H401,"0")+IFERROR(W402/H402,"0")+IFERROR(W403/H403,"0")+IFERROR(W404/H404,"0")+IFERROR(W405/H405,"0")+IFERROR(W406/H406,"0")+IFERROR(W407/H407,"0")+IFERROR(W408/H408,"0")</f>
        <v>6</v>
      </c>
      <c r="X409" s="57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7.1760000000000004E-2</v>
      </c>
      <c r="Y409" s="58"/>
      <c r="Z409" s="58"/>
    </row>
    <row r="410" spans="1:53" x14ac:dyDescent="0.2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1"/>
      <c r="N410" s="76" t="s">
        <v>66</v>
      </c>
      <c r="O410" s="77"/>
      <c r="P410" s="77"/>
      <c r="Q410" s="77"/>
      <c r="R410" s="77"/>
      <c r="S410" s="77"/>
      <c r="T410" s="78"/>
      <c r="U410" s="56" t="s">
        <v>65</v>
      </c>
      <c r="V410" s="57">
        <f>IFERROR(SUM(V400:V408),"0")</f>
        <v>30.6</v>
      </c>
      <c r="W410" s="57">
        <f>IFERROR(SUM(W400:W408),"0")</f>
        <v>31.680000000000003</v>
      </c>
      <c r="X410" s="56"/>
      <c r="Y410" s="58"/>
      <c r="Z410" s="58"/>
    </row>
    <row r="411" spans="1:53" ht="14.25" customHeight="1" x14ac:dyDescent="0.25">
      <c r="A411" s="82" t="s">
        <v>95</v>
      </c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67"/>
      <c r="Z411" s="67"/>
    </row>
    <row r="412" spans="1:53" ht="16.5" customHeight="1" x14ac:dyDescent="0.25">
      <c r="A412" s="42" t="s">
        <v>568</v>
      </c>
      <c r="B412" s="42" t="s">
        <v>569</v>
      </c>
      <c r="C412" s="43">
        <v>4301020222</v>
      </c>
      <c r="D412" s="75">
        <v>4607091388930</v>
      </c>
      <c r="E412" s="73"/>
      <c r="F412" s="44">
        <v>0.88</v>
      </c>
      <c r="G412" s="45">
        <v>6</v>
      </c>
      <c r="H412" s="44">
        <v>5.28</v>
      </c>
      <c r="I412" s="44">
        <v>5.64</v>
      </c>
      <c r="J412" s="45">
        <v>104</v>
      </c>
      <c r="K412" s="45" t="s">
        <v>98</v>
      </c>
      <c r="L412" s="46" t="s">
        <v>99</v>
      </c>
      <c r="M412" s="45">
        <v>55</v>
      </c>
      <c r="N412" s="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72"/>
      <c r="P412" s="72"/>
      <c r="Q412" s="72"/>
      <c r="R412" s="73"/>
      <c r="S412" s="47"/>
      <c r="T412" s="47"/>
      <c r="U412" s="48" t="s">
        <v>65</v>
      </c>
      <c r="V412" s="49">
        <v>5.0999999999999996</v>
      </c>
      <c r="W412" s="50">
        <f>IFERROR(IF(V412="",0,CEILING((V412/$H412),1)*$H412),"")</f>
        <v>5.28</v>
      </c>
      <c r="X412" s="51">
        <f>IFERROR(IF(W412=0,"",ROUNDUP(W412/H412,0)*0.01196),"")</f>
        <v>1.196E-2</v>
      </c>
      <c r="Y412" s="52"/>
      <c r="Z412" s="53"/>
      <c r="AD412" s="54"/>
      <c r="BA412" s="55" t="s">
        <v>1</v>
      </c>
    </row>
    <row r="413" spans="1:53" ht="16.5" customHeight="1" x14ac:dyDescent="0.25">
      <c r="A413" s="42" t="s">
        <v>570</v>
      </c>
      <c r="B413" s="42" t="s">
        <v>571</v>
      </c>
      <c r="C413" s="43">
        <v>4301020206</v>
      </c>
      <c r="D413" s="75">
        <v>4680115880054</v>
      </c>
      <c r="E413" s="73"/>
      <c r="F413" s="44">
        <v>0.6</v>
      </c>
      <c r="G413" s="45">
        <v>6</v>
      </c>
      <c r="H413" s="44">
        <v>3.6</v>
      </c>
      <c r="I413" s="44">
        <v>3.84</v>
      </c>
      <c r="J413" s="45">
        <v>120</v>
      </c>
      <c r="K413" s="45" t="s">
        <v>63</v>
      </c>
      <c r="L413" s="46" t="s">
        <v>99</v>
      </c>
      <c r="M413" s="45">
        <v>55</v>
      </c>
      <c r="N413" s="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72"/>
      <c r="P413" s="72"/>
      <c r="Q413" s="72"/>
      <c r="R413" s="73"/>
      <c r="S413" s="47"/>
      <c r="T413" s="47"/>
      <c r="U413" s="48" t="s">
        <v>65</v>
      </c>
      <c r="V413" s="49">
        <v>0</v>
      </c>
      <c r="W413" s="50">
        <f>IFERROR(IF(V413="",0,CEILING((V413/$H413),1)*$H413),"")</f>
        <v>0</v>
      </c>
      <c r="X413" s="51" t="str">
        <f>IFERROR(IF(W413=0,"",ROUNDUP(W413/H413,0)*0.00937),"")</f>
        <v/>
      </c>
      <c r="Y413" s="52"/>
      <c r="Z413" s="53"/>
      <c r="AD413" s="54"/>
      <c r="BA413" s="55" t="s">
        <v>1</v>
      </c>
    </row>
    <row r="414" spans="1:53" x14ac:dyDescent="0.2">
      <c r="A414" s="79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1"/>
      <c r="N414" s="76" t="s">
        <v>66</v>
      </c>
      <c r="O414" s="77"/>
      <c r="P414" s="77"/>
      <c r="Q414" s="77"/>
      <c r="R414" s="77"/>
      <c r="S414" s="77"/>
      <c r="T414" s="78"/>
      <c r="U414" s="56" t="s">
        <v>67</v>
      </c>
      <c r="V414" s="57">
        <f>IFERROR(V412/H412,"0")+IFERROR(V413/H413,"0")</f>
        <v>0.96590909090909083</v>
      </c>
      <c r="W414" s="57">
        <f>IFERROR(W412/H412,"0")+IFERROR(W413/H413,"0")</f>
        <v>1</v>
      </c>
      <c r="X414" s="57">
        <f>IFERROR(IF(X412="",0,X412),"0")+IFERROR(IF(X413="",0,X413),"0")</f>
        <v>1.196E-2</v>
      </c>
      <c r="Y414" s="58"/>
      <c r="Z414" s="58"/>
    </row>
    <row r="415" spans="1:53" x14ac:dyDescent="0.2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1"/>
      <c r="N415" s="76" t="s">
        <v>66</v>
      </c>
      <c r="O415" s="77"/>
      <c r="P415" s="77"/>
      <c r="Q415" s="77"/>
      <c r="R415" s="77"/>
      <c r="S415" s="77"/>
      <c r="T415" s="78"/>
      <c r="U415" s="56" t="s">
        <v>65</v>
      </c>
      <c r="V415" s="57">
        <f>IFERROR(SUM(V412:V413),"0")</f>
        <v>5.0999999999999996</v>
      </c>
      <c r="W415" s="57">
        <f>IFERROR(SUM(W412:W413),"0")</f>
        <v>5.28</v>
      </c>
      <c r="X415" s="56"/>
      <c r="Y415" s="58"/>
      <c r="Z415" s="58"/>
    </row>
    <row r="416" spans="1:53" ht="14.25" customHeight="1" x14ac:dyDescent="0.25">
      <c r="A416" s="82" t="s">
        <v>60</v>
      </c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67"/>
      <c r="Z416" s="67"/>
    </row>
    <row r="417" spans="1:53" ht="27" customHeight="1" x14ac:dyDescent="0.25">
      <c r="A417" s="42" t="s">
        <v>572</v>
      </c>
      <c r="B417" s="42" t="s">
        <v>573</v>
      </c>
      <c r="C417" s="43">
        <v>4301031252</v>
      </c>
      <c r="D417" s="75">
        <v>4680115883116</v>
      </c>
      <c r="E417" s="73"/>
      <c r="F417" s="44">
        <v>0.88</v>
      </c>
      <c r="G417" s="45">
        <v>6</v>
      </c>
      <c r="H417" s="44">
        <v>5.28</v>
      </c>
      <c r="I417" s="44">
        <v>5.64</v>
      </c>
      <c r="J417" s="45">
        <v>104</v>
      </c>
      <c r="K417" s="45" t="s">
        <v>98</v>
      </c>
      <c r="L417" s="46" t="s">
        <v>99</v>
      </c>
      <c r="M417" s="45">
        <v>60</v>
      </c>
      <c r="N417" s="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72"/>
      <c r="P417" s="72"/>
      <c r="Q417" s="72"/>
      <c r="R417" s="73"/>
      <c r="S417" s="47"/>
      <c r="T417" s="47"/>
      <c r="U417" s="48" t="s">
        <v>65</v>
      </c>
      <c r="V417" s="49">
        <v>10.199999999999999</v>
      </c>
      <c r="W417" s="50">
        <f t="shared" ref="W417:W422" si="19">IFERROR(IF(V417="",0,CEILING((V417/$H417),1)*$H417),"")</f>
        <v>10.56</v>
      </c>
      <c r="X417" s="51">
        <f>IFERROR(IF(W417=0,"",ROUNDUP(W417/H417,0)*0.01196),"")</f>
        <v>2.392E-2</v>
      </c>
      <c r="Y417" s="52"/>
      <c r="Z417" s="53"/>
      <c r="AD417" s="54"/>
      <c r="BA417" s="55" t="s">
        <v>1</v>
      </c>
    </row>
    <row r="418" spans="1:53" ht="27" customHeight="1" x14ac:dyDescent="0.25">
      <c r="A418" s="42" t="s">
        <v>574</v>
      </c>
      <c r="B418" s="42" t="s">
        <v>575</v>
      </c>
      <c r="C418" s="43">
        <v>4301031248</v>
      </c>
      <c r="D418" s="75">
        <v>4680115883093</v>
      </c>
      <c r="E418" s="73"/>
      <c r="F418" s="44">
        <v>0.88</v>
      </c>
      <c r="G418" s="45">
        <v>6</v>
      </c>
      <c r="H418" s="44">
        <v>5.28</v>
      </c>
      <c r="I418" s="44">
        <v>5.64</v>
      </c>
      <c r="J418" s="45">
        <v>104</v>
      </c>
      <c r="K418" s="45" t="s">
        <v>98</v>
      </c>
      <c r="L418" s="46" t="s">
        <v>64</v>
      </c>
      <c r="M418" s="45">
        <v>60</v>
      </c>
      <c r="N418" s="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72"/>
      <c r="P418" s="72"/>
      <c r="Q418" s="72"/>
      <c r="R418" s="73"/>
      <c r="S418" s="47"/>
      <c r="T418" s="47"/>
      <c r="U418" s="48" t="s">
        <v>65</v>
      </c>
      <c r="V418" s="49">
        <v>10.199999999999999</v>
      </c>
      <c r="W418" s="50">
        <f t="shared" si="19"/>
        <v>10.56</v>
      </c>
      <c r="X418" s="51">
        <f>IFERROR(IF(W418=0,"",ROUNDUP(W418/H418,0)*0.01196),"")</f>
        <v>2.392E-2</v>
      </c>
      <c r="Y418" s="52"/>
      <c r="Z418" s="53"/>
      <c r="AD418" s="54"/>
      <c r="BA418" s="55" t="s">
        <v>1</v>
      </c>
    </row>
    <row r="419" spans="1:53" ht="27" customHeight="1" x14ac:dyDescent="0.25">
      <c r="A419" s="42" t="s">
        <v>576</v>
      </c>
      <c r="B419" s="42" t="s">
        <v>577</v>
      </c>
      <c r="C419" s="43">
        <v>4301031250</v>
      </c>
      <c r="D419" s="75">
        <v>4680115883109</v>
      </c>
      <c r="E419" s="73"/>
      <c r="F419" s="44">
        <v>0.88</v>
      </c>
      <c r="G419" s="45">
        <v>6</v>
      </c>
      <c r="H419" s="44">
        <v>5.28</v>
      </c>
      <c r="I419" s="44">
        <v>5.64</v>
      </c>
      <c r="J419" s="45">
        <v>104</v>
      </c>
      <c r="K419" s="45" t="s">
        <v>98</v>
      </c>
      <c r="L419" s="46" t="s">
        <v>64</v>
      </c>
      <c r="M419" s="45">
        <v>60</v>
      </c>
      <c r="N419" s="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72"/>
      <c r="P419" s="72"/>
      <c r="Q419" s="72"/>
      <c r="R419" s="73"/>
      <c r="S419" s="47"/>
      <c r="T419" s="47"/>
      <c r="U419" s="48" t="s">
        <v>65</v>
      </c>
      <c r="V419" s="49">
        <v>10.1</v>
      </c>
      <c r="W419" s="50">
        <f t="shared" si="19"/>
        <v>10.56</v>
      </c>
      <c r="X419" s="51">
        <f>IFERROR(IF(W419=0,"",ROUNDUP(W419/H419,0)*0.01196),"")</f>
        <v>2.392E-2</v>
      </c>
      <c r="Y419" s="52"/>
      <c r="Z419" s="53"/>
      <c r="AD419" s="54"/>
      <c r="BA419" s="55" t="s">
        <v>1</v>
      </c>
    </row>
    <row r="420" spans="1:53" ht="27" customHeight="1" x14ac:dyDescent="0.25">
      <c r="A420" s="42" t="s">
        <v>578</v>
      </c>
      <c r="B420" s="42" t="s">
        <v>579</v>
      </c>
      <c r="C420" s="43">
        <v>4301031249</v>
      </c>
      <c r="D420" s="75">
        <v>4680115882072</v>
      </c>
      <c r="E420" s="73"/>
      <c r="F420" s="44">
        <v>0.6</v>
      </c>
      <c r="G420" s="45">
        <v>6</v>
      </c>
      <c r="H420" s="44">
        <v>3.6</v>
      </c>
      <c r="I420" s="44">
        <v>3.81</v>
      </c>
      <c r="J420" s="45">
        <v>120</v>
      </c>
      <c r="K420" s="45" t="s">
        <v>63</v>
      </c>
      <c r="L420" s="46" t="s">
        <v>99</v>
      </c>
      <c r="M420" s="45">
        <v>60</v>
      </c>
      <c r="N420" s="74" t="s">
        <v>580</v>
      </c>
      <c r="O420" s="72"/>
      <c r="P420" s="72"/>
      <c r="Q420" s="72"/>
      <c r="R420" s="73"/>
      <c r="S420" s="47"/>
      <c r="T420" s="47"/>
      <c r="U420" s="48" t="s">
        <v>65</v>
      </c>
      <c r="V420" s="49">
        <v>0</v>
      </c>
      <c r="W420" s="50">
        <f t="shared" si="19"/>
        <v>0</v>
      </c>
      <c r="X420" s="51" t="str">
        <f>IFERROR(IF(W420=0,"",ROUNDUP(W420/H420,0)*0.00937),"")</f>
        <v/>
      </c>
      <c r="Y420" s="52"/>
      <c r="Z420" s="53"/>
      <c r="AD420" s="54"/>
      <c r="BA420" s="55" t="s">
        <v>1</v>
      </c>
    </row>
    <row r="421" spans="1:53" ht="27" customHeight="1" x14ac:dyDescent="0.25">
      <c r="A421" s="42" t="s">
        <v>581</v>
      </c>
      <c r="B421" s="42" t="s">
        <v>582</v>
      </c>
      <c r="C421" s="43">
        <v>4301031251</v>
      </c>
      <c r="D421" s="75">
        <v>4680115882102</v>
      </c>
      <c r="E421" s="73"/>
      <c r="F421" s="44">
        <v>0.6</v>
      </c>
      <c r="G421" s="45">
        <v>6</v>
      </c>
      <c r="H421" s="44">
        <v>3.6</v>
      </c>
      <c r="I421" s="44">
        <v>3.81</v>
      </c>
      <c r="J421" s="45">
        <v>120</v>
      </c>
      <c r="K421" s="45" t="s">
        <v>63</v>
      </c>
      <c r="L421" s="46" t="s">
        <v>64</v>
      </c>
      <c r="M421" s="45">
        <v>60</v>
      </c>
      <c r="N421" s="74" t="s">
        <v>583</v>
      </c>
      <c r="O421" s="72"/>
      <c r="P421" s="72"/>
      <c r="Q421" s="72"/>
      <c r="R421" s="73"/>
      <c r="S421" s="47"/>
      <c r="T421" s="47"/>
      <c r="U421" s="48" t="s">
        <v>65</v>
      </c>
      <c r="V421" s="49">
        <v>0</v>
      </c>
      <c r="W421" s="50">
        <f t="shared" si="19"/>
        <v>0</v>
      </c>
      <c r="X421" s="51" t="str">
        <f>IFERROR(IF(W421=0,"",ROUNDUP(W421/H421,0)*0.00937),"")</f>
        <v/>
      </c>
      <c r="Y421" s="52"/>
      <c r="Z421" s="53"/>
      <c r="AD421" s="54"/>
      <c r="BA421" s="55" t="s">
        <v>1</v>
      </c>
    </row>
    <row r="422" spans="1:53" ht="27" customHeight="1" x14ac:dyDescent="0.25">
      <c r="A422" s="42" t="s">
        <v>584</v>
      </c>
      <c r="B422" s="42" t="s">
        <v>585</v>
      </c>
      <c r="C422" s="43">
        <v>4301031253</v>
      </c>
      <c r="D422" s="75">
        <v>4680115882096</v>
      </c>
      <c r="E422" s="73"/>
      <c r="F422" s="44">
        <v>0.6</v>
      </c>
      <c r="G422" s="45">
        <v>6</v>
      </c>
      <c r="H422" s="44">
        <v>3.6</v>
      </c>
      <c r="I422" s="44">
        <v>3.81</v>
      </c>
      <c r="J422" s="45">
        <v>120</v>
      </c>
      <c r="K422" s="45" t="s">
        <v>63</v>
      </c>
      <c r="L422" s="46" t="s">
        <v>64</v>
      </c>
      <c r="M422" s="45">
        <v>60</v>
      </c>
      <c r="N422" s="74" t="s">
        <v>586</v>
      </c>
      <c r="O422" s="72"/>
      <c r="P422" s="72"/>
      <c r="Q422" s="72"/>
      <c r="R422" s="73"/>
      <c r="S422" s="47"/>
      <c r="T422" s="47"/>
      <c r="U422" s="48" t="s">
        <v>65</v>
      </c>
      <c r="V422" s="49">
        <v>0</v>
      </c>
      <c r="W422" s="50">
        <f t="shared" si="19"/>
        <v>0</v>
      </c>
      <c r="X422" s="51" t="str">
        <f>IFERROR(IF(W422=0,"",ROUNDUP(W422/H422,0)*0.00937),"")</f>
        <v/>
      </c>
      <c r="Y422" s="52"/>
      <c r="Z422" s="53"/>
      <c r="AD422" s="54"/>
      <c r="BA422" s="55" t="s">
        <v>1</v>
      </c>
    </row>
    <row r="423" spans="1:53" x14ac:dyDescent="0.2">
      <c r="A423" s="79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1"/>
      <c r="N423" s="76" t="s">
        <v>66</v>
      </c>
      <c r="O423" s="77"/>
      <c r="P423" s="77"/>
      <c r="Q423" s="77"/>
      <c r="R423" s="77"/>
      <c r="S423" s="77"/>
      <c r="T423" s="78"/>
      <c r="U423" s="56" t="s">
        <v>67</v>
      </c>
      <c r="V423" s="57">
        <f>IFERROR(V417/H417,"0")+IFERROR(V418/H418,"0")+IFERROR(V419/H419,"0")+IFERROR(V420/H420,"0")+IFERROR(V421/H421,"0")+IFERROR(V422/H422,"0")</f>
        <v>5.7765151515151505</v>
      </c>
      <c r="W423" s="57">
        <f>IFERROR(W417/H417,"0")+IFERROR(W418/H418,"0")+IFERROR(W419/H419,"0")+IFERROR(W420/H420,"0")+IFERROR(W421/H421,"0")+IFERROR(W422/H422,"0")</f>
        <v>6</v>
      </c>
      <c r="X423" s="57">
        <f>IFERROR(IF(X417="",0,X417),"0")+IFERROR(IF(X418="",0,X418),"0")+IFERROR(IF(X419="",0,X419),"0")+IFERROR(IF(X420="",0,X420),"0")+IFERROR(IF(X421="",0,X421),"0")+IFERROR(IF(X422="",0,X422),"0")</f>
        <v>7.1760000000000004E-2</v>
      </c>
      <c r="Y423" s="58"/>
      <c r="Z423" s="58"/>
    </row>
    <row r="424" spans="1:53" x14ac:dyDescent="0.2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1"/>
      <c r="N424" s="76" t="s">
        <v>66</v>
      </c>
      <c r="O424" s="77"/>
      <c r="P424" s="77"/>
      <c r="Q424" s="77"/>
      <c r="R424" s="77"/>
      <c r="S424" s="77"/>
      <c r="T424" s="78"/>
      <c r="U424" s="56" t="s">
        <v>65</v>
      </c>
      <c r="V424" s="57">
        <f>IFERROR(SUM(V417:V422),"0")</f>
        <v>30.5</v>
      </c>
      <c r="W424" s="57">
        <f>IFERROR(SUM(W417:W422),"0")</f>
        <v>31.68</v>
      </c>
      <c r="X424" s="56"/>
      <c r="Y424" s="58"/>
      <c r="Z424" s="58"/>
    </row>
    <row r="425" spans="1:53" ht="14.25" customHeight="1" x14ac:dyDescent="0.25">
      <c r="A425" s="82" t="s">
        <v>68</v>
      </c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67"/>
      <c r="Z425" s="67"/>
    </row>
    <row r="426" spans="1:53" ht="16.5" customHeight="1" x14ac:dyDescent="0.25">
      <c r="A426" s="42" t="s">
        <v>587</v>
      </c>
      <c r="B426" s="42" t="s">
        <v>588</v>
      </c>
      <c r="C426" s="43">
        <v>4301051230</v>
      </c>
      <c r="D426" s="75">
        <v>4607091383409</v>
      </c>
      <c r="E426" s="73"/>
      <c r="F426" s="44">
        <v>1.3</v>
      </c>
      <c r="G426" s="45">
        <v>6</v>
      </c>
      <c r="H426" s="44">
        <v>7.8</v>
      </c>
      <c r="I426" s="44">
        <v>8.3460000000000001</v>
      </c>
      <c r="J426" s="45">
        <v>56</v>
      </c>
      <c r="K426" s="45" t="s">
        <v>98</v>
      </c>
      <c r="L426" s="46" t="s">
        <v>64</v>
      </c>
      <c r="M426" s="45">
        <v>45</v>
      </c>
      <c r="N426" s="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72"/>
      <c r="P426" s="72"/>
      <c r="Q426" s="72"/>
      <c r="R426" s="73"/>
      <c r="S426" s="47"/>
      <c r="T426" s="47"/>
      <c r="U426" s="48" t="s">
        <v>65</v>
      </c>
      <c r="V426" s="49">
        <v>0</v>
      </c>
      <c r="W426" s="50">
        <f>IFERROR(IF(V426="",0,CEILING((V426/$H426),1)*$H426),"")</f>
        <v>0</v>
      </c>
      <c r="X426" s="51" t="str">
        <f>IFERROR(IF(W426=0,"",ROUNDUP(W426/H426,0)*0.02175),"")</f>
        <v/>
      </c>
      <c r="Y426" s="52"/>
      <c r="Z426" s="53"/>
      <c r="AD426" s="54"/>
      <c r="BA426" s="55" t="s">
        <v>1</v>
      </c>
    </row>
    <row r="427" spans="1:53" ht="16.5" customHeight="1" x14ac:dyDescent="0.25">
      <c r="A427" s="42" t="s">
        <v>589</v>
      </c>
      <c r="B427" s="42" t="s">
        <v>590</v>
      </c>
      <c r="C427" s="43">
        <v>4301051231</v>
      </c>
      <c r="D427" s="75">
        <v>4607091383416</v>
      </c>
      <c r="E427" s="73"/>
      <c r="F427" s="44">
        <v>1.3</v>
      </c>
      <c r="G427" s="45">
        <v>6</v>
      </c>
      <c r="H427" s="44">
        <v>7.8</v>
      </c>
      <c r="I427" s="44">
        <v>8.3460000000000001</v>
      </c>
      <c r="J427" s="45">
        <v>56</v>
      </c>
      <c r="K427" s="45" t="s">
        <v>98</v>
      </c>
      <c r="L427" s="46" t="s">
        <v>64</v>
      </c>
      <c r="M427" s="45">
        <v>45</v>
      </c>
      <c r="N427" s="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72"/>
      <c r="P427" s="72"/>
      <c r="Q427" s="72"/>
      <c r="R427" s="73"/>
      <c r="S427" s="47"/>
      <c r="T427" s="47"/>
      <c r="U427" s="48" t="s">
        <v>65</v>
      </c>
      <c r="V427" s="49">
        <v>0</v>
      </c>
      <c r="W427" s="50">
        <f>IFERROR(IF(V427="",0,CEILING((V427/$H427),1)*$H427),"")</f>
        <v>0</v>
      </c>
      <c r="X427" s="51" t="str">
        <f>IFERROR(IF(W427=0,"",ROUNDUP(W427/H427,0)*0.02175),"")</f>
        <v/>
      </c>
      <c r="Y427" s="52"/>
      <c r="Z427" s="53"/>
      <c r="AD427" s="54"/>
      <c r="BA427" s="55" t="s">
        <v>1</v>
      </c>
    </row>
    <row r="428" spans="1:53" x14ac:dyDescent="0.2">
      <c r="A428" s="79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1"/>
      <c r="N428" s="76" t="s">
        <v>66</v>
      </c>
      <c r="O428" s="77"/>
      <c r="P428" s="77"/>
      <c r="Q428" s="77"/>
      <c r="R428" s="77"/>
      <c r="S428" s="77"/>
      <c r="T428" s="78"/>
      <c r="U428" s="56" t="s">
        <v>67</v>
      </c>
      <c r="V428" s="57">
        <f>IFERROR(V426/H426,"0")+IFERROR(V427/H427,"0")</f>
        <v>0</v>
      </c>
      <c r="W428" s="57">
        <f>IFERROR(W426/H426,"0")+IFERROR(W427/H427,"0")</f>
        <v>0</v>
      </c>
      <c r="X428" s="57">
        <f>IFERROR(IF(X426="",0,X426),"0")+IFERROR(IF(X427="",0,X427),"0")</f>
        <v>0</v>
      </c>
      <c r="Y428" s="58"/>
      <c r="Z428" s="58"/>
    </row>
    <row r="429" spans="1:53" x14ac:dyDescent="0.2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1"/>
      <c r="N429" s="76" t="s">
        <v>66</v>
      </c>
      <c r="O429" s="77"/>
      <c r="P429" s="77"/>
      <c r="Q429" s="77"/>
      <c r="R429" s="77"/>
      <c r="S429" s="77"/>
      <c r="T429" s="78"/>
      <c r="U429" s="56" t="s">
        <v>65</v>
      </c>
      <c r="V429" s="57">
        <f>IFERROR(SUM(V426:V427),"0")</f>
        <v>0</v>
      </c>
      <c r="W429" s="57">
        <f>IFERROR(SUM(W426:W427),"0")</f>
        <v>0</v>
      </c>
      <c r="X429" s="56"/>
      <c r="Y429" s="58"/>
      <c r="Z429" s="58"/>
    </row>
    <row r="430" spans="1:53" ht="27.75" customHeight="1" x14ac:dyDescent="0.2">
      <c r="A430" s="101" t="s">
        <v>591</v>
      </c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41"/>
      <c r="Z430" s="41"/>
    </row>
    <row r="431" spans="1:53" ht="16.5" customHeight="1" x14ac:dyDescent="0.25">
      <c r="A431" s="87" t="s">
        <v>592</v>
      </c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66"/>
      <c r="Z431" s="66"/>
    </row>
    <row r="432" spans="1:53" ht="14.25" customHeight="1" x14ac:dyDescent="0.25">
      <c r="A432" s="82" t="s">
        <v>103</v>
      </c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67"/>
      <c r="Z432" s="67"/>
    </row>
    <row r="433" spans="1:53" ht="27" customHeight="1" x14ac:dyDescent="0.25">
      <c r="A433" s="42" t="s">
        <v>593</v>
      </c>
      <c r="B433" s="42" t="s">
        <v>594</v>
      </c>
      <c r="C433" s="43">
        <v>4301011585</v>
      </c>
      <c r="D433" s="75">
        <v>4640242180441</v>
      </c>
      <c r="E433" s="73"/>
      <c r="F433" s="44">
        <v>1.5</v>
      </c>
      <c r="G433" s="45">
        <v>8</v>
      </c>
      <c r="H433" s="44">
        <v>12</v>
      </c>
      <c r="I433" s="44">
        <v>12.48</v>
      </c>
      <c r="J433" s="45">
        <v>56</v>
      </c>
      <c r="K433" s="45" t="s">
        <v>98</v>
      </c>
      <c r="L433" s="46" t="s">
        <v>99</v>
      </c>
      <c r="M433" s="45">
        <v>50</v>
      </c>
      <c r="N433" s="74" t="s">
        <v>595</v>
      </c>
      <c r="O433" s="72"/>
      <c r="P433" s="72"/>
      <c r="Q433" s="72"/>
      <c r="R433" s="73"/>
      <c r="S433" s="47"/>
      <c r="T433" s="47"/>
      <c r="U433" s="48" t="s">
        <v>65</v>
      </c>
      <c r="V433" s="49">
        <v>0</v>
      </c>
      <c r="W433" s="50">
        <f>IFERROR(IF(V433="",0,CEILING((V433/$H433),1)*$H433),"")</f>
        <v>0</v>
      </c>
      <c r="X433" s="51" t="str">
        <f>IFERROR(IF(W433=0,"",ROUNDUP(W433/H433,0)*0.02175),"")</f>
        <v/>
      </c>
      <c r="Y433" s="52"/>
      <c r="Z433" s="53"/>
      <c r="AD433" s="54"/>
      <c r="BA433" s="55" t="s">
        <v>1</v>
      </c>
    </row>
    <row r="434" spans="1:53" ht="27" customHeight="1" x14ac:dyDescent="0.25">
      <c r="A434" s="42" t="s">
        <v>596</v>
      </c>
      <c r="B434" s="42" t="s">
        <v>597</v>
      </c>
      <c r="C434" s="43">
        <v>4301011584</v>
      </c>
      <c r="D434" s="75">
        <v>4640242180564</v>
      </c>
      <c r="E434" s="73"/>
      <c r="F434" s="44">
        <v>1.5</v>
      </c>
      <c r="G434" s="45">
        <v>8</v>
      </c>
      <c r="H434" s="44">
        <v>12</v>
      </c>
      <c r="I434" s="44">
        <v>12.48</v>
      </c>
      <c r="J434" s="45">
        <v>56</v>
      </c>
      <c r="K434" s="45" t="s">
        <v>98</v>
      </c>
      <c r="L434" s="46" t="s">
        <v>99</v>
      </c>
      <c r="M434" s="45">
        <v>50</v>
      </c>
      <c r="N434" s="74" t="s">
        <v>598</v>
      </c>
      <c r="O434" s="72"/>
      <c r="P434" s="72"/>
      <c r="Q434" s="72"/>
      <c r="R434" s="73"/>
      <c r="S434" s="47"/>
      <c r="T434" s="47"/>
      <c r="U434" s="48" t="s">
        <v>65</v>
      </c>
      <c r="V434" s="49">
        <v>0</v>
      </c>
      <c r="W434" s="50">
        <f>IFERROR(IF(V434="",0,CEILING((V434/$H434),1)*$H434),"")</f>
        <v>0</v>
      </c>
      <c r="X434" s="51" t="str">
        <f>IFERROR(IF(W434=0,"",ROUNDUP(W434/H434,0)*0.02175),"")</f>
        <v/>
      </c>
      <c r="Y434" s="52"/>
      <c r="Z434" s="53"/>
      <c r="AD434" s="54"/>
      <c r="BA434" s="55" t="s">
        <v>1</v>
      </c>
    </row>
    <row r="435" spans="1:53" x14ac:dyDescent="0.2">
      <c r="A435" s="79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1"/>
      <c r="N435" s="76" t="s">
        <v>66</v>
      </c>
      <c r="O435" s="77"/>
      <c r="P435" s="77"/>
      <c r="Q435" s="77"/>
      <c r="R435" s="77"/>
      <c r="S435" s="77"/>
      <c r="T435" s="78"/>
      <c r="U435" s="56" t="s">
        <v>67</v>
      </c>
      <c r="V435" s="57">
        <f>IFERROR(V433/H433,"0")+IFERROR(V434/H434,"0")</f>
        <v>0</v>
      </c>
      <c r="W435" s="57">
        <f>IFERROR(W433/H433,"0")+IFERROR(W434/H434,"0")</f>
        <v>0</v>
      </c>
      <c r="X435" s="57">
        <f>IFERROR(IF(X433="",0,X433),"0")+IFERROR(IF(X434="",0,X434),"0")</f>
        <v>0</v>
      </c>
      <c r="Y435" s="58"/>
      <c r="Z435" s="58"/>
    </row>
    <row r="436" spans="1:53" x14ac:dyDescent="0.2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1"/>
      <c r="N436" s="76" t="s">
        <v>66</v>
      </c>
      <c r="O436" s="77"/>
      <c r="P436" s="77"/>
      <c r="Q436" s="77"/>
      <c r="R436" s="77"/>
      <c r="S436" s="77"/>
      <c r="T436" s="78"/>
      <c r="U436" s="56" t="s">
        <v>65</v>
      </c>
      <c r="V436" s="57">
        <f>IFERROR(SUM(V433:V434),"0")</f>
        <v>0</v>
      </c>
      <c r="W436" s="57">
        <f>IFERROR(SUM(W433:W434),"0")</f>
        <v>0</v>
      </c>
      <c r="X436" s="56"/>
      <c r="Y436" s="58"/>
      <c r="Z436" s="58"/>
    </row>
    <row r="437" spans="1:53" ht="14.25" customHeight="1" x14ac:dyDescent="0.25">
      <c r="A437" s="82" t="s">
        <v>95</v>
      </c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67"/>
      <c r="Z437" s="67"/>
    </row>
    <row r="438" spans="1:53" ht="27" customHeight="1" x14ac:dyDescent="0.25">
      <c r="A438" s="42" t="s">
        <v>599</v>
      </c>
      <c r="B438" s="42" t="s">
        <v>600</v>
      </c>
      <c r="C438" s="43">
        <v>4301020260</v>
      </c>
      <c r="D438" s="75">
        <v>4640242180526</v>
      </c>
      <c r="E438" s="73"/>
      <c r="F438" s="44">
        <v>1.8</v>
      </c>
      <c r="G438" s="45">
        <v>6</v>
      </c>
      <c r="H438" s="44">
        <v>10.8</v>
      </c>
      <c r="I438" s="44">
        <v>11.28</v>
      </c>
      <c r="J438" s="45">
        <v>56</v>
      </c>
      <c r="K438" s="45" t="s">
        <v>98</v>
      </c>
      <c r="L438" s="46" t="s">
        <v>99</v>
      </c>
      <c r="M438" s="45">
        <v>50</v>
      </c>
      <c r="N438" s="74" t="s">
        <v>601</v>
      </c>
      <c r="O438" s="72"/>
      <c r="P438" s="72"/>
      <c r="Q438" s="72"/>
      <c r="R438" s="73"/>
      <c r="S438" s="47"/>
      <c r="T438" s="47"/>
      <c r="U438" s="48" t="s">
        <v>65</v>
      </c>
      <c r="V438" s="49">
        <v>0</v>
      </c>
      <c r="W438" s="50">
        <f>IFERROR(IF(V438="",0,CEILING((V438/$H438),1)*$H438),"")</f>
        <v>0</v>
      </c>
      <c r="X438" s="51" t="str">
        <f>IFERROR(IF(W438=0,"",ROUNDUP(W438/H438,0)*0.02175),"")</f>
        <v/>
      </c>
      <c r="Y438" s="52"/>
      <c r="Z438" s="53"/>
      <c r="AD438" s="54"/>
      <c r="BA438" s="55" t="s">
        <v>1</v>
      </c>
    </row>
    <row r="439" spans="1:53" ht="16.5" customHeight="1" x14ac:dyDescent="0.25">
      <c r="A439" s="42" t="s">
        <v>602</v>
      </c>
      <c r="B439" s="42" t="s">
        <v>603</v>
      </c>
      <c r="C439" s="43">
        <v>4301020269</v>
      </c>
      <c r="D439" s="75">
        <v>4640242180519</v>
      </c>
      <c r="E439" s="73"/>
      <c r="F439" s="44">
        <v>1.35</v>
      </c>
      <c r="G439" s="45">
        <v>8</v>
      </c>
      <c r="H439" s="44">
        <v>10.8</v>
      </c>
      <c r="I439" s="44">
        <v>11.28</v>
      </c>
      <c r="J439" s="45">
        <v>56</v>
      </c>
      <c r="K439" s="45" t="s">
        <v>98</v>
      </c>
      <c r="L439" s="46" t="s">
        <v>128</v>
      </c>
      <c r="M439" s="45">
        <v>50</v>
      </c>
      <c r="N439" s="74" t="s">
        <v>604</v>
      </c>
      <c r="O439" s="72"/>
      <c r="P439" s="72"/>
      <c r="Q439" s="72"/>
      <c r="R439" s="73"/>
      <c r="S439" s="47"/>
      <c r="T439" s="47"/>
      <c r="U439" s="48" t="s">
        <v>65</v>
      </c>
      <c r="V439" s="49">
        <v>0</v>
      </c>
      <c r="W439" s="50">
        <f>IFERROR(IF(V439="",0,CEILING((V439/$H439),1)*$H439),"")</f>
        <v>0</v>
      </c>
      <c r="X439" s="51" t="str">
        <f>IFERROR(IF(W439=0,"",ROUNDUP(W439/H439,0)*0.02175),"")</f>
        <v/>
      </c>
      <c r="Y439" s="52"/>
      <c r="Z439" s="53"/>
      <c r="AD439" s="54"/>
      <c r="BA439" s="55" t="s">
        <v>1</v>
      </c>
    </row>
    <row r="440" spans="1:53" x14ac:dyDescent="0.2">
      <c r="A440" s="79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1"/>
      <c r="N440" s="76" t="s">
        <v>66</v>
      </c>
      <c r="O440" s="77"/>
      <c r="P440" s="77"/>
      <c r="Q440" s="77"/>
      <c r="R440" s="77"/>
      <c r="S440" s="77"/>
      <c r="T440" s="78"/>
      <c r="U440" s="56" t="s">
        <v>67</v>
      </c>
      <c r="V440" s="57">
        <f>IFERROR(V438/H438,"0")+IFERROR(V439/H439,"0")</f>
        <v>0</v>
      </c>
      <c r="W440" s="57">
        <f>IFERROR(W438/H438,"0")+IFERROR(W439/H439,"0")</f>
        <v>0</v>
      </c>
      <c r="X440" s="57">
        <f>IFERROR(IF(X438="",0,X438),"0")+IFERROR(IF(X439="",0,X439),"0")</f>
        <v>0</v>
      </c>
      <c r="Y440" s="58"/>
      <c r="Z440" s="58"/>
    </row>
    <row r="441" spans="1:53" x14ac:dyDescent="0.2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1"/>
      <c r="N441" s="76" t="s">
        <v>66</v>
      </c>
      <c r="O441" s="77"/>
      <c r="P441" s="77"/>
      <c r="Q441" s="77"/>
      <c r="R441" s="77"/>
      <c r="S441" s="77"/>
      <c r="T441" s="78"/>
      <c r="U441" s="56" t="s">
        <v>65</v>
      </c>
      <c r="V441" s="57">
        <f>IFERROR(SUM(V438:V439),"0")</f>
        <v>0</v>
      </c>
      <c r="W441" s="57">
        <f>IFERROR(SUM(W438:W439),"0")</f>
        <v>0</v>
      </c>
      <c r="X441" s="56"/>
      <c r="Y441" s="58"/>
      <c r="Z441" s="58"/>
    </row>
    <row r="442" spans="1:53" ht="14.25" customHeight="1" x14ac:dyDescent="0.25">
      <c r="A442" s="82" t="s">
        <v>60</v>
      </c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67"/>
      <c r="Z442" s="67"/>
    </row>
    <row r="443" spans="1:53" ht="27" customHeight="1" x14ac:dyDescent="0.25">
      <c r="A443" s="42" t="s">
        <v>605</v>
      </c>
      <c r="B443" s="42" t="s">
        <v>606</v>
      </c>
      <c r="C443" s="43">
        <v>4301031280</v>
      </c>
      <c r="D443" s="75">
        <v>4640242180816</v>
      </c>
      <c r="E443" s="73"/>
      <c r="F443" s="44">
        <v>0.7</v>
      </c>
      <c r="G443" s="45">
        <v>6</v>
      </c>
      <c r="H443" s="44">
        <v>4.2</v>
      </c>
      <c r="I443" s="44">
        <v>4.46</v>
      </c>
      <c r="J443" s="45">
        <v>156</v>
      </c>
      <c r="K443" s="45" t="s">
        <v>63</v>
      </c>
      <c r="L443" s="46" t="s">
        <v>64</v>
      </c>
      <c r="M443" s="45">
        <v>40</v>
      </c>
      <c r="N443" s="74" t="s">
        <v>607</v>
      </c>
      <c r="O443" s="72"/>
      <c r="P443" s="72"/>
      <c r="Q443" s="72"/>
      <c r="R443" s="73"/>
      <c r="S443" s="47"/>
      <c r="T443" s="47"/>
      <c r="U443" s="48" t="s">
        <v>65</v>
      </c>
      <c r="V443" s="49">
        <v>0</v>
      </c>
      <c r="W443" s="50">
        <f>IFERROR(IF(V443="",0,CEILING((V443/$H443),1)*$H443),"")</f>
        <v>0</v>
      </c>
      <c r="X443" s="51" t="str">
        <f>IFERROR(IF(W443=0,"",ROUNDUP(W443/H443,0)*0.00753),"")</f>
        <v/>
      </c>
      <c r="Y443" s="52"/>
      <c r="Z443" s="53"/>
      <c r="AD443" s="54"/>
      <c r="BA443" s="55" t="s">
        <v>1</v>
      </c>
    </row>
    <row r="444" spans="1:53" ht="27" customHeight="1" x14ac:dyDescent="0.25">
      <c r="A444" s="42" t="s">
        <v>608</v>
      </c>
      <c r="B444" s="42" t="s">
        <v>609</v>
      </c>
      <c r="C444" s="43">
        <v>4301031244</v>
      </c>
      <c r="D444" s="75">
        <v>4640242180595</v>
      </c>
      <c r="E444" s="73"/>
      <c r="F444" s="44">
        <v>0.7</v>
      </c>
      <c r="G444" s="45">
        <v>6</v>
      </c>
      <c r="H444" s="44">
        <v>4.2</v>
      </c>
      <c r="I444" s="44">
        <v>4.46</v>
      </c>
      <c r="J444" s="45">
        <v>156</v>
      </c>
      <c r="K444" s="45" t="s">
        <v>63</v>
      </c>
      <c r="L444" s="46" t="s">
        <v>64</v>
      </c>
      <c r="M444" s="45">
        <v>40</v>
      </c>
      <c r="N444" s="74" t="s">
        <v>610</v>
      </c>
      <c r="O444" s="72"/>
      <c r="P444" s="72"/>
      <c r="Q444" s="72"/>
      <c r="R444" s="73"/>
      <c r="S444" s="47"/>
      <c r="T444" s="47"/>
      <c r="U444" s="48" t="s">
        <v>65</v>
      </c>
      <c r="V444" s="49">
        <v>60</v>
      </c>
      <c r="W444" s="50">
        <f>IFERROR(IF(V444="",0,CEILING((V444/$H444),1)*$H444),"")</f>
        <v>63</v>
      </c>
      <c r="X444" s="51">
        <f>IFERROR(IF(W444=0,"",ROUNDUP(W444/H444,0)*0.00753),"")</f>
        <v>0.11295000000000001</v>
      </c>
      <c r="Y444" s="52"/>
      <c r="Z444" s="53"/>
      <c r="AD444" s="54"/>
      <c r="BA444" s="55" t="s">
        <v>1</v>
      </c>
    </row>
    <row r="445" spans="1:53" x14ac:dyDescent="0.2">
      <c r="A445" s="79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1"/>
      <c r="N445" s="76" t="s">
        <v>66</v>
      </c>
      <c r="O445" s="77"/>
      <c r="P445" s="77"/>
      <c r="Q445" s="77"/>
      <c r="R445" s="77"/>
      <c r="S445" s="77"/>
      <c r="T445" s="78"/>
      <c r="U445" s="56" t="s">
        <v>67</v>
      </c>
      <c r="V445" s="57">
        <f>IFERROR(V443/H443,"0")+IFERROR(V444/H444,"0")</f>
        <v>14.285714285714285</v>
      </c>
      <c r="W445" s="57">
        <f>IFERROR(W443/H443,"0")+IFERROR(W444/H444,"0")</f>
        <v>15</v>
      </c>
      <c r="X445" s="57">
        <f>IFERROR(IF(X443="",0,X443),"0")+IFERROR(IF(X444="",0,X444),"0")</f>
        <v>0.11295000000000001</v>
      </c>
      <c r="Y445" s="58"/>
      <c r="Z445" s="58"/>
    </row>
    <row r="446" spans="1:53" x14ac:dyDescent="0.2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1"/>
      <c r="N446" s="76" t="s">
        <v>66</v>
      </c>
      <c r="O446" s="77"/>
      <c r="P446" s="77"/>
      <c r="Q446" s="77"/>
      <c r="R446" s="77"/>
      <c r="S446" s="77"/>
      <c r="T446" s="78"/>
      <c r="U446" s="56" t="s">
        <v>65</v>
      </c>
      <c r="V446" s="57">
        <f>IFERROR(SUM(V443:V444),"0")</f>
        <v>60</v>
      </c>
      <c r="W446" s="57">
        <f>IFERROR(SUM(W443:W444),"0")</f>
        <v>63</v>
      </c>
      <c r="X446" s="56"/>
      <c r="Y446" s="58"/>
      <c r="Z446" s="58"/>
    </row>
    <row r="447" spans="1:53" ht="14.25" customHeight="1" x14ac:dyDescent="0.25">
      <c r="A447" s="82" t="s">
        <v>68</v>
      </c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67"/>
      <c r="Z447" s="67"/>
    </row>
    <row r="448" spans="1:53" ht="27" customHeight="1" x14ac:dyDescent="0.25">
      <c r="A448" s="42" t="s">
        <v>611</v>
      </c>
      <c r="B448" s="42" t="s">
        <v>612</v>
      </c>
      <c r="C448" s="43">
        <v>4301051510</v>
      </c>
      <c r="D448" s="75">
        <v>4640242180540</v>
      </c>
      <c r="E448" s="73"/>
      <c r="F448" s="44">
        <v>1.3</v>
      </c>
      <c r="G448" s="45">
        <v>6</v>
      </c>
      <c r="H448" s="44">
        <v>7.8</v>
      </c>
      <c r="I448" s="44">
        <v>8.3640000000000008</v>
      </c>
      <c r="J448" s="45">
        <v>56</v>
      </c>
      <c r="K448" s="45" t="s">
        <v>98</v>
      </c>
      <c r="L448" s="46" t="s">
        <v>64</v>
      </c>
      <c r="M448" s="45">
        <v>30</v>
      </c>
      <c r="N448" s="74" t="s">
        <v>613</v>
      </c>
      <c r="O448" s="72"/>
      <c r="P448" s="72"/>
      <c r="Q448" s="72"/>
      <c r="R448" s="73"/>
      <c r="S448" s="47"/>
      <c r="T448" s="47"/>
      <c r="U448" s="48" t="s">
        <v>65</v>
      </c>
      <c r="V448" s="49">
        <v>0</v>
      </c>
      <c r="W448" s="50">
        <f>IFERROR(IF(V448="",0,CEILING((V448/$H448),1)*$H448),"")</f>
        <v>0</v>
      </c>
      <c r="X448" s="51" t="str">
        <f>IFERROR(IF(W448=0,"",ROUNDUP(W448/H448,0)*0.02175),"")</f>
        <v/>
      </c>
      <c r="Y448" s="52"/>
      <c r="Z448" s="53"/>
      <c r="AD448" s="54"/>
      <c r="BA448" s="55" t="s">
        <v>1</v>
      </c>
    </row>
    <row r="449" spans="1:53" ht="27" customHeight="1" x14ac:dyDescent="0.25">
      <c r="A449" s="42" t="s">
        <v>614</v>
      </c>
      <c r="B449" s="42" t="s">
        <v>615</v>
      </c>
      <c r="C449" s="43">
        <v>4301051508</v>
      </c>
      <c r="D449" s="75">
        <v>4640242180557</v>
      </c>
      <c r="E449" s="73"/>
      <c r="F449" s="44">
        <v>0.5</v>
      </c>
      <c r="G449" s="45">
        <v>6</v>
      </c>
      <c r="H449" s="44">
        <v>3</v>
      </c>
      <c r="I449" s="44">
        <v>3.2839999999999998</v>
      </c>
      <c r="J449" s="45">
        <v>156</v>
      </c>
      <c r="K449" s="45" t="s">
        <v>63</v>
      </c>
      <c r="L449" s="46" t="s">
        <v>64</v>
      </c>
      <c r="M449" s="45">
        <v>30</v>
      </c>
      <c r="N449" s="74" t="s">
        <v>616</v>
      </c>
      <c r="O449" s="72"/>
      <c r="P449" s="72"/>
      <c r="Q449" s="72"/>
      <c r="R449" s="73"/>
      <c r="S449" s="47"/>
      <c r="T449" s="47"/>
      <c r="U449" s="48" t="s">
        <v>65</v>
      </c>
      <c r="V449" s="49">
        <v>0</v>
      </c>
      <c r="W449" s="50">
        <f>IFERROR(IF(V449="",0,CEILING((V449/$H449),1)*$H449),"")</f>
        <v>0</v>
      </c>
      <c r="X449" s="51" t="str">
        <f>IFERROR(IF(W449=0,"",ROUNDUP(W449/H449,0)*0.00753),"")</f>
        <v/>
      </c>
      <c r="Y449" s="52"/>
      <c r="Z449" s="53"/>
      <c r="AD449" s="54"/>
      <c r="BA449" s="55" t="s">
        <v>1</v>
      </c>
    </row>
    <row r="450" spans="1:53" x14ac:dyDescent="0.2">
      <c r="A450" s="79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1"/>
      <c r="N450" s="76" t="s">
        <v>66</v>
      </c>
      <c r="O450" s="77"/>
      <c r="P450" s="77"/>
      <c r="Q450" s="77"/>
      <c r="R450" s="77"/>
      <c r="S450" s="77"/>
      <c r="T450" s="78"/>
      <c r="U450" s="56" t="s">
        <v>67</v>
      </c>
      <c r="V450" s="57">
        <f>IFERROR(V448/H448,"0")+IFERROR(V449/H449,"0")</f>
        <v>0</v>
      </c>
      <c r="W450" s="57">
        <f>IFERROR(W448/H448,"0")+IFERROR(W449/H449,"0")</f>
        <v>0</v>
      </c>
      <c r="X450" s="57">
        <f>IFERROR(IF(X448="",0,X448),"0")+IFERROR(IF(X449="",0,X449),"0")</f>
        <v>0</v>
      </c>
      <c r="Y450" s="58"/>
      <c r="Z450" s="58"/>
    </row>
    <row r="451" spans="1:53" x14ac:dyDescent="0.2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1"/>
      <c r="N451" s="76" t="s">
        <v>66</v>
      </c>
      <c r="O451" s="77"/>
      <c r="P451" s="77"/>
      <c r="Q451" s="77"/>
      <c r="R451" s="77"/>
      <c r="S451" s="77"/>
      <c r="T451" s="78"/>
      <c r="U451" s="56" t="s">
        <v>65</v>
      </c>
      <c r="V451" s="57">
        <f>IFERROR(SUM(V448:V449),"0")</f>
        <v>0</v>
      </c>
      <c r="W451" s="57">
        <f>IFERROR(SUM(W448:W449),"0")</f>
        <v>0</v>
      </c>
      <c r="X451" s="56"/>
      <c r="Y451" s="58"/>
      <c r="Z451" s="58"/>
    </row>
    <row r="452" spans="1:53" ht="16.5" customHeight="1" x14ac:dyDescent="0.25">
      <c r="A452" s="87" t="s">
        <v>617</v>
      </c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66"/>
      <c r="Z452" s="66"/>
    </row>
    <row r="453" spans="1:53" ht="14.25" customHeight="1" x14ac:dyDescent="0.25">
      <c r="A453" s="82" t="s">
        <v>68</v>
      </c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67"/>
      <c r="Z453" s="67"/>
    </row>
    <row r="454" spans="1:53" ht="16.5" customHeight="1" x14ac:dyDescent="0.25">
      <c r="A454" s="42" t="s">
        <v>618</v>
      </c>
      <c r="B454" s="42" t="s">
        <v>619</v>
      </c>
      <c r="C454" s="43">
        <v>4301051310</v>
      </c>
      <c r="D454" s="75">
        <v>4680115880870</v>
      </c>
      <c r="E454" s="73"/>
      <c r="F454" s="44">
        <v>1.3</v>
      </c>
      <c r="G454" s="45">
        <v>6</v>
      </c>
      <c r="H454" s="44">
        <v>7.8</v>
      </c>
      <c r="I454" s="44">
        <v>8.3640000000000008</v>
      </c>
      <c r="J454" s="45">
        <v>56</v>
      </c>
      <c r="K454" s="45" t="s">
        <v>98</v>
      </c>
      <c r="L454" s="46" t="s">
        <v>128</v>
      </c>
      <c r="M454" s="45">
        <v>40</v>
      </c>
      <c r="N454" s="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72"/>
      <c r="P454" s="72"/>
      <c r="Q454" s="72"/>
      <c r="R454" s="73"/>
      <c r="S454" s="47"/>
      <c r="T454" s="47"/>
      <c r="U454" s="48" t="s">
        <v>65</v>
      </c>
      <c r="V454" s="49">
        <v>0</v>
      </c>
      <c r="W454" s="50">
        <f>IFERROR(IF(V454="",0,CEILING((V454/$H454),1)*$H454),"")</f>
        <v>0</v>
      </c>
      <c r="X454" s="51" t="str">
        <f>IFERROR(IF(W454=0,"",ROUNDUP(W454/H454,0)*0.02175),"")</f>
        <v/>
      </c>
      <c r="Y454" s="52"/>
      <c r="Z454" s="53"/>
      <c r="AD454" s="54"/>
      <c r="BA454" s="55" t="s">
        <v>1</v>
      </c>
    </row>
    <row r="455" spans="1:53" x14ac:dyDescent="0.2">
      <c r="A455" s="79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1"/>
      <c r="N455" s="76" t="s">
        <v>66</v>
      </c>
      <c r="O455" s="77"/>
      <c r="P455" s="77"/>
      <c r="Q455" s="77"/>
      <c r="R455" s="77"/>
      <c r="S455" s="77"/>
      <c r="T455" s="78"/>
      <c r="U455" s="56" t="s">
        <v>67</v>
      </c>
      <c r="V455" s="57">
        <f>IFERROR(V454/H454,"0")</f>
        <v>0</v>
      </c>
      <c r="W455" s="57">
        <f>IFERROR(W454/H454,"0")</f>
        <v>0</v>
      </c>
      <c r="X455" s="57">
        <f>IFERROR(IF(X454="",0,X454),"0")</f>
        <v>0</v>
      </c>
      <c r="Y455" s="58"/>
      <c r="Z455" s="58"/>
    </row>
    <row r="456" spans="1:53" x14ac:dyDescent="0.2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1"/>
      <c r="N456" s="76" t="s">
        <v>66</v>
      </c>
      <c r="O456" s="77"/>
      <c r="P456" s="77"/>
      <c r="Q456" s="77"/>
      <c r="R456" s="77"/>
      <c r="S456" s="77"/>
      <c r="T456" s="78"/>
      <c r="U456" s="56" t="s">
        <v>65</v>
      </c>
      <c r="V456" s="57">
        <f>IFERROR(SUM(V454:V454),"0")</f>
        <v>0</v>
      </c>
      <c r="W456" s="57">
        <f>IFERROR(SUM(W454:W454),"0")</f>
        <v>0</v>
      </c>
      <c r="X456" s="56"/>
      <c r="Y456" s="58"/>
      <c r="Z456" s="58"/>
    </row>
    <row r="457" spans="1:53" ht="15" customHeight="1" x14ac:dyDescent="0.2">
      <c r="A457" s="143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104"/>
      <c r="N457" s="98" t="s">
        <v>620</v>
      </c>
      <c r="O457" s="99"/>
      <c r="P457" s="99"/>
      <c r="Q457" s="99"/>
      <c r="R457" s="99"/>
      <c r="S457" s="99"/>
      <c r="T457" s="100"/>
      <c r="U457" s="56" t="s">
        <v>65</v>
      </c>
      <c r="V457" s="57">
        <f>IFERROR(V24+V33+V37+V41+V45+V52+V60+V80+V90+V103+V115+V123+V130+V138+V150+V156+V161+V168+V188+V193+V212+V216+V223+V234+V240+V246+V252+V263+V268+V273+V279+V283+V287+V300+V306+V310+V314+V322+V327+V334+V338+V345+V361+V368+V372+V376+V382+V392+V396+V410+V415+V424+V429+V436+V441+V446+V451+V456,"0")</f>
        <v>1471.3600000000001</v>
      </c>
      <c r="W457" s="57">
        <f>IFERROR(W24+W33+W37+W41+W45+W52+W60+W80+W90+W103+W115+W123+W130+W138+W150+W156+W161+W168+W188+W193+W212+W216+W223+W234+W240+W246+W252+W263+W268+W273+W279+W283+W287+W300+W306+W310+W314+W322+W327+W334+W338+W345+W361+W368+W372+W376+W382+W392+W396+W410+W415+W424+W429+W436+W441+W446+W451+W456,"0")</f>
        <v>1491.0800000000002</v>
      </c>
      <c r="X457" s="56"/>
      <c r="Y457" s="58"/>
      <c r="Z457" s="58"/>
    </row>
    <row r="458" spans="1:53" x14ac:dyDescent="0.2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104"/>
      <c r="N458" s="98" t="s">
        <v>621</v>
      </c>
      <c r="O458" s="99"/>
      <c r="P458" s="99"/>
      <c r="Q458" s="99"/>
      <c r="R458" s="99"/>
      <c r="S458" s="99"/>
      <c r="T458" s="100"/>
      <c r="U458" s="56" t="s">
        <v>65</v>
      </c>
      <c r="V458" s="5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1550.337559504823</v>
      </c>
      <c r="W458" s="5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1571.3320000000006</v>
      </c>
      <c r="X458" s="56"/>
      <c r="Y458" s="58"/>
      <c r="Z458" s="58"/>
    </row>
    <row r="459" spans="1:53" x14ac:dyDescent="0.2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104"/>
      <c r="N459" s="98" t="s">
        <v>622</v>
      </c>
      <c r="O459" s="99"/>
      <c r="P459" s="99"/>
      <c r="Q459" s="99"/>
      <c r="R459" s="99"/>
      <c r="S459" s="99"/>
      <c r="T459" s="100"/>
      <c r="U459" s="56" t="s">
        <v>623</v>
      </c>
      <c r="V459" s="70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232*(V225:V232/H225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3</v>
      </c>
      <c r="W459" s="70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232*(W225:W232/H225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3</v>
      </c>
      <c r="X459" s="56"/>
      <c r="Y459" s="58"/>
      <c r="Z459" s="58"/>
    </row>
    <row r="460" spans="1:53" x14ac:dyDescent="0.2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104"/>
      <c r="N460" s="98" t="s">
        <v>624</v>
      </c>
      <c r="O460" s="99"/>
      <c r="P460" s="99"/>
      <c r="Q460" s="99"/>
      <c r="R460" s="99"/>
      <c r="S460" s="99"/>
      <c r="T460" s="100"/>
      <c r="U460" s="56" t="s">
        <v>65</v>
      </c>
      <c r="V460" s="57">
        <f>GrossWeightTotal+PalletQtyTotal*25</f>
        <v>1625.337559504823</v>
      </c>
      <c r="W460" s="57">
        <f>GrossWeightTotalR+PalletQtyTotalR*25</f>
        <v>1646.3320000000006</v>
      </c>
      <c r="X460" s="56"/>
      <c r="Y460" s="58"/>
      <c r="Z460" s="58"/>
    </row>
    <row r="461" spans="1:53" x14ac:dyDescent="0.2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104"/>
      <c r="N461" s="98" t="s">
        <v>625</v>
      </c>
      <c r="O461" s="99"/>
      <c r="P461" s="99"/>
      <c r="Q461" s="99"/>
      <c r="R461" s="99"/>
      <c r="S461" s="99"/>
      <c r="T461" s="100"/>
      <c r="U461" s="56" t="s">
        <v>623</v>
      </c>
      <c r="V461" s="57">
        <f>IFERROR(V23+V32+V36+V40+V44+V51+V59+V79+V89+V102+V114+V122+V129+V137+V149+V155+V160+V167+V187+V192+V211+V215+V222+V233+V239+V245+V251+V262+V267+V272+V278+V282+V286+V299+V305+V309+V313+V321+V326+V333+V337+V344+V360+V367+V371+V375+V381+V391+V395+V409+V414+V423+V428+V435+V440+V445+V450+V455,"0")</f>
        <v>199.90637410023376</v>
      </c>
      <c r="W461" s="57">
        <f>IFERROR(W23+W32+W36+W40+W44+W51+W59+W79+W89+W102+W114+W122+W129+W137+W149+W155+W160+W167+W187+W192+W211+W215+W222+W233+W239+W245+W251+W262+W267+W272+W278+W282+W286+W299+W305+W309+W313+W321+W326+W333+W337+W344+W360+W367+W371+W375+W381+W391+W395+W409+W414+W423+W428+W435+W440+W445+W450+W455,"0")</f>
        <v>204</v>
      </c>
      <c r="X461" s="56"/>
      <c r="Y461" s="58"/>
      <c r="Z461" s="58"/>
    </row>
    <row r="462" spans="1:53" ht="14.25" customHeight="1" x14ac:dyDescent="0.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104"/>
      <c r="N462" s="98" t="s">
        <v>626</v>
      </c>
      <c r="O462" s="99"/>
      <c r="P462" s="99"/>
      <c r="Q462" s="99"/>
      <c r="R462" s="99"/>
      <c r="S462" s="99"/>
      <c r="T462" s="100"/>
      <c r="U462" s="59" t="s">
        <v>627</v>
      </c>
      <c r="V462" s="56"/>
      <c r="W462" s="56"/>
      <c r="X462" s="56">
        <f>IFERROR(X23+X32+X36+X40+X44+X51+X59+X79+X89+X102+X114+X122+X129+X137+X149+X155+X160+X167+X187+X192+X211+X215+X222+X233+X239+X245+X251+X262+X267+X272+X278+X282+X286+X299+X305+X309+X313+X321+X326+X333+X337+X344+X360+X367+X371+X375+X381+X391+X395+X409+X414+X423+X428+X435+X440+X445+X450+X455,"0")</f>
        <v>3.1123899999999995</v>
      </c>
      <c r="Y462" s="58"/>
      <c r="Z462" s="58"/>
    </row>
    <row r="464" spans="1:53" ht="27" customHeight="1" x14ac:dyDescent="0.2">
      <c r="A464" s="60" t="s">
        <v>628</v>
      </c>
      <c r="B464" s="68" t="s">
        <v>59</v>
      </c>
      <c r="C464" s="85" t="s">
        <v>93</v>
      </c>
      <c r="D464" s="156"/>
      <c r="E464" s="156"/>
      <c r="F464" s="95"/>
      <c r="G464" s="85" t="s">
        <v>232</v>
      </c>
      <c r="H464" s="156"/>
      <c r="I464" s="156"/>
      <c r="J464" s="156"/>
      <c r="K464" s="156"/>
      <c r="L464" s="156"/>
      <c r="M464" s="95"/>
      <c r="N464" s="85" t="s">
        <v>428</v>
      </c>
      <c r="O464" s="95"/>
      <c r="P464" s="85" t="s">
        <v>479</v>
      </c>
      <c r="Q464" s="95"/>
      <c r="R464" s="68" t="s">
        <v>549</v>
      </c>
      <c r="S464" s="85" t="s">
        <v>591</v>
      </c>
      <c r="T464" s="95"/>
      <c r="U464" s="1"/>
      <c r="Z464" s="62"/>
      <c r="AC464" s="1"/>
    </row>
    <row r="465" spans="1:28" s="1" customFormat="1" ht="14.25" customHeight="1" x14ac:dyDescent="0.2">
      <c r="A465" s="152" t="s">
        <v>629</v>
      </c>
      <c r="B465" s="85" t="s">
        <v>59</v>
      </c>
      <c r="C465" s="85" t="s">
        <v>94</v>
      </c>
      <c r="D465" s="85" t="s">
        <v>102</v>
      </c>
      <c r="E465" s="85" t="s">
        <v>93</v>
      </c>
      <c r="F465" s="85" t="s">
        <v>225</v>
      </c>
      <c r="G465" s="85" t="s">
        <v>233</v>
      </c>
      <c r="H465" s="85" t="s">
        <v>240</v>
      </c>
      <c r="I465" s="85" t="s">
        <v>257</v>
      </c>
      <c r="J465" s="85" t="s">
        <v>317</v>
      </c>
      <c r="L465" s="85" t="s">
        <v>396</v>
      </c>
      <c r="M465" s="85" t="s">
        <v>414</v>
      </c>
      <c r="N465" s="85" t="s">
        <v>429</v>
      </c>
      <c r="O465" s="85" t="s">
        <v>456</v>
      </c>
      <c r="P465" s="85" t="s">
        <v>480</v>
      </c>
      <c r="Q465" s="85" t="s">
        <v>527</v>
      </c>
      <c r="R465" s="85" t="s">
        <v>549</v>
      </c>
      <c r="S465" s="85" t="s">
        <v>592</v>
      </c>
      <c r="T465" s="85" t="s">
        <v>617</v>
      </c>
      <c r="Z465" s="62"/>
      <c r="AA465" s="62"/>
      <c r="AB465" s="62"/>
    </row>
    <row r="466" spans="1:28" s="1" customFormat="1" x14ac:dyDescent="0.2">
      <c r="A466" s="153"/>
      <c r="B466" s="86"/>
      <c r="C466" s="86"/>
      <c r="D466" s="86"/>
      <c r="E466" s="86"/>
      <c r="F466" s="86"/>
      <c r="G466" s="86"/>
      <c r="H466" s="86"/>
      <c r="I466" s="86"/>
      <c r="J466" s="86"/>
      <c r="L466" s="86"/>
      <c r="M466" s="86"/>
      <c r="N466" s="86"/>
      <c r="O466" s="86"/>
      <c r="P466" s="86"/>
      <c r="Q466" s="86"/>
      <c r="R466" s="86"/>
      <c r="S466" s="86"/>
      <c r="T466" s="86"/>
      <c r="Z466" s="62"/>
      <c r="AA466" s="62"/>
      <c r="AB466" s="62"/>
    </row>
    <row r="467" spans="1:28" s="1" customFormat="1" ht="16.5" customHeight="1" x14ac:dyDescent="0.2">
      <c r="A467" s="60" t="s">
        <v>630</v>
      </c>
      <c r="B467" s="61">
        <f>IFERROR(W22*1,"0")+IFERROR(W26*1,"0")+IFERROR(W27*1,"0")+IFERROR(W28*1,"0")+IFERROR(W29*1,"0")+IFERROR(W30*1,"0")+IFERROR(W31*1,"0")+IFERROR(W35*1,"0")+IFERROR(W39*1,"0")+IFERROR(W43*1,"0")</f>
        <v>0</v>
      </c>
      <c r="C467" s="61">
        <f>IFERROR(W49*1,"0")+IFERROR(W50*1,"0")</f>
        <v>62.100000000000009</v>
      </c>
      <c r="D467" s="61">
        <f>IFERROR(W55*1,"0")+IFERROR(W56*1,"0")+IFERROR(W57*1,"0")+IFERROR(W58*1,"0")</f>
        <v>120.60000000000001</v>
      </c>
      <c r="E467" s="6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14.8</v>
      </c>
      <c r="F467" s="61">
        <f>IFERROR(W126*1,"0")+IFERROR(W127*1,"0")+IFERROR(W128*1,"0")</f>
        <v>0</v>
      </c>
      <c r="G467" s="61">
        <f>IFERROR(W134*1,"0")+IFERROR(W135*1,"0")+IFERROR(W136*1,"0")</f>
        <v>0</v>
      </c>
      <c r="H467" s="61">
        <f>IFERROR(W141*1,"0")+IFERROR(W142*1,"0")+IFERROR(W143*1,"0")+IFERROR(W144*1,"0")+IFERROR(W145*1,"0")+IFERROR(W146*1,"0")+IFERROR(W147*1,"0")+IFERROR(W148*1,"0")</f>
        <v>8.4</v>
      </c>
      <c r="I467" s="61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7.8</v>
      </c>
      <c r="J467" s="61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559.6</v>
      </c>
      <c r="L467" s="61">
        <f>IFERROR(W255*1,"0")+IFERROR(W256*1,"0")+IFERROR(W257*1,"0")+IFERROR(W258*1,"0")+IFERROR(W259*1,"0")+IFERROR(W260*1,"0")+IFERROR(W261*1,"0")+IFERROR(W265*1,"0")+IFERROR(W266*1,"0")</f>
        <v>32.400000000000006</v>
      </c>
      <c r="M467" s="61">
        <f>IFERROR(W271*1,"0")+IFERROR(W275*1,"0")+IFERROR(W276*1,"0")+IFERROR(W277*1,"0")+IFERROR(W281*1,"0")+IFERROR(W285*1,"0")</f>
        <v>51.78</v>
      </c>
      <c r="N467" s="61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465</v>
      </c>
      <c r="O467" s="61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67" s="61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30.66</v>
      </c>
      <c r="Q467" s="61">
        <f>IFERROR(W379*1,"0")+IFERROR(W380*1,"0")+IFERROR(W384*1,"0")+IFERROR(W385*1,"0")+IFERROR(W386*1,"0")+IFERROR(W387*1,"0")+IFERROR(W388*1,"0")+IFERROR(W389*1,"0")+IFERROR(W390*1,"0")+IFERROR(W394*1,"0")</f>
        <v>6.3000000000000007</v>
      </c>
      <c r="R467" s="61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68.64</v>
      </c>
      <c r="S467" s="61">
        <f>IFERROR(W433*1,"0")+IFERROR(W434*1,"0")+IFERROR(W438*1,"0")+IFERROR(W439*1,"0")+IFERROR(W443*1,"0")+IFERROR(W444*1,"0")+IFERROR(W448*1,"0")+IFERROR(W449*1,"0")</f>
        <v>63</v>
      </c>
      <c r="T467" s="61">
        <f>IFERROR(W454*1,"0")</f>
        <v>0</v>
      </c>
      <c r="Z467" s="62"/>
      <c r="AA467" s="62"/>
      <c r="AB467" s="62"/>
    </row>
  </sheetData>
  <sheetProtection algorithmName="SHA-512" hashValue="kH8UEPowT7OAnPDz6AFvaV1he1b1Cg7M4Ac35FuZJpSORFOYyQtYFeEJkAiS4w/RuJEvU6mhywxnStcEDxodjg==" saltValue="gFdLQ/0lUTKzZPoyjlOgqw==" spinCount="100000" sheet="1" objects="1" scenarios="1" sort="0" autoFilter="0" pivotTables="0"/>
  <autoFilter ref="B18:X18"/>
  <mergeCells count="831">
    <mergeCell ref="P1:R1"/>
    <mergeCell ref="A435:M436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D408:E408"/>
    <mergeCell ref="Y17:Y18"/>
    <mergeCell ref="D355:E355"/>
    <mergeCell ref="A8:C8"/>
    <mergeCell ref="D293:E293"/>
    <mergeCell ref="A247:X247"/>
    <mergeCell ref="N138:T138"/>
    <mergeCell ref="D97:E97"/>
    <mergeCell ref="N180:R180"/>
    <mergeCell ref="A375:M376"/>
    <mergeCell ref="N361:T361"/>
    <mergeCell ref="A10:C10"/>
    <mergeCell ref="N182:R182"/>
    <mergeCell ref="D184:E184"/>
    <mergeCell ref="N84:R84"/>
    <mergeCell ref="N249:R249"/>
    <mergeCell ref="N320:R320"/>
    <mergeCell ref="D121:E121"/>
    <mergeCell ref="J9:L9"/>
    <mergeCell ref="R5:S5"/>
    <mergeCell ref="N27:R27"/>
    <mergeCell ref="N83:R83"/>
    <mergeCell ref="N325:R325"/>
    <mergeCell ref="N154:R154"/>
    <mergeCell ref="D271:E271"/>
    <mergeCell ref="N390:R390"/>
    <mergeCell ref="D191:E191"/>
    <mergeCell ref="D237:E237"/>
    <mergeCell ref="N389:R389"/>
    <mergeCell ref="N85:R85"/>
    <mergeCell ref="D291:E291"/>
    <mergeCell ref="D266:E266"/>
    <mergeCell ref="D95:E95"/>
    <mergeCell ref="N372:T372"/>
    <mergeCell ref="N385:R385"/>
    <mergeCell ref="N310:T310"/>
    <mergeCell ref="D331:E331"/>
    <mergeCell ref="A139:X139"/>
    <mergeCell ref="D57:E57"/>
    <mergeCell ref="S17:T17"/>
    <mergeCell ref="A13:L13"/>
    <mergeCell ref="A19:X19"/>
    <mergeCell ref="N259:R259"/>
    <mergeCell ref="N88:R88"/>
    <mergeCell ref="N450:T450"/>
    <mergeCell ref="N324:R324"/>
    <mergeCell ref="D196:E196"/>
    <mergeCell ref="H465:H466"/>
    <mergeCell ref="A15:L15"/>
    <mergeCell ref="A48:X48"/>
    <mergeCell ref="N23:T23"/>
    <mergeCell ref="N261:R261"/>
    <mergeCell ref="N381:T381"/>
    <mergeCell ref="N388:R388"/>
    <mergeCell ref="D433:E433"/>
    <mergeCell ref="S465:S466"/>
    <mergeCell ref="A442:X442"/>
    <mergeCell ref="N456:T456"/>
    <mergeCell ref="N454:R454"/>
    <mergeCell ref="A440:M441"/>
    <mergeCell ref="N458:T458"/>
    <mergeCell ref="B465:B466"/>
    <mergeCell ref="A51:M52"/>
    <mergeCell ref="N141:R141"/>
    <mergeCell ref="A335:X335"/>
    <mergeCell ref="I465:I466"/>
    <mergeCell ref="N439:R439"/>
    <mergeCell ref="A367:M368"/>
    <mergeCell ref="A267:M268"/>
    <mergeCell ref="D249:E249"/>
    <mergeCell ref="D276:E276"/>
    <mergeCell ref="D105:E105"/>
    <mergeCell ref="D170:E170"/>
    <mergeCell ref="N72:R72"/>
    <mergeCell ref="N143:R143"/>
    <mergeCell ref="N370:R370"/>
    <mergeCell ref="N248:R248"/>
    <mergeCell ref="D242:E242"/>
    <mergeCell ref="N297:R297"/>
    <mergeCell ref="A195:X195"/>
    <mergeCell ref="D120:E120"/>
    <mergeCell ref="D107:E107"/>
    <mergeCell ref="D163:E163"/>
    <mergeCell ref="A116:X116"/>
    <mergeCell ref="D405:E405"/>
    <mergeCell ref="G464:M464"/>
    <mergeCell ref="N267:T267"/>
    <mergeCell ref="A122:M123"/>
    <mergeCell ref="N293:R293"/>
    <mergeCell ref="N57:R57"/>
    <mergeCell ref="D165:E165"/>
    <mergeCell ref="N317:R317"/>
    <mergeCell ref="N146:R146"/>
    <mergeCell ref="D394:E394"/>
    <mergeCell ref="N319:R319"/>
    <mergeCell ref="D265:E265"/>
    <mergeCell ref="A169:X169"/>
    <mergeCell ref="N333:T333"/>
    <mergeCell ref="A162:X162"/>
    <mergeCell ref="N137:T137"/>
    <mergeCell ref="D218:E218"/>
    <mergeCell ref="N204:R204"/>
    <mergeCell ref="A398:X398"/>
    <mergeCell ref="C464:F464"/>
    <mergeCell ref="N185:R185"/>
    <mergeCell ref="N136:R136"/>
    <mergeCell ref="N312:R312"/>
    <mergeCell ref="D244:E244"/>
    <mergeCell ref="A253:X253"/>
    <mergeCell ref="F5:G5"/>
    <mergeCell ref="A14:L14"/>
    <mergeCell ref="A47:X47"/>
    <mergeCell ref="D175:E175"/>
    <mergeCell ref="N82:R82"/>
    <mergeCell ref="T11:U11"/>
    <mergeCell ref="D221:E221"/>
    <mergeCell ref="N436:T436"/>
    <mergeCell ref="A262:M263"/>
    <mergeCell ref="N33:T33"/>
    <mergeCell ref="D29:E29"/>
    <mergeCell ref="A40:M41"/>
    <mergeCell ref="D49:E49"/>
    <mergeCell ref="F17:F18"/>
    <mergeCell ref="O5:P5"/>
    <mergeCell ref="N321:T321"/>
    <mergeCell ref="D342:E342"/>
    <mergeCell ref="D171:E171"/>
    <mergeCell ref="N326:T326"/>
    <mergeCell ref="D336:E336"/>
    <mergeCell ref="N150:T150"/>
    <mergeCell ref="D407:E407"/>
    <mergeCell ref="A53:X53"/>
    <mergeCell ref="A416:X416"/>
    <mergeCell ref="O8:P8"/>
    <mergeCell ref="A299:M300"/>
    <mergeCell ref="N69:R69"/>
    <mergeCell ref="N196:R196"/>
    <mergeCell ref="N438:R438"/>
    <mergeCell ref="D177:E177"/>
    <mergeCell ref="N354:R354"/>
    <mergeCell ref="D226:E226"/>
    <mergeCell ref="D164:E164"/>
    <mergeCell ref="N368:T368"/>
    <mergeCell ref="N198:R198"/>
    <mergeCell ref="N225:R225"/>
    <mergeCell ref="N418:R418"/>
    <mergeCell ref="N296:R296"/>
    <mergeCell ref="N356:R356"/>
    <mergeCell ref="D35:E35"/>
    <mergeCell ref="D228:E228"/>
    <mergeCell ref="D404:E404"/>
    <mergeCell ref="N135:R135"/>
    <mergeCell ref="D10:E10"/>
    <mergeCell ref="N433:R433"/>
    <mergeCell ref="F10:G10"/>
    <mergeCell ref="N227:R227"/>
    <mergeCell ref="D243:E243"/>
    <mergeCell ref="A465:A466"/>
    <mergeCell ref="D449:E449"/>
    <mergeCell ref="N428:T428"/>
    <mergeCell ref="N415:T415"/>
    <mergeCell ref="N107:R107"/>
    <mergeCell ref="N129:T129"/>
    <mergeCell ref="N305:T305"/>
    <mergeCell ref="D386:E386"/>
    <mergeCell ref="A290:X290"/>
    <mergeCell ref="N286:T286"/>
    <mergeCell ref="N429:T429"/>
    <mergeCell ref="N303:R303"/>
    <mergeCell ref="N223:T223"/>
    <mergeCell ref="N230:R230"/>
    <mergeCell ref="A455:M456"/>
    <mergeCell ref="O465:O466"/>
    <mergeCell ref="N420:R420"/>
    <mergeCell ref="N110:R110"/>
    <mergeCell ref="N149:T149"/>
    <mergeCell ref="N376:T376"/>
    <mergeCell ref="N314:T314"/>
    <mergeCell ref="N164:R164"/>
    <mergeCell ref="N291:R291"/>
    <mergeCell ref="A189:X189"/>
    <mergeCell ref="D6:L6"/>
    <mergeCell ref="N103:T103"/>
    <mergeCell ref="T465:T466"/>
    <mergeCell ref="N419:R419"/>
    <mergeCell ref="O13:P13"/>
    <mergeCell ref="N250:R250"/>
    <mergeCell ref="N201:R201"/>
    <mergeCell ref="D318:E318"/>
    <mergeCell ref="N406:R406"/>
    <mergeCell ref="D389:E389"/>
    <mergeCell ref="N237:R237"/>
    <mergeCell ref="D84:E84"/>
    <mergeCell ref="N277:R277"/>
    <mergeCell ref="N203:R203"/>
    <mergeCell ref="D22:E22"/>
    <mergeCell ref="D320:E320"/>
    <mergeCell ref="D385:E385"/>
    <mergeCell ref="N276:R276"/>
    <mergeCell ref="N105:R105"/>
    <mergeCell ref="N214:R214"/>
    <mergeCell ref="A301:X301"/>
    <mergeCell ref="N43:R43"/>
    <mergeCell ref="D257:E257"/>
    <mergeCell ref="D86:E86"/>
    <mergeCell ref="A9:C9"/>
    <mergeCell ref="D202:E202"/>
    <mergeCell ref="D58:E58"/>
    <mergeCell ref="N348:R348"/>
    <mergeCell ref="A309:M310"/>
    <mergeCell ref="A414:M415"/>
    <mergeCell ref="D294:E294"/>
    <mergeCell ref="N273:T273"/>
    <mergeCell ref="O12:P12"/>
    <mergeCell ref="N52:T52"/>
    <mergeCell ref="D231:E231"/>
    <mergeCell ref="N337:T337"/>
    <mergeCell ref="D358:E358"/>
    <mergeCell ref="A167:M168"/>
    <mergeCell ref="N379:R379"/>
    <mergeCell ref="N208:R208"/>
    <mergeCell ref="N183:R183"/>
    <mergeCell ref="N192:T192"/>
    <mergeCell ref="D384:E384"/>
    <mergeCell ref="A393:X393"/>
    <mergeCell ref="M17:M18"/>
    <mergeCell ref="N67:R67"/>
    <mergeCell ref="D99:E99"/>
    <mergeCell ref="A12:L12"/>
    <mergeCell ref="S464:T464"/>
    <mergeCell ref="Z17:Z18"/>
    <mergeCell ref="A239:M240"/>
    <mergeCell ref="A311:X311"/>
    <mergeCell ref="A140:X140"/>
    <mergeCell ref="N111:R111"/>
    <mergeCell ref="A32:M33"/>
    <mergeCell ref="J465:J466"/>
    <mergeCell ref="D439:E439"/>
    <mergeCell ref="D317:E317"/>
    <mergeCell ref="A395:M396"/>
    <mergeCell ref="A278:M279"/>
    <mergeCell ref="D146:E146"/>
    <mergeCell ref="N119:R119"/>
    <mergeCell ref="D304:E304"/>
    <mergeCell ref="D83:E83"/>
    <mergeCell ref="D143:E143"/>
    <mergeCell ref="D319:E319"/>
    <mergeCell ref="N177:R177"/>
    <mergeCell ref="D256:E256"/>
    <mergeCell ref="D207:E207"/>
    <mergeCell ref="D85:E85"/>
    <mergeCell ref="A452:X452"/>
    <mergeCell ref="D370:E370"/>
    <mergeCell ref="H1:O1"/>
    <mergeCell ref="D364:E364"/>
    <mergeCell ref="D186:E186"/>
    <mergeCell ref="D413:E413"/>
    <mergeCell ref="O9:P9"/>
    <mergeCell ref="A397:X397"/>
    <mergeCell ref="N22:R22"/>
    <mergeCell ref="D65:E65"/>
    <mergeCell ref="N36:T36"/>
    <mergeCell ref="N334:T334"/>
    <mergeCell ref="N401:R401"/>
    <mergeCell ref="N206:R206"/>
    <mergeCell ref="N35:R35"/>
    <mergeCell ref="G17:G18"/>
    <mergeCell ref="A316:X316"/>
    <mergeCell ref="H10:L10"/>
    <mergeCell ref="D159:E159"/>
    <mergeCell ref="A46:X46"/>
    <mergeCell ref="N66:R66"/>
    <mergeCell ref="N222:T222"/>
    <mergeCell ref="N351:R351"/>
    <mergeCell ref="A233:M234"/>
    <mergeCell ref="N68:R68"/>
    <mergeCell ref="N295:R295"/>
    <mergeCell ref="L465:L466"/>
    <mergeCell ref="N409:T409"/>
    <mergeCell ref="D359:E359"/>
    <mergeCell ref="N96:R96"/>
    <mergeCell ref="H17:H18"/>
    <mergeCell ref="N332:R332"/>
    <mergeCell ref="D204:E204"/>
    <mergeCell ref="A213:X213"/>
    <mergeCell ref="A457:M462"/>
    <mergeCell ref="D198:E198"/>
    <mergeCell ref="A151:X151"/>
    <mergeCell ref="A42:X42"/>
    <mergeCell ref="D296:E296"/>
    <mergeCell ref="D427:E427"/>
    <mergeCell ref="N98:R98"/>
    <mergeCell ref="D75:E75"/>
    <mergeCell ref="D206:E206"/>
    <mergeCell ref="A411:X411"/>
    <mergeCell ref="N41:T41"/>
    <mergeCell ref="N283:T283"/>
    <mergeCell ref="D298:E298"/>
    <mergeCell ref="A373:X373"/>
    <mergeCell ref="D181:E181"/>
    <mergeCell ref="N252:T252"/>
    <mergeCell ref="N455:T455"/>
    <mergeCell ref="N108:R108"/>
    <mergeCell ref="N392:T392"/>
    <mergeCell ref="A124:X124"/>
    <mergeCell ref="N266:R266"/>
    <mergeCell ref="N95:R95"/>
    <mergeCell ref="N70:R70"/>
    <mergeCell ref="N457:T457"/>
    <mergeCell ref="N331:R331"/>
    <mergeCell ref="D374:E374"/>
    <mergeCell ref="D203:E203"/>
    <mergeCell ref="N330:R330"/>
    <mergeCell ref="N159:R159"/>
    <mergeCell ref="N97:R97"/>
    <mergeCell ref="D438:E438"/>
    <mergeCell ref="A447:X447"/>
    <mergeCell ref="A160:M161"/>
    <mergeCell ref="A152:X152"/>
    <mergeCell ref="N421:R421"/>
    <mergeCell ref="N408:R408"/>
    <mergeCell ref="A211:M212"/>
    <mergeCell ref="D418:E418"/>
    <mergeCell ref="N343:R343"/>
    <mergeCell ref="A241:X241"/>
    <mergeCell ref="D7:L7"/>
    <mergeCell ref="N171:R171"/>
    <mergeCell ref="N79:T79"/>
    <mergeCell ref="N121:R121"/>
    <mergeCell ref="N238:R238"/>
    <mergeCell ref="A272:M273"/>
    <mergeCell ref="A381:M382"/>
    <mergeCell ref="A89:M90"/>
    <mergeCell ref="A282:M283"/>
    <mergeCell ref="N148:R148"/>
    <mergeCell ref="N179:R179"/>
    <mergeCell ref="D112:E112"/>
    <mergeCell ref="D348:E348"/>
    <mergeCell ref="N190:R190"/>
    <mergeCell ref="D56:E56"/>
    <mergeCell ref="D127:E127"/>
    <mergeCell ref="N304:R304"/>
    <mergeCell ref="N155:T155"/>
    <mergeCell ref="D347:E347"/>
    <mergeCell ref="D176:E176"/>
    <mergeCell ref="D285:E285"/>
    <mergeCell ref="D64:E64"/>
    <mergeCell ref="D349:E349"/>
    <mergeCell ref="N262:T262"/>
    <mergeCell ref="N26:R26"/>
    <mergeCell ref="D172:E172"/>
    <mergeCell ref="N153:R153"/>
    <mergeCell ref="A79:M80"/>
    <mergeCell ref="N40:T40"/>
    <mergeCell ref="N338:T338"/>
    <mergeCell ref="N405:R405"/>
    <mergeCell ref="N313:T313"/>
    <mergeCell ref="N380:R380"/>
    <mergeCell ref="N184:R184"/>
    <mergeCell ref="A378:X378"/>
    <mergeCell ref="N391:T391"/>
    <mergeCell ref="D39:E39"/>
    <mergeCell ref="N281:R281"/>
    <mergeCell ref="D153:E153"/>
    <mergeCell ref="N59:T59"/>
    <mergeCell ref="N256:R256"/>
    <mergeCell ref="D128:E128"/>
    <mergeCell ref="D199:E199"/>
    <mergeCell ref="N109:R109"/>
    <mergeCell ref="D136:E136"/>
    <mergeCell ref="N117:R117"/>
    <mergeCell ref="N353:R353"/>
    <mergeCell ref="A307:X307"/>
    <mergeCell ref="N29:R29"/>
    <mergeCell ref="N387:R387"/>
    <mergeCell ref="N265:R265"/>
    <mergeCell ref="D422:E422"/>
    <mergeCell ref="N202:R202"/>
    <mergeCell ref="N258:R258"/>
    <mergeCell ref="N87:R87"/>
    <mergeCell ref="N329:R329"/>
    <mergeCell ref="N158:R158"/>
    <mergeCell ref="D74:E74"/>
    <mergeCell ref="D201:E201"/>
    <mergeCell ref="D68:E68"/>
    <mergeCell ref="N31:R31"/>
    <mergeCell ref="A34:X34"/>
    <mergeCell ref="A270:X270"/>
    <mergeCell ref="N167:T167"/>
    <mergeCell ref="N272:T272"/>
    <mergeCell ref="N260:R260"/>
    <mergeCell ref="A383:X383"/>
    <mergeCell ref="D295:E295"/>
    <mergeCell ref="D178:E178"/>
    <mergeCell ref="N414:T414"/>
    <mergeCell ref="D412:E412"/>
    <mergeCell ref="D420:E420"/>
    <mergeCell ref="T5:U5"/>
    <mergeCell ref="N374:R374"/>
    <mergeCell ref="N174:R174"/>
    <mergeCell ref="D190:E190"/>
    <mergeCell ref="A137:M138"/>
    <mergeCell ref="D119:E119"/>
    <mergeCell ref="U17:U18"/>
    <mergeCell ref="N90:T90"/>
    <mergeCell ref="D111:E111"/>
    <mergeCell ref="D183:E183"/>
    <mergeCell ref="A21:X21"/>
    <mergeCell ref="D248:E248"/>
    <mergeCell ref="D275:E275"/>
    <mergeCell ref="N232:R232"/>
    <mergeCell ref="D219:E219"/>
    <mergeCell ref="N77:R77"/>
    <mergeCell ref="T6:U9"/>
    <mergeCell ref="D185:E185"/>
    <mergeCell ref="A194:X194"/>
    <mergeCell ref="D277:E277"/>
    <mergeCell ref="N327:T327"/>
    <mergeCell ref="N156:T156"/>
    <mergeCell ref="N92:R92"/>
    <mergeCell ref="A131:X131"/>
    <mergeCell ref="E465:E466"/>
    <mergeCell ref="N99:R99"/>
    <mergeCell ref="D343:E343"/>
    <mergeCell ref="N74:R74"/>
    <mergeCell ref="N145:R145"/>
    <mergeCell ref="A339:X339"/>
    <mergeCell ref="N443:R443"/>
    <mergeCell ref="D182:E182"/>
    <mergeCell ref="N163:R163"/>
    <mergeCell ref="D109:E109"/>
    <mergeCell ref="N101:R101"/>
    <mergeCell ref="N464:O464"/>
    <mergeCell ref="N76:R76"/>
    <mergeCell ref="D444:E444"/>
    <mergeCell ref="D419:E419"/>
    <mergeCell ref="N229:R229"/>
    <mergeCell ref="N200:R200"/>
    <mergeCell ref="A445:M446"/>
    <mergeCell ref="N460:T460"/>
    <mergeCell ref="N448:R448"/>
    <mergeCell ref="M465:M466"/>
    <mergeCell ref="N462:T462"/>
    <mergeCell ref="A437:X437"/>
    <mergeCell ref="A431:X431"/>
    <mergeCell ref="N37:T37"/>
    <mergeCell ref="N427:R427"/>
    <mergeCell ref="D106:E106"/>
    <mergeCell ref="D93:E93"/>
    <mergeCell ref="D220:E220"/>
    <mergeCell ref="N441:T441"/>
    <mergeCell ref="N435:T435"/>
    <mergeCell ref="A362:X362"/>
    <mergeCell ref="N285:R285"/>
    <mergeCell ref="A215:M216"/>
    <mergeCell ref="A44:M45"/>
    <mergeCell ref="N299:T299"/>
    <mergeCell ref="D43:E43"/>
    <mergeCell ref="D434:E434"/>
    <mergeCell ref="D154:E154"/>
    <mergeCell ref="D225:E225"/>
    <mergeCell ref="N440:T440"/>
    <mergeCell ref="D200:E200"/>
    <mergeCell ref="N417:R417"/>
    <mergeCell ref="D292:E292"/>
    <mergeCell ref="N246:T246"/>
    <mergeCell ref="D227:E227"/>
    <mergeCell ref="N80:T80"/>
    <mergeCell ref="D101:E101"/>
    <mergeCell ref="A5:C5"/>
    <mergeCell ref="A326:M327"/>
    <mergeCell ref="N306:T306"/>
    <mergeCell ref="N71:R71"/>
    <mergeCell ref="A192:M193"/>
    <mergeCell ref="N58:R58"/>
    <mergeCell ref="D179:E179"/>
    <mergeCell ref="A254:X254"/>
    <mergeCell ref="A428:M429"/>
    <mergeCell ref="N294:R294"/>
    <mergeCell ref="D166:E166"/>
    <mergeCell ref="D402:E402"/>
    <mergeCell ref="N244:R244"/>
    <mergeCell ref="N73:R73"/>
    <mergeCell ref="A17:A18"/>
    <mergeCell ref="A20:X20"/>
    <mergeCell ref="A125:X125"/>
    <mergeCell ref="N231:R231"/>
    <mergeCell ref="C17:C18"/>
    <mergeCell ref="K17:K18"/>
    <mergeCell ref="N358:R358"/>
    <mergeCell ref="D401:E401"/>
    <mergeCell ref="D230:E230"/>
    <mergeCell ref="N308:R308"/>
    <mergeCell ref="AD17:AD18"/>
    <mergeCell ref="N142:R142"/>
    <mergeCell ref="D88:E88"/>
    <mergeCell ref="N403:R403"/>
    <mergeCell ref="A337:M338"/>
    <mergeCell ref="D148:E148"/>
    <mergeCell ref="D324:E324"/>
    <mergeCell ref="A399:X399"/>
    <mergeCell ref="D26:E26"/>
    <mergeCell ref="N55:R55"/>
    <mergeCell ref="N126:R126"/>
    <mergeCell ref="N218:R218"/>
    <mergeCell ref="D261:E261"/>
    <mergeCell ref="N367:T367"/>
    <mergeCell ref="D388:E388"/>
    <mergeCell ref="A25:X25"/>
    <mergeCell ref="D390:E390"/>
    <mergeCell ref="D180:E180"/>
    <mergeCell ref="D118:E118"/>
    <mergeCell ref="N251:T251"/>
    <mergeCell ref="N322:T322"/>
    <mergeCell ref="D403:E403"/>
    <mergeCell ref="D232:E232"/>
    <mergeCell ref="N309:T309"/>
    <mergeCell ref="O11:P11"/>
    <mergeCell ref="N205:R205"/>
    <mergeCell ref="A344:M345"/>
    <mergeCell ref="D260:E260"/>
    <mergeCell ref="A6:C6"/>
    <mergeCell ref="D113:E113"/>
    <mergeCell ref="N422:R422"/>
    <mergeCell ref="N118:R118"/>
    <mergeCell ref="A245:M246"/>
    <mergeCell ref="D9:E9"/>
    <mergeCell ref="F9:G9"/>
    <mergeCell ref="N240:T240"/>
    <mergeCell ref="A315:X315"/>
    <mergeCell ref="N86:R86"/>
    <mergeCell ref="N384:R384"/>
    <mergeCell ref="D63:E63"/>
    <mergeCell ref="D330:E330"/>
    <mergeCell ref="A187:M188"/>
    <mergeCell ref="N344:T344"/>
    <mergeCell ref="N255:R255"/>
    <mergeCell ref="D96:E96"/>
    <mergeCell ref="N386:R386"/>
    <mergeCell ref="N242:R242"/>
    <mergeCell ref="N165:R165"/>
    <mergeCell ref="T12:U12"/>
    <mergeCell ref="N445:T445"/>
    <mergeCell ref="N51:T51"/>
    <mergeCell ref="N239:T239"/>
    <mergeCell ref="N122:T122"/>
    <mergeCell ref="A81:X81"/>
    <mergeCell ref="D72:E72"/>
    <mergeCell ref="A323:X323"/>
    <mergeCell ref="N318:R318"/>
    <mergeCell ref="D421:E421"/>
    <mergeCell ref="A371:M372"/>
    <mergeCell ref="A289:X289"/>
    <mergeCell ref="D255:E255"/>
    <mergeCell ref="A23:M24"/>
    <mergeCell ref="N278:T278"/>
    <mergeCell ref="N78:R78"/>
    <mergeCell ref="A423:M424"/>
    <mergeCell ref="D350:E350"/>
    <mergeCell ref="A251:M252"/>
    <mergeCell ref="A360:M361"/>
    <mergeCell ref="D27:E27"/>
    <mergeCell ref="N15:R16"/>
    <mergeCell ref="D325:E325"/>
    <mergeCell ref="N375:T375"/>
    <mergeCell ref="D465:D466"/>
    <mergeCell ref="N236:R236"/>
    <mergeCell ref="D77:E77"/>
    <mergeCell ref="N300:T300"/>
    <mergeCell ref="D108:E108"/>
    <mergeCell ref="N350:R350"/>
    <mergeCell ref="A104:X104"/>
    <mergeCell ref="A235:X235"/>
    <mergeCell ref="I17:I18"/>
    <mergeCell ref="D141:E141"/>
    <mergeCell ref="D135:E135"/>
    <mergeCell ref="N212:T212"/>
    <mergeCell ref="A313:M314"/>
    <mergeCell ref="N465:N466"/>
    <mergeCell ref="D448:E448"/>
    <mergeCell ref="F465:F466"/>
    <mergeCell ref="C465:C466"/>
    <mergeCell ref="N449:R449"/>
    <mergeCell ref="A453:X453"/>
    <mergeCell ref="A269:X269"/>
    <mergeCell ref="N160:T160"/>
    <mergeCell ref="D352:E352"/>
    <mergeCell ref="N219:R219"/>
    <mergeCell ref="D454:E454"/>
    <mergeCell ref="D1:F1"/>
    <mergeCell ref="N282:T282"/>
    <mergeCell ref="N210:R210"/>
    <mergeCell ref="J17:J18"/>
    <mergeCell ref="D82:E82"/>
    <mergeCell ref="A328:X328"/>
    <mergeCell ref="A157:X157"/>
    <mergeCell ref="L17:L18"/>
    <mergeCell ref="A333:M334"/>
    <mergeCell ref="A284:X284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N292:R292"/>
    <mergeCell ref="D31:E31"/>
    <mergeCell ref="Q465:Q466"/>
    <mergeCell ref="D356:E356"/>
    <mergeCell ref="N342:R342"/>
    <mergeCell ref="A305:M306"/>
    <mergeCell ref="N75:R75"/>
    <mergeCell ref="N114:T114"/>
    <mergeCell ref="N298:R298"/>
    <mergeCell ref="N444:R444"/>
    <mergeCell ref="N400:R400"/>
    <mergeCell ref="D145:E145"/>
    <mergeCell ref="D387:E387"/>
    <mergeCell ref="D443:E443"/>
    <mergeCell ref="D210:E210"/>
    <mergeCell ref="N287:T287"/>
    <mergeCell ref="D308:E308"/>
    <mergeCell ref="N166:R166"/>
    <mergeCell ref="N188:T188"/>
    <mergeCell ref="D380:E380"/>
    <mergeCell ref="D209:E209"/>
    <mergeCell ref="N402:R402"/>
    <mergeCell ref="D147:E147"/>
    <mergeCell ref="A91:X91"/>
    <mergeCell ref="D87:E87"/>
    <mergeCell ref="N352:R352"/>
    <mergeCell ref="D30:E30"/>
    <mergeCell ref="D67:E67"/>
    <mergeCell ref="D5:E5"/>
    <mergeCell ref="D303:E303"/>
    <mergeCell ref="D94:E94"/>
    <mergeCell ref="D417:E417"/>
    <mergeCell ref="N371:T371"/>
    <mergeCell ref="N197:R197"/>
    <mergeCell ref="D69:E69"/>
    <mergeCell ref="N211:T211"/>
    <mergeCell ref="D354:E354"/>
    <mergeCell ref="A114:M115"/>
    <mergeCell ref="O10:P10"/>
    <mergeCell ref="D8:L8"/>
    <mergeCell ref="N39:R39"/>
    <mergeCell ref="N130:T130"/>
    <mergeCell ref="N363:R363"/>
    <mergeCell ref="N355:R355"/>
    <mergeCell ref="N365:R365"/>
    <mergeCell ref="N357:R357"/>
    <mergeCell ref="D329:E329"/>
    <mergeCell ref="D158:E158"/>
    <mergeCell ref="D400:E400"/>
    <mergeCell ref="D229:E229"/>
    <mergeCell ref="A450:M451"/>
    <mergeCell ref="D236:E236"/>
    <mergeCell ref="N413:R413"/>
    <mergeCell ref="N220:R220"/>
    <mergeCell ref="D117:E117"/>
    <mergeCell ref="N407:R407"/>
    <mergeCell ref="D92:E92"/>
    <mergeCell ref="D353:E353"/>
    <mergeCell ref="D55:E55"/>
    <mergeCell ref="N434:R434"/>
    <mergeCell ref="N233:T233"/>
    <mergeCell ref="A62:X62"/>
    <mergeCell ref="N209:R209"/>
    <mergeCell ref="D76:E76"/>
    <mergeCell ref="N2:U3"/>
    <mergeCell ref="A61:X61"/>
    <mergeCell ref="N394:R394"/>
    <mergeCell ref="BA17:BA18"/>
    <mergeCell ref="N123:T123"/>
    <mergeCell ref="D144:E144"/>
    <mergeCell ref="A346:X346"/>
    <mergeCell ref="N113:R113"/>
    <mergeCell ref="D302:E302"/>
    <mergeCell ref="N173:R173"/>
    <mergeCell ref="N271:R271"/>
    <mergeCell ref="N100:R100"/>
    <mergeCell ref="A54:X54"/>
    <mergeCell ref="N94:R94"/>
    <mergeCell ref="N60:T60"/>
    <mergeCell ref="N336:R336"/>
    <mergeCell ref="N187:T187"/>
    <mergeCell ref="D379:E379"/>
    <mergeCell ref="D208:E208"/>
    <mergeCell ref="A217:X217"/>
    <mergeCell ref="AA17:AC18"/>
    <mergeCell ref="D366:E366"/>
    <mergeCell ref="N279:T279"/>
    <mergeCell ref="N360:T360"/>
    <mergeCell ref="P465:P466"/>
    <mergeCell ref="D197:E197"/>
    <mergeCell ref="N181:R181"/>
    <mergeCell ref="R465:R466"/>
    <mergeCell ref="A377:X377"/>
    <mergeCell ref="N32:T32"/>
    <mergeCell ref="D351:E351"/>
    <mergeCell ref="N268:T268"/>
    <mergeCell ref="A409:M410"/>
    <mergeCell ref="N395:T395"/>
    <mergeCell ref="A224:X224"/>
    <mergeCell ref="N147:R147"/>
    <mergeCell ref="P464:Q464"/>
    <mergeCell ref="N161:T161"/>
    <mergeCell ref="N459:T459"/>
    <mergeCell ref="A288:X288"/>
    <mergeCell ref="N178:R178"/>
    <mergeCell ref="D110:E110"/>
    <mergeCell ref="N396:T396"/>
    <mergeCell ref="A155:M156"/>
    <mergeCell ref="N461:T461"/>
    <mergeCell ref="D142:E142"/>
    <mergeCell ref="A391:M392"/>
    <mergeCell ref="N49:R49"/>
    <mergeCell ref="H5:L5"/>
    <mergeCell ref="N257:R257"/>
    <mergeCell ref="N275:R275"/>
    <mergeCell ref="N175:R175"/>
    <mergeCell ref="B17:B18"/>
    <mergeCell ref="A222:M223"/>
    <mergeCell ref="A149:M150"/>
    <mergeCell ref="N112:R112"/>
    <mergeCell ref="D258:E258"/>
    <mergeCell ref="N106:R106"/>
    <mergeCell ref="N56:R56"/>
    <mergeCell ref="D66:E66"/>
    <mergeCell ref="D126:E126"/>
    <mergeCell ref="R6:S9"/>
    <mergeCell ref="N207:R207"/>
    <mergeCell ref="N216:T216"/>
    <mergeCell ref="N45:T45"/>
    <mergeCell ref="N127:R127"/>
    <mergeCell ref="N176:R176"/>
    <mergeCell ref="N193:T193"/>
    <mergeCell ref="D214:E214"/>
    <mergeCell ref="N64:R64"/>
    <mergeCell ref="N120:R120"/>
    <mergeCell ref="N191:R191"/>
    <mergeCell ref="G465:G466"/>
    <mergeCell ref="N234:T234"/>
    <mergeCell ref="D426:E426"/>
    <mergeCell ref="D238:E238"/>
    <mergeCell ref="A129:M130"/>
    <mergeCell ref="D78:E78"/>
    <mergeCell ref="D134:E134"/>
    <mergeCell ref="A38:X38"/>
    <mergeCell ref="D205:E205"/>
    <mergeCell ref="A280:X280"/>
    <mergeCell ref="A274:X274"/>
    <mergeCell ref="D363:E363"/>
    <mergeCell ref="N172:R172"/>
    <mergeCell ref="D357:E357"/>
    <mergeCell ref="A432:X432"/>
    <mergeCell ref="N199:R199"/>
    <mergeCell ref="D71:E71"/>
    <mergeCell ref="N186:R186"/>
    <mergeCell ref="D332:E332"/>
    <mergeCell ref="N382:T382"/>
    <mergeCell ref="N115:T115"/>
    <mergeCell ref="N102:T102"/>
    <mergeCell ref="D98:E98"/>
    <mergeCell ref="D73:E73"/>
    <mergeCell ref="H9:I9"/>
    <mergeCell ref="A264:X264"/>
    <mergeCell ref="A369:X369"/>
    <mergeCell ref="N89:T89"/>
    <mergeCell ref="D281:E281"/>
    <mergeCell ref="D297:E297"/>
    <mergeCell ref="N93:R93"/>
    <mergeCell ref="D70:E70"/>
    <mergeCell ref="D312:E312"/>
    <mergeCell ref="N366:R366"/>
    <mergeCell ref="N170:R170"/>
    <mergeCell ref="N28:R28"/>
    <mergeCell ref="N30:R30"/>
    <mergeCell ref="N215:T215"/>
    <mergeCell ref="A340:X340"/>
    <mergeCell ref="N44:T44"/>
    <mergeCell ref="A286:M287"/>
    <mergeCell ref="T10:U10"/>
    <mergeCell ref="W17:W18"/>
    <mergeCell ref="N359:R359"/>
    <mergeCell ref="D365:E365"/>
    <mergeCell ref="A341:X341"/>
    <mergeCell ref="N347:R347"/>
    <mergeCell ref="N345:T345"/>
    <mergeCell ref="N144:R144"/>
    <mergeCell ref="N302:R302"/>
    <mergeCell ref="D174:E174"/>
    <mergeCell ref="N451:T451"/>
    <mergeCell ref="N245:T245"/>
    <mergeCell ref="A36:M37"/>
    <mergeCell ref="A133:X133"/>
    <mergeCell ref="N168:T168"/>
    <mergeCell ref="N24:T24"/>
    <mergeCell ref="N446:T446"/>
    <mergeCell ref="N404:R404"/>
    <mergeCell ref="A425:X425"/>
    <mergeCell ref="N423:T423"/>
    <mergeCell ref="N410:T410"/>
    <mergeCell ref="D406:E406"/>
    <mergeCell ref="N424:T424"/>
    <mergeCell ref="N412:R412"/>
    <mergeCell ref="A321:M322"/>
    <mergeCell ref="D259:E259"/>
    <mergeCell ref="N349:R349"/>
    <mergeCell ref="D28:E28"/>
    <mergeCell ref="N128:R128"/>
    <mergeCell ref="N426:R426"/>
    <mergeCell ref="N364:R364"/>
  </mergeCells>
  <conditionalFormatting sqref="A8:L8 A9:C10 N9:P13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showInputMessage="1" showErrorMessage="1" prompt="День недели загрузки. Считается сам." sqref="O6:O7">
      <formula1>0</formula1>
      <formula2>0</formula2>
    </dataValidation>
    <dataValidation type="list" showInputMessage="1" showErrorMessage="1" sqref="V16:Z16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>
      <formula1>0</formula1>
      <formula2>0</formula2>
    </dataValidation>
    <dataValidation showInputMessage="1" showErrorMessage="1" prompt="Введите код клиента в системе Axapta" sqref="T10">
      <formula1>0</formula1>
      <formula2>0</formula2>
    </dataValidation>
    <dataValidation type="list" showInputMessage="1" showErrorMessage="1" prompt="Определите тип Вашего заказа" sqref="T11:U11">
      <formula1>"Основной заказ,Дозаказ,Замена"</formula1>
      <formula2>0</formula2>
    </dataValidation>
    <dataValidation type="list" showInputMessage="1" showErrorMessage="1" sqref="D6:L6">
      <formula1>DeliveryAdressList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  <formula2>0</formula2>
    </dataValidation>
    <dataValidation type="list" showInputMessage="1" showErrorMessage="1" sqref="L8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X22:Z22">
      <formula1>0</formula1>
      <formula2>0</formula2>
    </dataValidation>
    <dataValidation type="list" showInputMessage="1" showErrorMessage="1" sqref="T12">
      <formula1>DeliveryConditionsList</formula1>
      <formula2>0</formula2>
    </dataValidation>
    <dataValidation type="list" showInputMessage="1" showErrorMessage="1" sqref="D8:K8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62"/>
    </row>
    <row r="3" spans="2:8" x14ac:dyDescent="0.2">
      <c r="B3" s="63" t="s">
        <v>632</v>
      </c>
      <c r="C3" s="63"/>
      <c r="D3" s="63"/>
      <c r="E3" s="63"/>
    </row>
    <row r="4" spans="2:8" x14ac:dyDescent="0.2">
      <c r="B4" s="63" t="s">
        <v>12</v>
      </c>
      <c r="C4" s="63"/>
      <c r="D4" s="63"/>
      <c r="E4" s="63"/>
    </row>
    <row r="6" spans="2:8" x14ac:dyDescent="0.2">
      <c r="B6" s="63" t="s">
        <v>14</v>
      </c>
      <c r="C6" s="63" t="s">
        <v>633</v>
      </c>
      <c r="D6" s="63" t="s">
        <v>634</v>
      </c>
      <c r="E6" s="63"/>
    </row>
    <row r="7" spans="2:8" x14ac:dyDescent="0.2">
      <c r="B7" s="63" t="s">
        <v>635</v>
      </c>
      <c r="C7" s="63" t="s">
        <v>636</v>
      </c>
      <c r="D7" s="63" t="s">
        <v>637</v>
      </c>
      <c r="E7" s="63"/>
    </row>
    <row r="9" spans="2:8" x14ac:dyDescent="0.2">
      <c r="B9" s="63" t="s">
        <v>638</v>
      </c>
      <c r="C9" s="63" t="s">
        <v>633</v>
      </c>
      <c r="D9" s="63"/>
      <c r="E9" s="63"/>
    </row>
    <row r="11" spans="2:8" x14ac:dyDescent="0.2">
      <c r="B11" s="63" t="s">
        <v>639</v>
      </c>
      <c r="C11" s="63" t="s">
        <v>636</v>
      </c>
      <c r="D11" s="63"/>
      <c r="E11" s="63"/>
    </row>
    <row r="13" spans="2:8" x14ac:dyDescent="0.2">
      <c r="B13" s="63" t="s">
        <v>640</v>
      </c>
      <c r="C13" s="63"/>
      <c r="D13" s="63"/>
      <c r="E13" s="63"/>
    </row>
    <row r="14" spans="2:8" x14ac:dyDescent="0.2">
      <c r="B14" s="63" t="s">
        <v>641</v>
      </c>
      <c r="C14" s="63"/>
      <c r="D14" s="63"/>
      <c r="E14" s="63"/>
    </row>
    <row r="15" spans="2:8" x14ac:dyDescent="0.2">
      <c r="B15" s="63" t="s">
        <v>642</v>
      </c>
      <c r="C15" s="63"/>
      <c r="D15" s="63"/>
      <c r="E15" s="63"/>
    </row>
    <row r="16" spans="2:8" x14ac:dyDescent="0.2">
      <c r="B16" s="63" t="s">
        <v>643</v>
      </c>
      <c r="C16" s="63"/>
      <c r="D16" s="63"/>
      <c r="E16" s="63"/>
    </row>
    <row r="17" spans="2:5" x14ac:dyDescent="0.2">
      <c r="B17" s="63" t="s">
        <v>644</v>
      </c>
      <c r="C17" s="63"/>
      <c r="D17" s="63"/>
      <c r="E17" s="63"/>
    </row>
    <row r="18" spans="2:5" x14ac:dyDescent="0.2">
      <c r="B18" s="63" t="s">
        <v>645</v>
      </c>
      <c r="C18" s="63"/>
      <c r="D18" s="63"/>
      <c r="E18" s="63"/>
    </row>
    <row r="19" spans="2:5" x14ac:dyDescent="0.2">
      <c r="B19" s="63" t="s">
        <v>646</v>
      </c>
      <c r="C19" s="63"/>
      <c r="D19" s="63"/>
      <c r="E19" s="63"/>
    </row>
    <row r="20" spans="2:5" x14ac:dyDescent="0.2">
      <c r="B20" s="63" t="s">
        <v>647</v>
      </c>
      <c r="C20" s="63"/>
      <c r="D20" s="63"/>
      <c r="E20" s="63"/>
    </row>
    <row r="21" spans="2:5" x14ac:dyDescent="0.2">
      <c r="B21" s="63" t="s">
        <v>648</v>
      </c>
      <c r="C21" s="63"/>
      <c r="D21" s="63"/>
      <c r="E21" s="63"/>
    </row>
    <row r="22" spans="2:5" x14ac:dyDescent="0.2">
      <c r="B22" s="63" t="s">
        <v>649</v>
      </c>
      <c r="C22" s="63"/>
      <c r="D22" s="63"/>
      <c r="E22" s="63"/>
    </row>
    <row r="23" spans="2:5" x14ac:dyDescent="0.2">
      <c r="B23" s="63" t="s">
        <v>650</v>
      </c>
      <c r="C23" s="63"/>
      <c r="D23" s="63"/>
      <c r="E23" s="63"/>
    </row>
  </sheetData>
  <sheetProtection algorithmName="SHA-512" hashValue="5UpyO8K9gIssDQmwZAqVvM+SdztlZ0rTb4+SwbAbacFHDhhiVisAxXISbSu+SshrmJM8q3FhoPqM6zxVK2n0GQ==" saltValue="K3QF4wfzfue2/n7cAF7BCw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revision>0</cp:revision>
  <dcterms:created xsi:type="dcterms:W3CDTF">2021-11-12T12:13:19Z</dcterms:created>
  <dcterms:modified xsi:type="dcterms:W3CDTF">2023-11-21T10:32:33Z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