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75" windowHeight="12045" tabRatio="50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заказа'!$B$18:$X$464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заказа'!$V$460:$V$460</definedName>
    <definedName name="GrossWeightTotalR">'Бланк заказа'!$W$460:$W$460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заказа'!$V$461:$V$461</definedName>
    <definedName name="PalletQtyTotalR">'Бланк заказа'!$W$461:$W$461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заказа'!$B$238:$B$238</definedName>
    <definedName name="ProductId136">'Бланк заказа'!$B$239:$B$239</definedName>
    <definedName name="ProductId137">'Бланк заказа'!$B$240:$B$240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заказа'!$B$250:$B$250</definedName>
    <definedName name="ProductId142">'Бланк заказа'!$B$251:$B$251</definedName>
    <definedName name="ProductId143">'Бланк заказа'!$B$252:$B$252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заказа'!$B$267:$B$267</definedName>
    <definedName name="ProductId152">'Бланк заказа'!$B$268:$B$268</definedName>
    <definedName name="ProductId153">'Бланк заказа'!$B$273:$B$273</definedName>
    <definedName name="ProductId154">'Бланк заказа'!$B$277:$B$277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заказа'!$B$306:$B$306</definedName>
    <definedName name="ProductId17">'Бланк заказа'!$B$63:$B$63</definedName>
    <definedName name="ProductId170">'Бланк заказа'!$B$310:$B$310</definedName>
    <definedName name="ProductId171">'Бланк заказа'!$B$314:$B$314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заказа'!$B$322:$B$322</definedName>
    <definedName name="ProductId176">'Бланк заказа'!$B$326:$B$326</definedName>
    <definedName name="ProductId177">'Бланк заказа'!$B$327:$B$327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заказа'!$B$338:$B$338</definedName>
    <definedName name="ProductId183">'Бланк заказа'!$B$344:$B$344</definedName>
    <definedName name="ProductId184">'Бланк заказа'!$B$345:$B$345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заказа'!$B$372:$B$372</definedName>
    <definedName name="ProductId203">'Бланк заказа'!$B$376:$B$376</definedName>
    <definedName name="ProductId204">'Бланк заказа'!$B$381:$B$381</definedName>
    <definedName name="ProductId205">'Бланк заказа'!$B$382:$B$382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заказа'!$B$396:$B$396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заказа'!$B$409:$B$409</definedName>
    <definedName name="ProductId222">'Бланк заказа'!$B$410:$B$410</definedName>
    <definedName name="ProductId223">'Бланк заказа'!$B$414:$B$414</definedName>
    <definedName name="ProductId224">'Бланк заказа'!$B$415:$B$415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заказа'!$B$424:$B$424</definedName>
    <definedName name="ProductId231">'Бланк заказа'!$B$428:$B$428</definedName>
    <definedName name="ProductId232">'Бланк заказа'!$B$429:$B$429</definedName>
    <definedName name="ProductId233">'Бланк заказа'!$B$435:$B$435</definedName>
    <definedName name="ProductId234">'Бланк заказа'!$B$436:$B$436</definedName>
    <definedName name="ProductId235">'Бланк заказа'!$B$440:$B$440</definedName>
    <definedName name="ProductId236">'Бланк заказа'!$B$441:$B$441</definedName>
    <definedName name="ProductId237">'Бланк заказа'!$B$445:$B$445</definedName>
    <definedName name="ProductId238">'Бланк заказа'!$B$446:$B$446</definedName>
    <definedName name="ProductId239">'Бланк заказа'!$B$450:$B$450</definedName>
    <definedName name="ProductId24">'Бланк заказа'!$B$70:$B$70</definedName>
    <definedName name="ProductId240">'Бланк заказа'!$B$451:$B$451</definedName>
    <definedName name="ProductId241">'Бланк заказа'!$B$456:$B$456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заказа'!$V$238:$V$238</definedName>
    <definedName name="SalesQty136">'Бланк заказа'!$V$239:$V$239</definedName>
    <definedName name="SalesQty137">'Бланк заказа'!$V$240:$V$240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заказа'!$V$250:$V$250</definedName>
    <definedName name="SalesQty142">'Бланк заказа'!$V$251:$V$251</definedName>
    <definedName name="SalesQty143">'Бланк заказа'!$V$252:$V$252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заказа'!$V$267:$V$267</definedName>
    <definedName name="SalesQty152">'Бланк заказа'!$V$268:$V$268</definedName>
    <definedName name="SalesQty153">'Бланк заказа'!$V$273:$V$273</definedName>
    <definedName name="SalesQty154">'Бланк заказа'!$V$277:$V$277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заказа'!$V$306:$V$306</definedName>
    <definedName name="SalesQty17">'Бланк заказа'!$V$63:$V$63</definedName>
    <definedName name="SalesQty170">'Бланк заказа'!$V$310:$V$310</definedName>
    <definedName name="SalesQty171">'Бланк заказа'!$V$314:$V$314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заказа'!$V$322:$V$322</definedName>
    <definedName name="SalesQty176">'Бланк заказа'!$V$326:$V$326</definedName>
    <definedName name="SalesQty177">'Бланк заказа'!$V$327:$V$327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заказа'!$V$338:$V$338</definedName>
    <definedName name="SalesQty183">'Бланк заказа'!$V$344:$V$344</definedName>
    <definedName name="SalesQty184">'Бланк заказа'!$V$345:$V$345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заказа'!$V$372:$V$372</definedName>
    <definedName name="SalesQty203">'Бланк заказа'!$V$376:$V$376</definedName>
    <definedName name="SalesQty204">'Бланк заказа'!$V$381:$V$381</definedName>
    <definedName name="SalesQty205">'Бланк заказа'!$V$382:$V$382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заказа'!$V$396:$V$396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заказа'!$V$409:$V$409</definedName>
    <definedName name="SalesQty222">'Бланк заказа'!$V$410:$V$410</definedName>
    <definedName name="SalesQty223">'Бланк заказа'!$V$414:$V$414</definedName>
    <definedName name="SalesQty224">'Бланк заказа'!$V$415:$V$415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заказа'!$V$424:$V$424</definedName>
    <definedName name="SalesQty231">'Бланк заказа'!$V$428:$V$428</definedName>
    <definedName name="SalesQty232">'Бланк заказа'!$V$429:$V$429</definedName>
    <definedName name="SalesQty233">'Бланк заказа'!$V$435:$V$435</definedName>
    <definedName name="SalesQty234">'Бланк заказа'!$V$436:$V$436</definedName>
    <definedName name="SalesQty235">'Бланк заказа'!$V$440:$V$440</definedName>
    <definedName name="SalesQty236">'Бланк заказа'!$V$441:$V$441</definedName>
    <definedName name="SalesQty237">'Бланк заказа'!$V$445:$V$445</definedName>
    <definedName name="SalesQty238">'Бланк заказа'!$V$446:$V$446</definedName>
    <definedName name="SalesQty239">'Бланк заказа'!$V$450:$V$450</definedName>
    <definedName name="SalesQty24">'Бланк заказа'!$V$70:$V$70</definedName>
    <definedName name="SalesQty240">'Бланк заказа'!$V$451:$V$451</definedName>
    <definedName name="SalesQty241">'Бланк заказа'!$V$456:$V$456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заказа'!$W$238:$W$238</definedName>
    <definedName name="SalesRoundBox136">'Бланк заказа'!$W$239:$W$239</definedName>
    <definedName name="SalesRoundBox137">'Бланк заказа'!$W$240:$W$240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заказа'!$W$250:$W$250</definedName>
    <definedName name="SalesRoundBox142">'Бланк заказа'!$W$251:$W$251</definedName>
    <definedName name="SalesRoundBox143">'Бланк заказа'!$W$252:$W$252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заказа'!$W$267:$W$267</definedName>
    <definedName name="SalesRoundBox152">'Бланк заказа'!$W$268:$W$268</definedName>
    <definedName name="SalesRoundBox153">'Бланк заказа'!$W$273:$W$273</definedName>
    <definedName name="SalesRoundBox154">'Бланк заказа'!$W$277:$W$277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заказа'!$W$306:$W$306</definedName>
    <definedName name="SalesRoundBox17">'Бланк заказа'!$W$63:$W$63</definedName>
    <definedName name="SalesRoundBox170">'Бланк заказа'!$W$310:$W$310</definedName>
    <definedName name="SalesRoundBox171">'Бланк заказа'!$W$314:$W$314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заказа'!$W$322:$W$322</definedName>
    <definedName name="SalesRoundBox176">'Бланк заказа'!$W$326:$W$326</definedName>
    <definedName name="SalesRoundBox177">'Бланк заказа'!$W$327:$W$327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заказа'!$W$338:$W$338</definedName>
    <definedName name="SalesRoundBox183">'Бланк заказа'!$W$344:$W$344</definedName>
    <definedName name="SalesRoundBox184">'Бланк заказа'!$W$345:$W$345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заказа'!$W$372:$W$372</definedName>
    <definedName name="SalesRoundBox203">'Бланк заказа'!$W$376:$W$376</definedName>
    <definedName name="SalesRoundBox204">'Бланк заказа'!$W$381:$W$381</definedName>
    <definedName name="SalesRoundBox205">'Бланк заказа'!$W$382:$W$382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заказа'!$W$396:$W$396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заказа'!$W$409:$W$409</definedName>
    <definedName name="SalesRoundBox222">'Бланк заказа'!$W$410:$W$410</definedName>
    <definedName name="SalesRoundBox223">'Бланк заказа'!$W$414:$W$414</definedName>
    <definedName name="SalesRoundBox224">'Бланк заказа'!$W$415:$W$415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заказа'!$W$424:$W$424</definedName>
    <definedName name="SalesRoundBox231">'Бланк заказа'!$W$428:$W$428</definedName>
    <definedName name="SalesRoundBox232">'Бланк заказа'!$W$429:$W$429</definedName>
    <definedName name="SalesRoundBox233">'Бланк заказа'!$W$435:$W$435</definedName>
    <definedName name="SalesRoundBox234">'Бланк заказа'!$W$436:$W$436</definedName>
    <definedName name="SalesRoundBox235">'Бланк заказа'!$W$440:$W$440</definedName>
    <definedName name="SalesRoundBox236">'Бланк заказа'!$W$441:$W$441</definedName>
    <definedName name="SalesRoundBox237">'Бланк заказа'!$W$445:$W$445</definedName>
    <definedName name="SalesRoundBox238">'Бланк заказа'!$W$446:$W$446</definedName>
    <definedName name="SalesRoundBox239">'Бланк заказа'!$W$450:$W$450</definedName>
    <definedName name="SalesRoundBox24">'Бланк заказа'!$W$70:$W$70</definedName>
    <definedName name="SalesRoundBox240">'Бланк заказа'!$W$451:$W$451</definedName>
    <definedName name="SalesRoundBox241">'Бланк заказа'!$W$456:$W$456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заказа'!$U$238:$U$238</definedName>
    <definedName name="UnitOfMeasure136">'Бланк заказа'!$U$239:$U$239</definedName>
    <definedName name="UnitOfMeasure137">'Бланк заказа'!$U$240:$U$240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заказа'!$U$250:$U$250</definedName>
    <definedName name="UnitOfMeasure142">'Бланк заказа'!$U$251:$U$251</definedName>
    <definedName name="UnitOfMeasure143">'Бланк заказа'!$U$252:$U$252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заказа'!$U$267:$U$267</definedName>
    <definedName name="UnitOfMeasure152">'Бланк заказа'!$U$268:$U$268</definedName>
    <definedName name="UnitOfMeasure153">'Бланк заказа'!$U$273:$U$273</definedName>
    <definedName name="UnitOfMeasure154">'Бланк заказа'!$U$277:$U$277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заказа'!$U$306:$U$306</definedName>
    <definedName name="UnitOfMeasure17">'Бланк заказа'!$U$63:$U$63</definedName>
    <definedName name="UnitOfMeasure170">'Бланк заказа'!$U$310:$U$310</definedName>
    <definedName name="UnitOfMeasure171">'Бланк заказа'!$U$314:$U$314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заказа'!$U$322:$U$322</definedName>
    <definedName name="UnitOfMeasure176">'Бланк заказа'!$U$326:$U$326</definedName>
    <definedName name="UnitOfMeasure177">'Бланк заказа'!$U$327:$U$327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заказа'!$U$338:$U$338</definedName>
    <definedName name="UnitOfMeasure183">'Бланк заказа'!$U$344:$U$344</definedName>
    <definedName name="UnitOfMeasure184">'Бланк заказа'!$U$345:$U$345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заказа'!$U$372:$U$372</definedName>
    <definedName name="UnitOfMeasure203">'Бланк заказа'!$U$376:$U$376</definedName>
    <definedName name="UnitOfMeasure204">'Бланк заказа'!$U$381:$U$381</definedName>
    <definedName name="UnitOfMeasure205">'Бланк заказа'!$U$382:$U$382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заказа'!$U$396:$U$396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заказа'!$U$409:$U$409</definedName>
    <definedName name="UnitOfMeasure222">'Бланк заказа'!$U$410:$U$410</definedName>
    <definedName name="UnitOfMeasure223">'Бланк заказа'!$U$414:$U$414</definedName>
    <definedName name="UnitOfMeasure224">'Бланк заказа'!$U$415:$U$415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заказа'!$U$424:$U$424</definedName>
    <definedName name="UnitOfMeasure231">'Бланк заказа'!$U$428:$U$428</definedName>
    <definedName name="UnitOfMeasure232">'Бланк заказа'!$U$429:$U$429</definedName>
    <definedName name="UnitOfMeasure233">'Бланк заказа'!$U$435:$U$435</definedName>
    <definedName name="UnitOfMeasure234">'Бланк заказа'!$U$436:$U$436</definedName>
    <definedName name="UnitOfMeasure235">'Бланк заказа'!$U$440:$U$440</definedName>
    <definedName name="UnitOfMeasure236">'Бланк заказа'!$U$441:$U$441</definedName>
    <definedName name="UnitOfMeasure237">'Бланк заказа'!$U$445:$U$445</definedName>
    <definedName name="UnitOfMeasure238">'Бланк заказа'!$U$446:$U$446</definedName>
    <definedName name="UnitOfMeasure239">'Бланк заказа'!$U$450:$U$450</definedName>
    <definedName name="UnitOfMeasure24">'Бланк заказа'!$U$70:$U$70</definedName>
    <definedName name="UnitOfMeasure240">'Бланк заказа'!$U$451:$U$451</definedName>
    <definedName name="UnitOfMeasure241">'Бланк заказа'!$U$456:$U$456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D469" i="1" l="1"/>
  <c r="V461" i="1"/>
  <c r="V460" i="1"/>
  <c r="V462" i="1" s="1"/>
  <c r="V458" i="1"/>
  <c r="W457" i="1"/>
  <c r="V457" i="1"/>
  <c r="W456" i="1"/>
  <c r="N456" i="1"/>
  <c r="V453" i="1"/>
  <c r="V452" i="1"/>
  <c r="W451" i="1"/>
  <c r="X451" i="1" s="1"/>
  <c r="X450" i="1"/>
  <c r="X452" i="1" s="1"/>
  <c r="W450" i="1"/>
  <c r="V448" i="1"/>
  <c r="V447" i="1"/>
  <c r="W446" i="1"/>
  <c r="X446" i="1" s="1"/>
  <c r="W445" i="1"/>
  <c r="W443" i="1"/>
  <c r="V443" i="1"/>
  <c r="V442" i="1"/>
  <c r="X441" i="1"/>
  <c r="W441" i="1"/>
  <c r="W440" i="1"/>
  <c r="W438" i="1"/>
  <c r="V438" i="1"/>
  <c r="V437" i="1"/>
  <c r="W436" i="1"/>
  <c r="X436" i="1" s="1"/>
  <c r="W435" i="1"/>
  <c r="V431" i="1"/>
  <c r="W430" i="1"/>
  <c r="V430" i="1"/>
  <c r="W429" i="1"/>
  <c r="X429" i="1" s="1"/>
  <c r="N429" i="1"/>
  <c r="W428" i="1"/>
  <c r="W431" i="1" s="1"/>
  <c r="N428" i="1"/>
  <c r="V426" i="1"/>
  <c r="V425" i="1"/>
  <c r="W424" i="1"/>
  <c r="X424" i="1" s="1"/>
  <c r="X423" i="1"/>
  <c r="W423" i="1"/>
  <c r="W422" i="1"/>
  <c r="X422" i="1" s="1"/>
  <c r="W421" i="1"/>
  <c r="X421" i="1" s="1"/>
  <c r="N421" i="1"/>
  <c r="W420" i="1"/>
  <c r="X420" i="1" s="1"/>
  <c r="N420" i="1"/>
  <c r="W419" i="1"/>
  <c r="X419" i="1" s="1"/>
  <c r="N419" i="1"/>
  <c r="W417" i="1"/>
  <c r="V417" i="1"/>
  <c r="W416" i="1"/>
  <c r="V416" i="1"/>
  <c r="W415" i="1"/>
  <c r="X415" i="1" s="1"/>
  <c r="N415" i="1"/>
  <c r="X414" i="1"/>
  <c r="X416" i="1" s="1"/>
  <c r="W414" i="1"/>
  <c r="N414" i="1"/>
  <c r="V412" i="1"/>
  <c r="V411" i="1"/>
  <c r="X410" i="1"/>
  <c r="W410" i="1"/>
  <c r="N410" i="1"/>
  <c r="W409" i="1"/>
  <c r="X409" i="1" s="1"/>
  <c r="N409" i="1"/>
  <c r="W408" i="1"/>
  <c r="X408" i="1" s="1"/>
  <c r="N408" i="1"/>
  <c r="W407" i="1"/>
  <c r="X407" i="1" s="1"/>
  <c r="N407" i="1"/>
  <c r="X406" i="1"/>
  <c r="W406" i="1"/>
  <c r="N406" i="1"/>
  <c r="W405" i="1"/>
  <c r="X405" i="1" s="1"/>
  <c r="N405" i="1"/>
  <c r="W404" i="1"/>
  <c r="X404" i="1" s="1"/>
  <c r="N404" i="1"/>
  <c r="W403" i="1"/>
  <c r="X403" i="1" s="1"/>
  <c r="N403" i="1"/>
  <c r="X402" i="1"/>
  <c r="W402" i="1"/>
  <c r="N402" i="1"/>
  <c r="W398" i="1"/>
  <c r="V398" i="1"/>
  <c r="W397" i="1"/>
  <c r="V397" i="1"/>
  <c r="X396" i="1"/>
  <c r="X397" i="1" s="1"/>
  <c r="W396" i="1"/>
  <c r="N396" i="1"/>
  <c r="W394" i="1"/>
  <c r="V394" i="1"/>
  <c r="V393" i="1"/>
  <c r="X392" i="1"/>
  <c r="W392" i="1"/>
  <c r="N392" i="1"/>
  <c r="X391" i="1"/>
  <c r="W391" i="1"/>
  <c r="N391" i="1"/>
  <c r="W390" i="1"/>
  <c r="X390" i="1" s="1"/>
  <c r="N390" i="1"/>
  <c r="W389" i="1"/>
  <c r="X389" i="1" s="1"/>
  <c r="X388" i="1"/>
  <c r="W388" i="1"/>
  <c r="N388" i="1"/>
  <c r="W387" i="1"/>
  <c r="X387" i="1" s="1"/>
  <c r="N387" i="1"/>
  <c r="W386" i="1"/>
  <c r="X386" i="1" s="1"/>
  <c r="N386" i="1"/>
  <c r="W384" i="1"/>
  <c r="V384" i="1"/>
  <c r="W383" i="1"/>
  <c r="V383" i="1"/>
  <c r="W382" i="1"/>
  <c r="X382" i="1" s="1"/>
  <c r="N382" i="1"/>
  <c r="X381" i="1"/>
  <c r="X383" i="1" s="1"/>
  <c r="W381" i="1"/>
  <c r="N381" i="1"/>
  <c r="W378" i="1"/>
  <c r="V378" i="1"/>
  <c r="W377" i="1"/>
  <c r="V377" i="1"/>
  <c r="X376" i="1"/>
  <c r="X377" i="1" s="1"/>
  <c r="W376" i="1"/>
  <c r="V374" i="1"/>
  <c r="V373" i="1"/>
  <c r="W372" i="1"/>
  <c r="N372" i="1"/>
  <c r="V370" i="1"/>
  <c r="V369" i="1"/>
  <c r="W368" i="1"/>
  <c r="X368" i="1" s="1"/>
  <c r="N368" i="1"/>
  <c r="W367" i="1"/>
  <c r="X367" i="1" s="1"/>
  <c r="N367" i="1"/>
  <c r="W366" i="1"/>
  <c r="X366" i="1" s="1"/>
  <c r="N366" i="1"/>
  <c r="X365" i="1"/>
  <c r="W365" i="1"/>
  <c r="N365" i="1"/>
  <c r="V363" i="1"/>
  <c r="V362" i="1"/>
  <c r="X361" i="1"/>
  <c r="W361" i="1"/>
  <c r="W360" i="1"/>
  <c r="X360" i="1" s="1"/>
  <c r="N360" i="1"/>
  <c r="W359" i="1"/>
  <c r="X359" i="1" s="1"/>
  <c r="N359" i="1"/>
  <c r="X358" i="1"/>
  <c r="W358" i="1"/>
  <c r="N358" i="1"/>
  <c r="W357" i="1"/>
  <c r="X357" i="1" s="1"/>
  <c r="N357" i="1"/>
  <c r="W356" i="1"/>
  <c r="X356" i="1" s="1"/>
  <c r="N356" i="1"/>
  <c r="W355" i="1"/>
  <c r="X355" i="1" s="1"/>
  <c r="N355" i="1"/>
  <c r="X354" i="1"/>
  <c r="W354" i="1"/>
  <c r="N354" i="1"/>
  <c r="W353" i="1"/>
  <c r="X353" i="1" s="1"/>
  <c r="N353" i="1"/>
  <c r="W352" i="1"/>
  <c r="X352" i="1" s="1"/>
  <c r="N352" i="1"/>
  <c r="W351" i="1"/>
  <c r="X351" i="1" s="1"/>
  <c r="N351" i="1"/>
  <c r="X350" i="1"/>
  <c r="W350" i="1"/>
  <c r="N350" i="1"/>
  <c r="W349" i="1"/>
  <c r="N349" i="1"/>
  <c r="V347" i="1"/>
  <c r="V346" i="1"/>
  <c r="W345" i="1"/>
  <c r="X345" i="1" s="1"/>
  <c r="N345" i="1"/>
  <c r="W344" i="1"/>
  <c r="N344" i="1"/>
  <c r="V340" i="1"/>
  <c r="V339" i="1"/>
  <c r="W338" i="1"/>
  <c r="N338" i="1"/>
  <c r="V336" i="1"/>
  <c r="W335" i="1"/>
  <c r="V335" i="1"/>
  <c r="W334" i="1"/>
  <c r="X334" i="1" s="1"/>
  <c r="N334" i="1"/>
  <c r="W333" i="1"/>
  <c r="X333" i="1" s="1"/>
  <c r="N333" i="1"/>
  <c r="X332" i="1"/>
  <c r="W332" i="1"/>
  <c r="N332" i="1"/>
  <c r="W331" i="1"/>
  <c r="W336" i="1" s="1"/>
  <c r="N331" i="1"/>
  <c r="V329" i="1"/>
  <c r="V328" i="1"/>
  <c r="W327" i="1"/>
  <c r="X327" i="1" s="1"/>
  <c r="N327" i="1"/>
  <c r="W326" i="1"/>
  <c r="N326" i="1"/>
  <c r="V324" i="1"/>
  <c r="V323" i="1"/>
  <c r="W322" i="1"/>
  <c r="X322" i="1" s="1"/>
  <c r="N322" i="1"/>
  <c r="W321" i="1"/>
  <c r="X321" i="1" s="1"/>
  <c r="N321" i="1"/>
  <c r="X320" i="1"/>
  <c r="W320" i="1"/>
  <c r="N320" i="1"/>
  <c r="W319" i="1"/>
  <c r="N319" i="1"/>
  <c r="W316" i="1"/>
  <c r="V316" i="1"/>
  <c r="X315" i="1"/>
  <c r="V315" i="1"/>
  <c r="X314" i="1"/>
  <c r="W314" i="1"/>
  <c r="W315" i="1" s="1"/>
  <c r="N314" i="1"/>
  <c r="V312" i="1"/>
  <c r="V311" i="1"/>
  <c r="W310" i="1"/>
  <c r="W311" i="1" s="1"/>
  <c r="N310" i="1"/>
  <c r="V308" i="1"/>
  <c r="V307" i="1"/>
  <c r="X306" i="1"/>
  <c r="W306" i="1"/>
  <c r="N306" i="1"/>
  <c r="W305" i="1"/>
  <c r="X305" i="1" s="1"/>
  <c r="N305" i="1"/>
  <c r="W304" i="1"/>
  <c r="V302" i="1"/>
  <c r="V301" i="1"/>
  <c r="X300" i="1"/>
  <c r="W300" i="1"/>
  <c r="N300" i="1"/>
  <c r="X299" i="1"/>
  <c r="W299" i="1"/>
  <c r="N299" i="1"/>
  <c r="W298" i="1"/>
  <c r="X298" i="1" s="1"/>
  <c r="X297" i="1"/>
  <c r="W297" i="1"/>
  <c r="N297" i="1"/>
  <c r="X296" i="1"/>
  <c r="W296" i="1"/>
  <c r="N296" i="1"/>
  <c r="W295" i="1"/>
  <c r="X295" i="1" s="1"/>
  <c r="N295" i="1"/>
  <c r="W294" i="1"/>
  <c r="N294" i="1"/>
  <c r="X293" i="1"/>
  <c r="W293" i="1"/>
  <c r="N293" i="1"/>
  <c r="W289" i="1"/>
  <c r="V289" i="1"/>
  <c r="W288" i="1"/>
  <c r="V288" i="1"/>
  <c r="X287" i="1"/>
  <c r="X288" i="1" s="1"/>
  <c r="W287" i="1"/>
  <c r="N287" i="1"/>
  <c r="W285" i="1"/>
  <c r="V285" i="1"/>
  <c r="W284" i="1"/>
  <c r="V284" i="1"/>
  <c r="X283" i="1"/>
  <c r="X284" i="1" s="1"/>
  <c r="W283" i="1"/>
  <c r="N283" i="1"/>
  <c r="V281" i="1"/>
  <c r="V280" i="1"/>
  <c r="X279" i="1"/>
  <c r="W279" i="1"/>
  <c r="W278" i="1"/>
  <c r="X278" i="1" s="1"/>
  <c r="N278" i="1"/>
  <c r="W277" i="1"/>
  <c r="N277" i="1"/>
  <c r="W275" i="1"/>
  <c r="V275" i="1"/>
  <c r="X274" i="1"/>
  <c r="W274" i="1"/>
  <c r="V274" i="1"/>
  <c r="W273" i="1"/>
  <c r="X273" i="1" s="1"/>
  <c r="N273" i="1"/>
  <c r="V270" i="1"/>
  <c r="W269" i="1"/>
  <c r="V269" i="1"/>
  <c r="W268" i="1"/>
  <c r="X268" i="1" s="1"/>
  <c r="N268" i="1"/>
  <c r="X267" i="1"/>
  <c r="X269" i="1" s="1"/>
  <c r="W267" i="1"/>
  <c r="N267" i="1"/>
  <c r="V265" i="1"/>
  <c r="V264" i="1"/>
  <c r="X263" i="1"/>
  <c r="W263" i="1"/>
  <c r="N263" i="1"/>
  <c r="X262" i="1"/>
  <c r="W262" i="1"/>
  <c r="N262" i="1"/>
  <c r="W261" i="1"/>
  <c r="X261" i="1" s="1"/>
  <c r="N261" i="1"/>
  <c r="W260" i="1"/>
  <c r="X260" i="1" s="1"/>
  <c r="N260" i="1"/>
  <c r="X259" i="1"/>
  <c r="W259" i="1"/>
  <c r="X258" i="1"/>
  <c r="W258" i="1"/>
  <c r="N258" i="1"/>
  <c r="W257" i="1"/>
  <c r="N257" i="1"/>
  <c r="V254" i="1"/>
  <c r="V253" i="1"/>
  <c r="W252" i="1"/>
  <c r="X252" i="1" s="1"/>
  <c r="N252" i="1"/>
  <c r="X251" i="1"/>
  <c r="W251" i="1"/>
  <c r="N251" i="1"/>
  <c r="W250" i="1"/>
  <c r="N250" i="1"/>
  <c r="V248" i="1"/>
  <c r="V247" i="1"/>
  <c r="X246" i="1"/>
  <c r="W246" i="1"/>
  <c r="W245" i="1"/>
  <c r="X245" i="1" s="1"/>
  <c r="W244" i="1"/>
  <c r="V242" i="1"/>
  <c r="V241" i="1"/>
  <c r="W240" i="1"/>
  <c r="X240" i="1" s="1"/>
  <c r="N240" i="1"/>
  <c r="W239" i="1"/>
  <c r="X239" i="1" s="1"/>
  <c r="N239" i="1"/>
  <c r="X238" i="1"/>
  <c r="X241" i="1" s="1"/>
  <c r="W238" i="1"/>
  <c r="N238" i="1"/>
  <c r="V236" i="1"/>
  <c r="V235" i="1"/>
  <c r="X234" i="1"/>
  <c r="W234" i="1"/>
  <c r="N234" i="1"/>
  <c r="X233" i="1"/>
  <c r="W233" i="1"/>
  <c r="N233" i="1"/>
  <c r="W232" i="1"/>
  <c r="X232" i="1" s="1"/>
  <c r="N232" i="1"/>
  <c r="W231" i="1"/>
  <c r="X231" i="1" s="1"/>
  <c r="N231" i="1"/>
  <c r="X230" i="1"/>
  <c r="W230" i="1"/>
  <c r="X229" i="1"/>
  <c r="W229" i="1"/>
  <c r="N229" i="1"/>
  <c r="W228" i="1"/>
  <c r="X228" i="1" s="1"/>
  <c r="N228" i="1"/>
  <c r="X227" i="1"/>
  <c r="W227" i="1"/>
  <c r="N227" i="1"/>
  <c r="V225" i="1"/>
  <c r="V224" i="1"/>
  <c r="X223" i="1"/>
  <c r="W223" i="1"/>
  <c r="N223" i="1"/>
  <c r="W222" i="1"/>
  <c r="N222" i="1"/>
  <c r="X221" i="1"/>
  <c r="W221" i="1"/>
  <c r="N221" i="1"/>
  <c r="W220" i="1"/>
  <c r="X220" i="1" s="1"/>
  <c r="N220" i="1"/>
  <c r="V218" i="1"/>
  <c r="V217" i="1"/>
  <c r="W216" i="1"/>
  <c r="N216" i="1"/>
  <c r="V214" i="1"/>
  <c r="V213" i="1"/>
  <c r="W212" i="1"/>
  <c r="X212" i="1" s="1"/>
  <c r="N212" i="1"/>
  <c r="X211" i="1"/>
  <c r="W211" i="1"/>
  <c r="N211" i="1"/>
  <c r="X210" i="1"/>
  <c r="W210" i="1"/>
  <c r="N210" i="1"/>
  <c r="W209" i="1"/>
  <c r="X209" i="1" s="1"/>
  <c r="N209" i="1"/>
  <c r="W208" i="1"/>
  <c r="X208" i="1" s="1"/>
  <c r="N208" i="1"/>
  <c r="X207" i="1"/>
  <c r="W207" i="1"/>
  <c r="N207" i="1"/>
  <c r="W206" i="1"/>
  <c r="X206" i="1" s="1"/>
  <c r="N206" i="1"/>
  <c r="X205" i="1"/>
  <c r="W205" i="1"/>
  <c r="N205" i="1"/>
  <c r="W204" i="1"/>
  <c r="X204" i="1" s="1"/>
  <c r="N204" i="1"/>
  <c r="X203" i="1"/>
  <c r="W203" i="1"/>
  <c r="N203" i="1"/>
  <c r="X202" i="1"/>
  <c r="W202" i="1"/>
  <c r="N202" i="1"/>
  <c r="W201" i="1"/>
  <c r="X201" i="1" s="1"/>
  <c r="N201" i="1"/>
  <c r="W200" i="1"/>
  <c r="X200" i="1" s="1"/>
  <c r="N200" i="1"/>
  <c r="X199" i="1"/>
  <c r="W199" i="1"/>
  <c r="N199" i="1"/>
  <c r="W198" i="1"/>
  <c r="N198" i="1"/>
  <c r="V195" i="1"/>
  <c r="V194" i="1"/>
  <c r="X193" i="1"/>
  <c r="W193" i="1"/>
  <c r="N193" i="1"/>
  <c r="W192" i="1"/>
  <c r="W195" i="1" s="1"/>
  <c r="N192" i="1"/>
  <c r="V190" i="1"/>
  <c r="V189" i="1"/>
  <c r="X188" i="1"/>
  <c r="W188" i="1"/>
  <c r="N188" i="1"/>
  <c r="W187" i="1"/>
  <c r="X187" i="1" s="1"/>
  <c r="N187" i="1"/>
  <c r="X186" i="1"/>
  <c r="W186" i="1"/>
  <c r="N186" i="1"/>
  <c r="X185" i="1"/>
  <c r="W185" i="1"/>
  <c r="N185" i="1"/>
  <c r="W184" i="1"/>
  <c r="X184" i="1" s="1"/>
  <c r="N184" i="1"/>
  <c r="W183" i="1"/>
  <c r="X183" i="1" s="1"/>
  <c r="N183" i="1"/>
  <c r="X182" i="1"/>
  <c r="W182" i="1"/>
  <c r="N182" i="1"/>
  <c r="W181" i="1"/>
  <c r="X181" i="1" s="1"/>
  <c r="N181" i="1"/>
  <c r="X180" i="1"/>
  <c r="W180" i="1"/>
  <c r="N180" i="1"/>
  <c r="W179" i="1"/>
  <c r="X179" i="1" s="1"/>
  <c r="X178" i="1"/>
  <c r="W178" i="1"/>
  <c r="W177" i="1"/>
  <c r="X177" i="1" s="1"/>
  <c r="N177" i="1"/>
  <c r="X176" i="1"/>
  <c r="W176" i="1"/>
  <c r="N176" i="1"/>
  <c r="W175" i="1"/>
  <c r="X175" i="1" s="1"/>
  <c r="W174" i="1"/>
  <c r="X174" i="1" s="1"/>
  <c r="N174" i="1"/>
  <c r="X173" i="1"/>
  <c r="W173" i="1"/>
  <c r="W172" i="1"/>
  <c r="N172" i="1"/>
  <c r="V170" i="1"/>
  <c r="W169" i="1"/>
  <c r="V169" i="1"/>
  <c r="X168" i="1"/>
  <c r="W168" i="1"/>
  <c r="N168" i="1"/>
  <c r="W167" i="1"/>
  <c r="X167" i="1" s="1"/>
  <c r="N167" i="1"/>
  <c r="X166" i="1"/>
  <c r="W166" i="1"/>
  <c r="N166" i="1"/>
  <c r="X165" i="1"/>
  <c r="X169" i="1" s="1"/>
  <c r="W165" i="1"/>
  <c r="W170" i="1" s="1"/>
  <c r="N165" i="1"/>
  <c r="V163" i="1"/>
  <c r="V162" i="1"/>
  <c r="W161" i="1"/>
  <c r="X161" i="1" s="1"/>
  <c r="N161" i="1"/>
  <c r="X160" i="1"/>
  <c r="W160" i="1"/>
  <c r="W158" i="1"/>
  <c r="V158" i="1"/>
  <c r="X157" i="1"/>
  <c r="V157" i="1"/>
  <c r="W156" i="1"/>
  <c r="X156" i="1" s="1"/>
  <c r="N156" i="1"/>
  <c r="X155" i="1"/>
  <c r="W155" i="1"/>
  <c r="N155" i="1"/>
  <c r="V152" i="1"/>
  <c r="V151" i="1"/>
  <c r="X150" i="1"/>
  <c r="W150" i="1"/>
  <c r="N150" i="1"/>
  <c r="W149" i="1"/>
  <c r="X149" i="1" s="1"/>
  <c r="N149" i="1"/>
  <c r="X148" i="1"/>
  <c r="W148" i="1"/>
  <c r="N148" i="1"/>
  <c r="W147" i="1"/>
  <c r="X147" i="1" s="1"/>
  <c r="N147" i="1"/>
  <c r="W146" i="1"/>
  <c r="X146" i="1" s="1"/>
  <c r="N146" i="1"/>
  <c r="X145" i="1"/>
  <c r="W145" i="1"/>
  <c r="N145" i="1"/>
  <c r="W144" i="1"/>
  <c r="N144" i="1"/>
  <c r="X143" i="1"/>
  <c r="W143" i="1"/>
  <c r="N143" i="1"/>
  <c r="V140" i="1"/>
  <c r="W139" i="1"/>
  <c r="V139" i="1"/>
  <c r="X138" i="1"/>
  <c r="W138" i="1"/>
  <c r="N138" i="1"/>
  <c r="W137" i="1"/>
  <c r="X137" i="1" s="1"/>
  <c r="N137" i="1"/>
  <c r="X136" i="1"/>
  <c r="X139" i="1" s="1"/>
  <c r="W136" i="1"/>
  <c r="N136" i="1"/>
  <c r="V132" i="1"/>
  <c r="V131" i="1"/>
  <c r="X130" i="1"/>
  <c r="W130" i="1"/>
  <c r="N130" i="1"/>
  <c r="W129" i="1"/>
  <c r="N129" i="1"/>
  <c r="X128" i="1"/>
  <c r="W128" i="1"/>
  <c r="N128" i="1"/>
  <c r="V125" i="1"/>
  <c r="V124" i="1"/>
  <c r="X123" i="1"/>
  <c r="W123" i="1"/>
  <c r="X122" i="1"/>
  <c r="W122" i="1"/>
  <c r="N122" i="1"/>
  <c r="W121" i="1"/>
  <c r="X121" i="1" s="1"/>
  <c r="W120" i="1"/>
  <c r="X120" i="1" s="1"/>
  <c r="N120" i="1"/>
  <c r="X119" i="1"/>
  <c r="W119" i="1"/>
  <c r="W125" i="1" s="1"/>
  <c r="N119" i="1"/>
  <c r="V117" i="1"/>
  <c r="V116" i="1"/>
  <c r="X115" i="1"/>
  <c r="W115" i="1"/>
  <c r="X114" i="1"/>
  <c r="W114" i="1"/>
  <c r="N114" i="1"/>
  <c r="W113" i="1"/>
  <c r="X113" i="1" s="1"/>
  <c r="W112" i="1"/>
  <c r="X112" i="1" s="1"/>
  <c r="W111" i="1"/>
  <c r="X111" i="1" s="1"/>
  <c r="W110" i="1"/>
  <c r="X110" i="1" s="1"/>
  <c r="W109" i="1"/>
  <c r="X109" i="1" s="1"/>
  <c r="N109" i="1"/>
  <c r="X108" i="1"/>
  <c r="W108" i="1"/>
  <c r="N108" i="1"/>
  <c r="W107" i="1"/>
  <c r="X107" i="1" s="1"/>
  <c r="W106" i="1"/>
  <c r="X106" i="1" s="1"/>
  <c r="V104" i="1"/>
  <c r="V103" i="1"/>
  <c r="X102" i="1"/>
  <c r="W102" i="1"/>
  <c r="X101" i="1"/>
  <c r="W101" i="1"/>
  <c r="X100" i="1"/>
  <c r="W100" i="1"/>
  <c r="N100" i="1"/>
  <c r="W99" i="1"/>
  <c r="X99" i="1" s="1"/>
  <c r="N99" i="1"/>
  <c r="X98" i="1"/>
  <c r="W98" i="1"/>
  <c r="N98" i="1"/>
  <c r="W97" i="1"/>
  <c r="X97" i="1" s="1"/>
  <c r="N97" i="1"/>
  <c r="X96" i="1"/>
  <c r="W96" i="1"/>
  <c r="N96" i="1"/>
  <c r="W95" i="1"/>
  <c r="X95" i="1" s="1"/>
  <c r="N95" i="1"/>
  <c r="X94" i="1"/>
  <c r="W94" i="1"/>
  <c r="N94" i="1"/>
  <c r="W93" i="1"/>
  <c r="X93" i="1" s="1"/>
  <c r="X103" i="1" s="1"/>
  <c r="N93" i="1"/>
  <c r="V91" i="1"/>
  <c r="V90" i="1"/>
  <c r="W89" i="1"/>
  <c r="X89" i="1" s="1"/>
  <c r="N89" i="1"/>
  <c r="X88" i="1"/>
  <c r="W88" i="1"/>
  <c r="N88" i="1"/>
  <c r="W87" i="1"/>
  <c r="X87" i="1" s="1"/>
  <c r="W86" i="1"/>
  <c r="X86" i="1" s="1"/>
  <c r="W85" i="1"/>
  <c r="X85" i="1" s="1"/>
  <c r="W84" i="1"/>
  <c r="X84" i="1" s="1"/>
  <c r="N84" i="1"/>
  <c r="X83" i="1"/>
  <c r="W83" i="1"/>
  <c r="W90" i="1" s="1"/>
  <c r="V81" i="1"/>
  <c r="V80" i="1"/>
  <c r="W79" i="1"/>
  <c r="X79" i="1" s="1"/>
  <c r="N79" i="1"/>
  <c r="X78" i="1"/>
  <c r="W78" i="1"/>
  <c r="N78" i="1"/>
  <c r="W77" i="1"/>
  <c r="X77" i="1" s="1"/>
  <c r="N77" i="1"/>
  <c r="X76" i="1"/>
  <c r="W76" i="1"/>
  <c r="N76" i="1"/>
  <c r="W75" i="1"/>
  <c r="X75" i="1" s="1"/>
  <c r="W74" i="1"/>
  <c r="X74" i="1" s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X65" i="1" s="1"/>
  <c r="N65" i="1"/>
  <c r="X64" i="1"/>
  <c r="W64" i="1"/>
  <c r="N64" i="1"/>
  <c r="W63" i="1"/>
  <c r="V60" i="1"/>
  <c r="V59" i="1"/>
  <c r="X58" i="1"/>
  <c r="W58" i="1"/>
  <c r="X57" i="1"/>
  <c r="W57" i="1"/>
  <c r="N57" i="1"/>
  <c r="W56" i="1"/>
  <c r="X56" i="1" s="1"/>
  <c r="N56" i="1"/>
  <c r="X55" i="1"/>
  <c r="W55" i="1"/>
  <c r="W60" i="1" s="1"/>
  <c r="V52" i="1"/>
  <c r="V51" i="1"/>
  <c r="W50" i="1"/>
  <c r="N50" i="1"/>
  <c r="X49" i="1"/>
  <c r="W49" i="1"/>
  <c r="N49" i="1"/>
  <c r="V45" i="1"/>
  <c r="W44" i="1"/>
  <c r="V44" i="1"/>
  <c r="X43" i="1"/>
  <c r="X44" i="1" s="1"/>
  <c r="W43" i="1"/>
  <c r="W45" i="1" s="1"/>
  <c r="N43" i="1"/>
  <c r="V41" i="1"/>
  <c r="W40" i="1"/>
  <c r="V40" i="1"/>
  <c r="X39" i="1"/>
  <c r="X40" i="1" s="1"/>
  <c r="W39" i="1"/>
  <c r="W41" i="1" s="1"/>
  <c r="N39" i="1"/>
  <c r="V37" i="1"/>
  <c r="W36" i="1"/>
  <c r="V36" i="1"/>
  <c r="X35" i="1"/>
  <c r="X36" i="1" s="1"/>
  <c r="W35" i="1"/>
  <c r="W37" i="1" s="1"/>
  <c r="N35" i="1"/>
  <c r="V33" i="1"/>
  <c r="W32" i="1"/>
  <c r="V32" i="1"/>
  <c r="X31" i="1"/>
  <c r="W31" i="1"/>
  <c r="N31" i="1"/>
  <c r="W30" i="1"/>
  <c r="X30" i="1" s="1"/>
  <c r="N30" i="1"/>
  <c r="X29" i="1"/>
  <c r="W29" i="1"/>
  <c r="N29" i="1"/>
  <c r="W28" i="1"/>
  <c r="X28" i="1" s="1"/>
  <c r="N28" i="1"/>
  <c r="X27" i="1"/>
  <c r="W27" i="1"/>
  <c r="N27" i="1"/>
  <c r="W26" i="1"/>
  <c r="W33" i="1" s="1"/>
  <c r="N26" i="1"/>
  <c r="W24" i="1"/>
  <c r="V24" i="1"/>
  <c r="V23" i="1"/>
  <c r="W22" i="1"/>
  <c r="W23" i="1" s="1"/>
  <c r="N22" i="1"/>
  <c r="H10" i="1"/>
  <c r="H9" i="1"/>
  <c r="A9" i="1"/>
  <c r="F10" i="1" s="1"/>
  <c r="D7" i="1"/>
  <c r="O6" i="1"/>
  <c r="N2" i="1"/>
  <c r="W52" i="1" l="1"/>
  <c r="X50" i="1"/>
  <c r="X51" i="1" s="1"/>
  <c r="X216" i="1"/>
  <c r="X217" i="1" s="1"/>
  <c r="W217" i="1"/>
  <c r="W218" i="1"/>
  <c r="W254" i="1"/>
  <c r="X250" i="1"/>
  <c r="X253" i="1" s="1"/>
  <c r="X116" i="1"/>
  <c r="X124" i="1"/>
  <c r="W152" i="1"/>
  <c r="X144" i="1"/>
  <c r="X151" i="1" s="1"/>
  <c r="I469" i="1"/>
  <c r="X425" i="1"/>
  <c r="W194" i="1"/>
  <c r="X192" i="1"/>
  <c r="X194" i="1" s="1"/>
  <c r="X277" i="1"/>
  <c r="X280" i="1" s="1"/>
  <c r="W280" i="1"/>
  <c r="W281" i="1"/>
  <c r="O469" i="1"/>
  <c r="W324" i="1"/>
  <c r="W323" i="1"/>
  <c r="X319" i="1"/>
  <c r="X323" i="1" s="1"/>
  <c r="V463" i="1"/>
  <c r="X59" i="1"/>
  <c r="X90" i="1"/>
  <c r="W131" i="1"/>
  <c r="X129" i="1"/>
  <c r="X131" i="1" s="1"/>
  <c r="W189" i="1"/>
  <c r="W224" i="1"/>
  <c r="X222" i="1"/>
  <c r="X224" i="1" s="1"/>
  <c r="X294" i="1"/>
  <c r="X301" i="1" s="1"/>
  <c r="W301" i="1"/>
  <c r="W302" i="1"/>
  <c r="W340" i="1"/>
  <c r="X338" i="1"/>
  <c r="X339" i="1" s="1"/>
  <c r="W339" i="1"/>
  <c r="V459" i="1"/>
  <c r="W91" i="1"/>
  <c r="W124" i="1"/>
  <c r="H469" i="1"/>
  <c r="W151" i="1"/>
  <c r="X162" i="1"/>
  <c r="W225" i="1"/>
  <c r="W253" i="1"/>
  <c r="W308" i="1"/>
  <c r="X369" i="1"/>
  <c r="J9" i="1"/>
  <c r="C469" i="1"/>
  <c r="W104" i="1"/>
  <c r="W117" i="1"/>
  <c r="F469" i="1"/>
  <c r="W132" i="1"/>
  <c r="W157" i="1"/>
  <c r="W162" i="1"/>
  <c r="W163" i="1"/>
  <c r="W236" i="1"/>
  <c r="L469" i="1"/>
  <c r="X257" i="1"/>
  <c r="X264" i="1" s="1"/>
  <c r="W265" i="1"/>
  <c r="N469" i="1"/>
  <c r="W369" i="1"/>
  <c r="R469" i="1"/>
  <c r="W412" i="1"/>
  <c r="W426" i="1"/>
  <c r="W442" i="1"/>
  <c r="X440" i="1"/>
  <c r="X442" i="1" s="1"/>
  <c r="W453" i="1"/>
  <c r="W452" i="1"/>
  <c r="T469" i="1"/>
  <c r="W458" i="1"/>
  <c r="X456" i="1"/>
  <c r="X457" i="1" s="1"/>
  <c r="A10" i="1"/>
  <c r="B469" i="1"/>
  <c r="W460" i="1"/>
  <c r="W59" i="1"/>
  <c r="E469" i="1"/>
  <c r="W81" i="1"/>
  <c r="W459" i="1" s="1"/>
  <c r="W103" i="1"/>
  <c r="W116" i="1"/>
  <c r="W190" i="1"/>
  <c r="J469" i="1"/>
  <c r="W214" i="1"/>
  <c r="W247" i="1"/>
  <c r="W248" i="1"/>
  <c r="W307" i="1"/>
  <c r="X304" i="1"/>
  <c r="X307" i="1" s="1"/>
  <c r="W328" i="1"/>
  <c r="W329" i="1"/>
  <c r="X326" i="1"/>
  <c r="X328" i="1" s="1"/>
  <c r="P469" i="1"/>
  <c r="W346" i="1"/>
  <c r="W347" i="1"/>
  <c r="X344" i="1"/>
  <c r="X346" i="1" s="1"/>
  <c r="W362" i="1"/>
  <c r="W373" i="1"/>
  <c r="W374" i="1"/>
  <c r="X411" i="1"/>
  <c r="S469" i="1"/>
  <c r="W437" i="1"/>
  <c r="W461" i="1"/>
  <c r="M469" i="1"/>
  <c r="F9" i="1"/>
  <c r="X22" i="1"/>
  <c r="X23" i="1" s="1"/>
  <c r="X26" i="1"/>
  <c r="X32" i="1" s="1"/>
  <c r="W51" i="1"/>
  <c r="W463" i="1" s="1"/>
  <c r="X63" i="1"/>
  <c r="X80" i="1" s="1"/>
  <c r="W80" i="1"/>
  <c r="G469" i="1"/>
  <c r="W140" i="1"/>
  <c r="X172" i="1"/>
  <c r="X189" i="1" s="1"/>
  <c r="X198" i="1"/>
  <c r="X213" i="1" s="1"/>
  <c r="W213" i="1"/>
  <c r="X235" i="1"/>
  <c r="W235" i="1"/>
  <c r="W242" i="1"/>
  <c r="W241" i="1"/>
  <c r="X244" i="1"/>
  <c r="X247" i="1" s="1"/>
  <c r="W264" i="1"/>
  <c r="W270" i="1"/>
  <c r="X310" i="1"/>
  <c r="X311" i="1" s="1"/>
  <c r="W312" i="1"/>
  <c r="X331" i="1"/>
  <c r="X335" i="1" s="1"/>
  <c r="X349" i="1"/>
  <c r="X362" i="1" s="1"/>
  <c r="W363" i="1"/>
  <c r="X372" i="1"/>
  <c r="X373" i="1" s="1"/>
  <c r="X393" i="1"/>
  <c r="W425" i="1"/>
  <c r="X435" i="1"/>
  <c r="X437" i="1" s="1"/>
  <c r="W447" i="1"/>
  <c r="Q469" i="1"/>
  <c r="W370" i="1"/>
  <c r="W393" i="1"/>
  <c r="W411" i="1"/>
  <c r="W448" i="1"/>
  <c r="X428" i="1"/>
  <c r="X430" i="1" s="1"/>
  <c r="X445" i="1"/>
  <c r="X447" i="1" s="1"/>
  <c r="X464" i="1" l="1"/>
  <c r="W462" i="1"/>
</calcChain>
</file>

<file path=xl/sharedStrings.xml><?xml version="1.0" encoding="utf-8"?>
<sst xmlns="http://schemas.openxmlformats.org/spreadsheetml/2006/main" count="1933" uniqueCount="659">
  <si>
    <t xml:space="preserve">  БЛАНК ЗАКАЗА </t>
  </si>
  <si>
    <t>КИ</t>
  </si>
  <si>
    <t>на отгрузку продукции с ООО Трейд-Сервис с</t>
  </si>
  <si>
    <t>20.11.2023</t>
  </si>
  <si>
    <t>бланк создан</t>
  </si>
  <si>
    <t>15.11.2023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</si>
  <si>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</si>
  <si>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</si>
  <si>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</si>
  <si>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</si>
  <si>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</si>
  <si>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</si>
  <si>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</si>
  <si>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</si>
  <si>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</si>
  <si>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</si>
  <si>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</si>
  <si>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</si>
  <si>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</si>
  <si>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</si>
  <si>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</si>
  <si>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</si>
  <si>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</si>
  <si>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</si>
  <si>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</si>
  <si>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</si>
  <si>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</si>
  <si>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</si>
  <si>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</si>
  <si>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</si>
  <si>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</si>
  <si>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</si>
  <si>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</si>
  <si>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</si>
  <si>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</si>
  <si>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</si>
  <si>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</si>
  <si>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</si>
  <si>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</si>
  <si>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</si>
  <si>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</si>
  <si>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</si>
  <si>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</si>
  <si>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</si>
  <si>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</si>
  <si>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</si>
  <si>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</si>
  <si>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</si>
  <si>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</si>
  <si>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</si>
  <si>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</si>
  <si>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</si>
  <si>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</si>
  <si>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</si>
  <si>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</si>
  <si>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</si>
  <si>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</si>
  <si>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</si>
  <si>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</si>
  <si>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</si>
  <si>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</si>
  <si>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</si>
  <si>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</si>
  <si>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</si>
  <si>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</si>
  <si>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</si>
  <si>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</si>
  <si>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</si>
  <si>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</si>
  <si>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</si>
  <si>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</si>
  <si>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</si>
  <si>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</si>
  <si>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</si>
  <si>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</si>
  <si>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</si>
  <si>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</si>
  <si>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</si>
  <si>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</si>
  <si>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</si>
  <si>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</si>
  <si>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</si>
  <si>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</si>
  <si>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</si>
  <si>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</si>
  <si>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</si>
  <si>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</si>
  <si>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</si>
  <si>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</si>
  <si>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</si>
  <si>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</si>
  <si>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</si>
  <si>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</si>
  <si>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</si>
  <si>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</si>
  <si>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</si>
  <si>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</si>
  <si>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</si>
  <si>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</si>
  <si>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</si>
  <si>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</si>
  <si>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</si>
  <si>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</si>
  <si>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</si>
  <si>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</si>
  <si>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</si>
  <si>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</si>
  <si>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</si>
  <si>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</si>
  <si>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</si>
  <si>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</si>
  <si>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</si>
  <si>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</si>
  <si>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</si>
  <si>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</si>
  <si>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</si>
  <si>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</si>
  <si>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</si>
  <si>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</si>
  <si>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</si>
  <si>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</si>
  <si>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</si>
  <si>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</si>
  <si>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</si>
  <si>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</si>
  <si>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</si>
  <si>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</si>
  <si>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</si>
  <si>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</si>
  <si>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</si>
  <si>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</si>
  <si>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</si>
  <si>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</si>
  <si>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</si>
  <si>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</si>
  <si>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</si>
  <si>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</si>
  <si>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</si>
  <si>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</si>
  <si>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</si>
  <si>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</si>
  <si>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</si>
  <si>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</si>
  <si>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</si>
  <si>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</si>
  <si>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</si>
  <si>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</si>
  <si>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</si>
  <si>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</si>
  <si>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</si>
  <si>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</si>
  <si>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</si>
  <si>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</si>
  <si>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</si>
  <si>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</si>
  <si>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</si>
  <si>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</si>
  <si>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</si>
  <si>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</si>
  <si>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</si>
  <si>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</si>
  <si>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</si>
  <si>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</si>
  <si>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</si>
  <si>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</si>
  <si>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</si>
  <si>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</si>
  <si>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</si>
  <si>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</si>
  <si>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</si>
  <si>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</si>
  <si>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</si>
  <si>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</si>
  <si>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</si>
  <si>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</si>
  <si>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</si>
  <si>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</si>
  <si>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</si>
  <si>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</si>
  <si>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</si>
  <si>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</si>
  <si>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</si>
  <si>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</si>
  <si>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</si>
  <si>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</si>
  <si>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</si>
  <si>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</si>
  <si>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</si>
  <si>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</si>
  <si>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</si>
  <si>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</si>
  <si>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</si>
  <si>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</si>
  <si>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</si>
  <si>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</si>
  <si>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</si>
  <si>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</si>
  <si>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</si>
  <si>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</si>
  <si>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</si>
  <si>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</si>
  <si>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</si>
  <si>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</si>
  <si>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</si>
  <si>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</si>
  <si>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</si>
  <si>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</si>
  <si>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</si>
  <si>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</si>
  <si>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</si>
  <si>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</si>
  <si>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</si>
  <si>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</si>
  <si>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</si>
  <si>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</si>
  <si>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</si>
  <si>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</si>
  <si>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</si>
  <si>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</si>
  <si>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</si>
  <si>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</si>
  <si>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</si>
  <si>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</si>
  <si>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</si>
  <si>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</si>
  <si>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</si>
  <si>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</si>
  <si>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</si>
  <si>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</si>
  <si>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</si>
  <si>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</si>
  <si>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</si>
  <si>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</si>
  <si>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</si>
  <si>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</si>
  <si>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</si>
  <si>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</si>
  <si>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</si>
  <si>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</si>
  <si>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</si>
  <si>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</si>
  <si>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</si>
  <si>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</si>
  <si>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</si>
  <si>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</si>
  <si>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</si>
  <si>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</si>
  <si>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</si>
  <si>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</si>
  <si>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</si>
  <si>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</si>
  <si>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</si>
  <si>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</si>
  <si>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</si>
  <si>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</si>
  <si>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</si>
  <si>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</si>
  <si>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</si>
  <si>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</si>
  <si>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</si>
  <si>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</si>
  <si>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</si>
  <si>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</si>
  <si>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</si>
  <si>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</si>
  <si>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</si>
  <si>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</si>
  <si>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</si>
  <si>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</si>
  <si>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</si>
  <si>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</si>
  <si>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</si>
  <si>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</si>
  <si>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</si>
  <si>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</si>
  <si>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</si>
  <si>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</si>
  <si>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</si>
  <si>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</si>
  <si>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</si>
  <si>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</si>
  <si>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</si>
  <si>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</si>
  <si>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</si>
  <si>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</si>
  <si>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</si>
  <si>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</si>
  <si>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</si>
  <si>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</si>
  <si>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</si>
  <si>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</si>
  <si>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</si>
  <si>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</si>
  <si>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</si>
  <si>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</si>
  <si>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</si>
  <si>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</si>
  <si>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</si>
  <si>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</si>
  <si>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</si>
  <si>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</si>
  <si>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</si>
  <si>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</si>
  <si>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</si>
  <si>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</si>
  <si>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</si>
  <si>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</si>
  <si>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</si>
  <si>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</si>
  <si>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</si>
  <si>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</si>
  <si>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</si>
  <si>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</si>
  <si>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</si>
  <si>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</si>
  <si>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</si>
  <si>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</si>
  <si>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</si>
  <si>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</si>
  <si>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</si>
  <si>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</si>
  <si>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</si>
  <si>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</si>
  <si>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</si>
  <si>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</si>
  <si>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</si>
  <si>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</si>
  <si>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</si>
  <si>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</si>
  <si>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</si>
  <si>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</si>
  <si>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</si>
  <si>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</si>
  <si>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</si>
  <si>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</si>
  <si>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</si>
  <si>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</si>
  <si>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</si>
  <si>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</si>
  <si>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</si>
  <si>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</si>
  <si>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</si>
  <si>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</si>
  <si>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</si>
  <si>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</si>
  <si>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</si>
  <si>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</si>
  <si>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</si>
  <si>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</si>
  <si>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</si>
  <si>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</si>
  <si>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</si>
  <si>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</si>
  <si>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</si>
  <si>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</si>
  <si>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</si>
  <si>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</si>
  <si>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</si>
  <si>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</si>
  <si>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</si>
  <si>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</si>
  <si>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</si>
  <si>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</si>
  <si>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</si>
  <si>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</si>
  <si>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</si>
  <si>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</si>
  <si>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</si>
  <si>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</si>
  <si>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</si>
  <si>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</si>
  <si>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</si>
  <si>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</si>
  <si>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</si>
  <si>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</si>
  <si>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</si>
  <si>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</si>
  <si>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</si>
  <si>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</si>
  <si>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</si>
  <si>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</si>
  <si>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</si>
  <si>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</si>
  <si>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</si>
  <si>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</si>
  <si>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</si>
  <si>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</si>
  <si>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</si>
  <si>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</si>
  <si>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</si>
  <si>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</si>
  <si>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</si>
  <si>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P003319</t>
  </si>
  <si>
    <t>ДУБ</t>
  </si>
  <si>
    <t>С/к колбасы «Швейцарская» Фикс.вес 0,17 Фиброуз терм/п ТМ «Стародворье»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</si>
  <si>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</si>
  <si>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</si>
  <si>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</si>
  <si>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</si>
  <si>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</si>
  <si>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</si>
  <si>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</si>
  <si>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</si>
  <si>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</si>
  <si>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</si>
  <si>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</si>
  <si>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</si>
  <si>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</si>
  <si>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</si>
  <si>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</si>
  <si>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</si>
  <si>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</si>
  <si>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</si>
  <si>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</si>
  <si>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</si>
  <si>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</si>
  <si>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</si>
  <si>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</si>
  <si>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</si>
  <si>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</si>
  <si>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</si>
  <si>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</si>
  <si>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</si>
  <si>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</si>
  <si>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</si>
  <si>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</si>
  <si>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</si>
  <si>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</si>
  <si>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</si>
  <si>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</si>
  <si>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</si>
  <si>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</si>
  <si>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</si>
  <si>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</si>
  <si>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</si>
  <si>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</si>
  <si>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</si>
  <si>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</si>
  <si>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</si>
  <si>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</si>
  <si>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</si>
  <si>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</si>
  <si>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</si>
  <si>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</si>
  <si>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</si>
  <si>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</si>
  <si>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</si>
  <si>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</si>
  <si>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</si>
  <si>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</si>
  <si>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</si>
  <si>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</si>
  <si>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SU003121</t>
  </si>
  <si>
    <t>P003715</t>
  </si>
  <si>
    <t>Ветчины «Славница» Весовой п/а ТМ «Особый рецепт»</t>
  </si>
  <si>
    <t>Новинка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</si>
  <si>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</si>
  <si>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</si>
  <si>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</si>
  <si>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</si>
  <si>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</si>
  <si>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</si>
  <si>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</si>
  <si>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</si>
  <si>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</si>
  <si>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</si>
  <si>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</si>
  <si>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</si>
  <si>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</si>
  <si>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</si>
  <si>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</si>
  <si>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</si>
  <si>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</si>
  <si>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</si>
  <si>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</si>
  <si>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</si>
  <si>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</si>
  <si>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</si>
  <si>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</si>
  <si>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</si>
  <si>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</si>
  <si>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</si>
  <si>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</si>
  <si>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</si>
  <si>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</si>
  <si>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</si>
  <si>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</si>
  <si>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</si>
  <si>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</si>
  <si>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</si>
  <si>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</si>
  <si>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</si>
  <si>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</si>
  <si>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</si>
  <si>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</si>
  <si>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</si>
  <si>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</si>
  <si>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</si>
  <si>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</si>
  <si>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</si>
  <si>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</si>
  <si>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</si>
  <si>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</si>
  <si>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</si>
  <si>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</si>
  <si>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</si>
  <si>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</si>
  <si>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</si>
  <si>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</si>
  <si>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</si>
  <si>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</si>
  <si>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</si>
  <si>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</si>
  <si>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</si>
  <si>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</si>
  <si>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</si>
  <si>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</si>
  <si>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</si>
  <si>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</si>
  <si>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</si>
  <si>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</si>
  <si>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</si>
  <si>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</si>
  <si>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</si>
  <si>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</si>
  <si>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</si>
  <si>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</si>
  <si>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</si>
  <si>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</si>
  <si>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</si>
  <si>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</si>
  <si>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</si>
  <si>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</si>
  <si>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</si>
  <si>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</si>
  <si>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</si>
  <si>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</si>
  <si>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</si>
  <si>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</si>
  <si>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</si>
  <si>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</si>
  <si>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</si>
  <si>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</si>
  <si>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</si>
  <si>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</si>
  <si>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</si>
  <si>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</si>
  <si>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</si>
  <si>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</si>
  <si>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</si>
  <si>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</si>
  <si>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</si>
  <si>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</si>
  <si>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</si>
  <si>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</si>
  <si>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</si>
  <si>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</si>
  <si>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</si>
  <si>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</si>
  <si>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</si>
  <si>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</si>
  <si>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</si>
  <si>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</si>
  <si>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</si>
  <si>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</si>
  <si>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</si>
  <si>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</si>
  <si>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</si>
  <si>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</si>
  <si>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</si>
  <si>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</si>
  <si>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</si>
  <si>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</si>
  <si>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</si>
  <si>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</si>
  <si>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</si>
  <si>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</si>
  <si>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</si>
  <si>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</si>
  <si>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</si>
  <si>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</si>
  <si>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</si>
  <si>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</si>
  <si>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</si>
  <si>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</si>
  <si>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</si>
  <si>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</si>
  <si>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</si>
  <si>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</si>
  <si>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</si>
  <si>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</si>
  <si>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</si>
  <si>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</si>
  <si>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</si>
  <si>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</si>
  <si>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</si>
  <si>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</si>
  <si>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</si>
  <si>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</si>
  <si>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</si>
  <si>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</si>
  <si>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</si>
  <si>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</si>
  <si>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</si>
  <si>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</si>
  <si>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</si>
  <si>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</si>
  <si>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</si>
  <si>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</si>
  <si>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</si>
  <si>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</si>
  <si>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</si>
  <si>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</si>
  <si>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</si>
  <si>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</si>
  <si>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</si>
  <si>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</si>
  <si>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</si>
  <si>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</si>
  <si>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</si>
  <si>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</si>
  <si>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</si>
  <si>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</si>
  <si>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</si>
  <si>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</si>
  <si>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</si>
  <si>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</si>
  <si>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</si>
  <si>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</si>
  <si>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</si>
  <si>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</si>
  <si>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</si>
  <si>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</si>
  <si>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</si>
  <si>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</si>
  <si>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</si>
  <si>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</si>
  <si>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</si>
  <si>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</si>
  <si>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</si>
  <si>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</si>
  <si>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590704_5</t>
  </si>
  <si>
    <t>1</t>
  </si>
  <si>
    <t>ЛП, ООО, 73009, Херсон г, Некрасова ул, 2,</t>
  </si>
  <si>
    <t>590704_4</t>
  </si>
  <si>
    <t>2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</si>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</sst>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,##0_ ;[Red]\-#,##0\ "/>
    <numFmt numFmtId="165" formatCode="[$-419]dd/mm/yyyy"/>
    <numFmt numFmtId="166" formatCode="h:mm;@"/>
    <numFmt numFmtId="167" formatCode="0.000"/>
    <numFmt numFmtId="168" formatCode="#,##0.00_ ;[Red]\-#,##0.00\ "/>
    <numFmt numFmtId="169" formatCode="dd/mm/yy;@"/>
  </numFmts>
  <fonts count="59" x14ac:knownFonts="1">
    <font>
      <sz val="10"/>
      <name val="Arial Cyr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color rgb="FFFF9900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rgb="FF800080"/>
      <name val="Calibri"/>
      <family val="2"/>
      <charset val="204"/>
    </font>
    <font>
      <i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/>
      <sz val="10"/>
      <color rgb="FF000000"/>
      <name val="Arial Cyr"/>
      <charset val="204"/>
    </font>
    <font>
      <b/>
      <sz val="8"/>
      <color rgb="FF000000"/>
      <name val="Arial Cyr"/>
      <charset val="204"/>
    </font>
    <font>
      <b/>
      <sz val="16"/>
      <color rgb="FF651C32"/>
      <name val="Calibri"/>
      <family val="2"/>
      <charset val="204"/>
    </font>
    <font>
      <sz val="10"/>
      <color rgb="FF651C32"/>
      <name val="Arial Cyr"/>
      <charset val="204"/>
    </font>
    <font>
      <b/>
      <sz val="9"/>
      <color rgb="FF651C32"/>
      <name val="Calibri"/>
      <family val="2"/>
      <charset val="204"/>
    </font>
    <font>
      <b/>
      <sz val="10"/>
      <color rgb="FF651C32"/>
      <name val="Calibri"/>
      <family val="2"/>
      <charset val="204"/>
    </font>
    <font>
      <b/>
      <sz val="11"/>
      <color rgb="FF651C32"/>
      <name val="Calibri"/>
      <family val="2"/>
      <charset val="204"/>
    </font>
    <font>
      <b/>
      <u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/>
      <sz val="14"/>
      <color rgb="FF651C32"/>
      <name val="Calibri"/>
      <family val="2"/>
      <charset val="204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9"/>
      <color rgb="FFFF0000"/>
      <name val="Arial Narrow"/>
      <family val="2"/>
      <charset val="204"/>
    </font>
    <font>
      <b/>
      <sz val="11"/>
      <color rgb="FF651C32"/>
      <name val="Arial Narrow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0"/>
      <name val="Arial Narrow"/>
      <family val="2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sz val="10"/>
      <color rgb="FFFFFFFF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rgb="FF000000"/>
      <name val="Calibri"/>
      <family val="2"/>
      <charset val="204"/>
    </font>
    <font>
      <sz val="8"/>
      <color rgb="FF0000FF"/>
      <name val="Arial Cyr"/>
      <charset val="204"/>
    </font>
    <font>
      <sz val="10"/>
      <color rgb="FF000000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charset val="204"/>
    </font>
    <font>
      <sz val="10"/>
      <color rgb="FF993366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4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rgb="FF651C32"/>
      </top>
      <bottom/>
      <diagonal/>
    </border>
    <border>
      <left/>
      <right style="thin">
        <color auto="1"/>
      </right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/>
      <right style="thin">
        <color rgb="FF651C32"/>
      </right>
      <top style="thin">
        <color rgb="FF651C32"/>
      </top>
      <bottom/>
      <diagonal/>
    </border>
    <border>
      <left/>
      <right/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ck">
        <color rgb="FF808080"/>
      </top>
      <bottom/>
      <diagonal/>
    </border>
    <border>
      <left/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rgb="FF808080"/>
      </right>
      <top/>
      <bottom/>
      <diagonal/>
    </border>
  </borders>
  <cellStyleXfs count="52">
    <xf numFmtId="0" fontId="0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5" borderId="0"/>
    <xf numFmtId="0" fontId="1" fillId="8" borderId="0"/>
    <xf numFmtId="0" fontId="1" fillId="11" borderId="0"/>
    <xf numFmtId="0" fontId="2" fillId="12" borderId="0"/>
    <xf numFmtId="0" fontId="2" fillId="9" borderId="0"/>
    <xf numFmtId="0" fontId="2" fillId="10" borderId="0"/>
    <xf numFmtId="0" fontId="2" fillId="13" borderId="0"/>
    <xf numFmtId="0" fontId="2" fillId="14" borderId="0"/>
    <xf numFmtId="0" fontId="2" fillId="15" borderId="0"/>
    <xf numFmtId="0" fontId="2" fillId="16" borderId="0"/>
    <xf numFmtId="0" fontId="2" fillId="17" borderId="0"/>
    <xf numFmtId="0" fontId="2" fillId="18" borderId="0"/>
    <xf numFmtId="0" fontId="2" fillId="13" borderId="0"/>
    <xf numFmtId="0" fontId="2" fillId="14" borderId="0"/>
    <xf numFmtId="0" fontId="2" fillId="19" borderId="0"/>
    <xf numFmtId="0" fontId="3" fillId="7" borderId="1"/>
    <xf numFmtId="0" fontId="4" fillId="20" borderId="2"/>
    <xf numFmtId="0" fontId="5" fillId="20" borderId="1"/>
    <xf numFmtId="0" fontId="6" fillId="0" borderId="3"/>
    <xf numFmtId="0" fontId="7" fillId="0" borderId="4"/>
    <xf numFmtId="0" fontId="8" fillId="0" borderId="5"/>
    <xf numFmtId="0" fontId="8" fillId="0" borderId="0"/>
    <xf numFmtId="0" fontId="9" fillId="0" borderId="6"/>
    <xf numFmtId="0" fontId="10" fillId="21" borderId="7"/>
    <xf numFmtId="0" fontId="11" fillId="0" borderId="0"/>
    <xf numFmtId="0" fontId="12" fillId="22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1" fillId="0" borderId="0"/>
    <xf numFmtId="0" fontId="1" fillId="0" borderId="0"/>
    <xf numFmtId="0" fontId="1" fillId="0" borderId="0"/>
    <xf numFmtId="0" fontId="13" fillId="3" borderId="0"/>
    <xf numFmtId="0" fontId="14" fillId="0" borderId="0"/>
    <xf numFmtId="0" fontId="58" fillId="23" borderId="8"/>
    <xf numFmtId="0" fontId="58" fillId="23" borderId="8"/>
    <xf numFmtId="0" fontId="15" fillId="0" borderId="9"/>
    <xf numFmtId="0" fontId="16" fillId="0" borderId="0"/>
    <xf numFmtId="0" fontId="17" fillId="4" borderId="0"/>
  </cellStyleXfs>
  <cellXfs count="162">
    <xf numFmtId="0" fontId="0" fillId="0" borderId="0" xfId="0"/>
    <xf numFmtId="0" fontId="0" fillId="0" borderId="0" xfId="0" applyProtection="1">
      <protection hidden="1"/>
    </xf>
    <xf numFmtId="164" fontId="18" fillId="0" borderId="0" xfId="0" applyNumberFormat="1" applyFont="1" applyAlignment="1" applyProtection="1">
      <alignment horizontal="center"/>
      <protection hidden="1"/>
    </xf>
    <xf numFmtId="0" fontId="18" fillId="0" borderId="0" xfId="0" applyFont="1" applyAlignment="1" applyProtection="1">
      <alignment horizontal="center"/>
      <protection hidden="1"/>
    </xf>
    <xf numFmtId="0" fontId="19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20" fillId="24" borderId="0" xfId="39" applyFont="1" applyFill="1" applyAlignment="1">
      <alignment vertical="center" wrapText="1"/>
    </xf>
    <xf numFmtId="0" fontId="20" fillId="24" borderId="0" xfId="39" applyFont="1" applyFill="1" applyAlignment="1">
      <alignment horizontal="center" vertical="center"/>
    </xf>
    <xf numFmtId="165" fontId="20" fillId="24" borderId="0" xfId="39" applyNumberFormat="1" applyFont="1" applyFill="1" applyAlignment="1">
      <alignment vertical="center" wrapText="1"/>
    </xf>
    <xf numFmtId="165" fontId="20" fillId="24" borderId="0" xfId="39" applyNumberFormat="1" applyFont="1" applyFill="1" applyAlignment="1">
      <alignment horizontal="center" vertical="center" wrapText="1"/>
    </xf>
    <xf numFmtId="0" fontId="22" fillId="0" borderId="0" xfId="0" applyFont="1" applyAlignment="1">
      <alignment horizontal="left" vertical="top"/>
    </xf>
    <xf numFmtId="0" fontId="23" fillId="0" borderId="0" xfId="0" applyFont="1" applyAlignment="1">
      <alignment horizontal="left" vertical="top" wrapText="1"/>
    </xf>
    <xf numFmtId="0" fontId="24" fillId="0" borderId="0" xfId="0" applyFont="1" applyAlignment="1">
      <alignment horizontal="left" vertical="top" wrapText="1"/>
    </xf>
    <xf numFmtId="0" fontId="20" fillId="0" borderId="0" xfId="0" applyFont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21" fillId="0" borderId="0" xfId="0" applyFont="1" applyProtection="1">
      <protection locked="0"/>
    </xf>
    <xf numFmtId="49" fontId="26" fillId="25" borderId="10" xfId="39" applyNumberFormat="1" applyFont="1" applyFill="1" applyBorder="1" applyAlignment="1" applyProtection="1">
      <alignment horizontal="center" vertical="center"/>
      <protection locked="0"/>
    </xf>
    <xf numFmtId="49" fontId="27" fillId="0" borderId="11" xfId="39" applyNumberFormat="1" applyFont="1" applyBorder="1" applyAlignment="1">
      <alignment horizontal="left" vertical="center"/>
    </xf>
    <xf numFmtId="49" fontId="27" fillId="0" borderId="0" xfId="39" applyNumberFormat="1" applyFont="1" applyAlignment="1">
      <alignment horizontal="left" vertical="center"/>
    </xf>
    <xf numFmtId="49" fontId="26" fillId="0" borderId="10" xfId="39" applyNumberFormat="1" applyFont="1" applyBorder="1" applyAlignment="1" applyProtection="1">
      <alignment horizontal="center" vertical="center"/>
      <protection locked="0"/>
    </xf>
    <xf numFmtId="49" fontId="28" fillId="0" borderId="0" xfId="0" applyNumberFormat="1" applyFont="1" applyAlignment="1">
      <alignment horizontal="left" vertical="center"/>
    </xf>
    <xf numFmtId="0" fontId="24" fillId="0" borderId="0" xfId="0" applyFont="1" applyAlignment="1">
      <alignment horizontal="center" vertical="center" wrapText="1"/>
    </xf>
    <xf numFmtId="0" fontId="29" fillId="0" borderId="0" xfId="0" applyFont="1" applyAlignment="1">
      <alignment vertical="center" wrapText="1"/>
    </xf>
    <xf numFmtId="0" fontId="30" fillId="0" borderId="0" xfId="0" applyFont="1" applyAlignment="1" applyProtection="1">
      <alignment horizontal="right"/>
      <protection hidden="1"/>
    </xf>
    <xf numFmtId="0" fontId="31" fillId="0" borderId="0" xfId="0" applyFont="1" applyAlignment="1">
      <alignment horizontal="right"/>
    </xf>
    <xf numFmtId="0" fontId="33" fillId="0" borderId="0" xfId="0" applyFont="1" applyAlignment="1" applyProtection="1">
      <alignment horizontal="right" vertical="center"/>
      <protection hidden="1"/>
    </xf>
    <xf numFmtId="2" fontId="32" fillId="24" borderId="13" xfId="0" applyNumberFormat="1" applyFont="1" applyFill="1" applyBorder="1" applyAlignment="1" applyProtection="1">
      <alignment vertical="center" wrapText="1"/>
      <protection hidden="1"/>
    </xf>
    <xf numFmtId="49" fontId="26" fillId="0" borderId="10" xfId="0" applyNumberFormat="1" applyFont="1" applyBorder="1" applyAlignment="1" applyProtection="1">
      <alignment horizontal="center" vertical="center"/>
      <protection locked="0"/>
    </xf>
    <xf numFmtId="0" fontId="33" fillId="0" borderId="0" xfId="0" applyFont="1" applyAlignment="1">
      <alignment horizontal="right" vertical="center"/>
    </xf>
    <xf numFmtId="49" fontId="35" fillId="0" borderId="0" xfId="0" applyNumberFormat="1" applyFont="1" applyAlignment="1">
      <alignment horizontal="center" vertical="center" wrapText="1"/>
    </xf>
    <xf numFmtId="49" fontId="26" fillId="0" borderId="0" xfId="0" applyNumberFormat="1" applyFont="1" applyAlignment="1">
      <alignment horizontal="center" vertical="center"/>
    </xf>
    <xf numFmtId="0" fontId="30" fillId="0" borderId="0" xfId="0" applyFont="1" applyAlignment="1" applyProtection="1">
      <alignment horizontal="left"/>
      <protection hidden="1"/>
    </xf>
    <xf numFmtId="0" fontId="21" fillId="0" borderId="0" xfId="0" applyFont="1" applyAlignment="1" applyProtection="1">
      <alignment horizontal="center"/>
      <protection hidden="1"/>
    </xf>
    <xf numFmtId="2" fontId="34" fillId="0" borderId="0" xfId="0" applyNumberFormat="1" applyFont="1" applyAlignment="1" applyProtection="1">
      <alignment horizontal="center" vertical="center" wrapText="1"/>
      <protection hidden="1"/>
    </xf>
    <xf numFmtId="0" fontId="32" fillId="0" borderId="0" xfId="0" applyFont="1" applyAlignment="1" applyProtection="1">
      <alignment horizontal="center" vertical="center" wrapText="1"/>
      <protection hidden="1"/>
    </xf>
    <xf numFmtId="4" fontId="37" fillId="0" borderId="0" xfId="39" applyNumberFormat="1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Alignment="1" applyProtection="1">
      <alignment horizontal="right"/>
      <protection hidden="1"/>
    </xf>
    <xf numFmtId="0" fontId="40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/>
    </xf>
    <xf numFmtId="2" fontId="45" fillId="0" borderId="0" xfId="0" applyNumberFormat="1" applyFont="1" applyAlignment="1">
      <alignment horizontal="center" vertical="center"/>
    </xf>
    <xf numFmtId="1" fontId="48" fillId="0" borderId="16" xfId="0" applyNumberFormat="1" applyFont="1" applyBorder="1" applyAlignment="1">
      <alignment horizontal="center" vertical="center"/>
    </xf>
    <xf numFmtId="1" fontId="48" fillId="0" borderId="10" xfId="39" applyNumberFormat="1" applyFont="1" applyBorder="1" applyAlignment="1">
      <alignment horizontal="center" vertical="center"/>
    </xf>
    <xf numFmtId="0" fontId="40" fillId="0" borderId="10" xfId="0" applyFont="1" applyBorder="1" applyAlignment="1" applyProtection="1">
      <alignment horizontal="center" vertical="center"/>
      <protection hidden="1"/>
    </xf>
    <xf numFmtId="1" fontId="40" fillId="0" borderId="10" xfId="0" applyNumberFormat="1" applyFont="1" applyBorder="1" applyAlignment="1">
      <alignment horizontal="center" vertical="center"/>
    </xf>
    <xf numFmtId="0" fontId="40" fillId="0" borderId="10" xfId="0" applyFont="1" applyBorder="1" applyAlignment="1">
      <alignment horizontal="left"/>
    </xf>
    <xf numFmtId="0" fontId="50" fillId="0" borderId="10" xfId="0" applyFont="1" applyBorder="1" applyAlignment="1" applyProtection="1">
      <alignment horizontal="center"/>
      <protection hidden="1"/>
    </xf>
    <xf numFmtId="2" fontId="52" fillId="0" borderId="10" xfId="0" applyNumberFormat="1" applyFont="1" applyBorder="1" applyAlignment="1">
      <alignment horizontal="center"/>
    </xf>
    <xf numFmtId="2" fontId="52" fillId="0" borderId="14" xfId="0" applyNumberFormat="1" applyFont="1" applyBorder="1" applyAlignment="1">
      <alignment horizontal="center" wrapText="1"/>
    </xf>
    <xf numFmtId="0" fontId="53" fillId="0" borderId="14" xfId="0" applyFont="1" applyBorder="1" applyProtection="1">
      <protection hidden="1"/>
    </xf>
    <xf numFmtId="0" fontId="44" fillId="0" borderId="0" xfId="0" applyFont="1" applyProtection="1">
      <protection hidden="1"/>
    </xf>
    <xf numFmtId="0" fontId="44" fillId="0" borderId="0" xfId="0" applyFont="1"/>
    <xf numFmtId="0" fontId="21" fillId="24" borderId="10" xfId="0" applyFont="1" applyFill="1" applyBorder="1" applyAlignment="1" applyProtection="1">
      <alignment horizontal="center"/>
      <protection hidden="1"/>
    </xf>
    <xf numFmtId="164" fontId="33" fillId="24" borderId="10" xfId="0" applyNumberFormat="1" applyFont="1" applyFill="1" applyBorder="1" applyAlignment="1">
      <alignment horizontal="right"/>
    </xf>
    <xf numFmtId="0" fontId="55" fillId="24" borderId="10" xfId="0" applyFont="1" applyFill="1" applyBorder="1" applyAlignment="1" applyProtection="1">
      <alignment horizontal="center"/>
      <protection hidden="1"/>
    </xf>
    <xf numFmtId="0" fontId="32" fillId="24" borderId="20" xfId="0" applyFont="1" applyFill="1" applyBorder="1" applyAlignment="1" applyProtection="1">
      <alignment horizontal="center" vertical="center" wrapText="1"/>
      <protection hidden="1"/>
    </xf>
    <xf numFmtId="4" fontId="57" fillId="0" borderId="23" xfId="39" applyNumberFormat="1" applyFont="1" applyBorder="1" applyAlignment="1" applyProtection="1">
      <alignment horizontal="center" vertical="center"/>
      <protection hidden="1"/>
    </xf>
    <xf numFmtId="0" fontId="0" fillId="0" borderId="0" xfId="0" applyProtection="1">
      <protection locked="0"/>
    </xf>
    <xf numFmtId="0" fontId="0" fillId="0" borderId="24" xfId="0" applyBorder="1"/>
    <xf numFmtId="0" fontId="56" fillId="0" borderId="21" xfId="0" applyFont="1" applyBorder="1" applyAlignment="1" applyProtection="1">
      <alignment horizontal="center" vertical="center" wrapText="1"/>
      <protection hidden="1"/>
    </xf>
    <xf numFmtId="0" fontId="46" fillId="27" borderId="0" xfId="0" applyFont="1" applyFill="1" applyAlignment="1" applyProtection="1">
      <alignment horizontal="center"/>
      <protection hidden="1"/>
    </xf>
    <xf numFmtId="2" fontId="47" fillId="27" borderId="0" xfId="0" applyNumberFormat="1" applyFont="1" applyFill="1" applyAlignment="1" applyProtection="1">
      <alignment horizontal="center"/>
      <protection hidden="1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0" fontId="21" fillId="0" borderId="0" xfId="0" applyFont="1" applyProtection="1">
      <protection hidden="1"/>
    </xf>
    <xf numFmtId="166" fontId="26" fillId="0" borderId="0" xfId="0" applyNumberFormat="1" applyFont="1" applyAlignment="1" applyProtection="1">
      <alignment horizontal="center" vertical="center"/>
      <protection locked="0"/>
    </xf>
    <xf numFmtId="166" fontId="0" fillId="0" borderId="0" xfId="0" applyNumberFormat="1" applyAlignment="1">
      <alignment horizontal="center"/>
    </xf>
    <xf numFmtId="167" fontId="40" fillId="0" borderId="10" xfId="0" applyNumberFormat="1" applyFont="1" applyBorder="1" applyAlignment="1" applyProtection="1">
      <alignment horizontal="center" vertical="center"/>
      <protection hidden="1"/>
    </xf>
    <xf numFmtId="168" fontId="51" fillId="25" borderId="10" xfId="0" applyNumberFormat="1" applyFont="1" applyFill="1" applyBorder="1" applyAlignment="1" applyProtection="1">
      <alignment horizontal="right"/>
      <protection locked="0"/>
    </xf>
    <xf numFmtId="168" fontId="51" fillId="0" borderId="10" xfId="0" applyNumberFormat="1" applyFont="1" applyBorder="1" applyAlignment="1">
      <alignment horizontal="right"/>
    </xf>
    <xf numFmtId="168" fontId="33" fillId="24" borderId="10" xfId="0" applyNumberFormat="1" applyFont="1" applyFill="1" applyBorder="1" applyAlignment="1">
      <alignment horizontal="right"/>
    </xf>
    <xf numFmtId="168" fontId="33" fillId="24" borderId="0" xfId="0" applyNumberFormat="1" applyFont="1" applyFill="1" applyAlignment="1">
      <alignment horizontal="right"/>
    </xf>
    <xf numFmtId="0" fontId="49" fillId="0" borderId="10" xfId="0" applyFont="1" applyBorder="1" applyAlignment="1">
      <alignment horizontal="left" vertical="center" wrapText="1"/>
    </xf>
    <xf numFmtId="0" fontId="0" fillId="0" borderId="26" xfId="0" applyBorder="1"/>
    <xf numFmtId="0" fontId="0" fillId="0" borderId="16" xfId="0" applyBorder="1"/>
    <xf numFmtId="1" fontId="48" fillId="0" borderId="10" xfId="0" applyNumberFormat="1" applyFont="1" applyBorder="1" applyAlignment="1">
      <alignment horizontal="center" vertical="center"/>
    </xf>
    <xf numFmtId="0" fontId="46" fillId="27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47" fillId="27" borderId="0" xfId="0" applyNumberFormat="1" applyFont="1" applyFill="1" applyAlignment="1" applyProtection="1">
      <alignment horizontal="center"/>
      <protection hidden="1"/>
    </xf>
    <xf numFmtId="0" fontId="33" fillId="24" borderId="14" xfId="0" applyFont="1" applyFill="1" applyBorder="1" applyAlignment="1" applyProtection="1">
      <alignment horizontal="right"/>
      <protection hidden="1"/>
    </xf>
    <xf numFmtId="0" fontId="0" fillId="0" borderId="31" xfId="0" applyBorder="1" applyProtection="1">
      <protection hidden="1"/>
    </xf>
    <xf numFmtId="0" fontId="0" fillId="0" borderId="32" xfId="0" applyBorder="1" applyProtection="1">
      <protection hidden="1"/>
    </xf>
    <xf numFmtId="0" fontId="0" fillId="24" borderId="19" xfId="0" applyFill="1" applyBorder="1" applyAlignment="1" applyProtection="1">
      <alignment horizontal="center"/>
      <protection hidden="1"/>
    </xf>
    <xf numFmtId="0" fontId="0" fillId="0" borderId="19" xfId="0" applyBorder="1" applyProtection="1">
      <protection hidden="1"/>
    </xf>
    <xf numFmtId="2" fontId="45" fillId="0" borderId="18" xfId="0" applyNumberFormat="1" applyFont="1" applyBorder="1" applyAlignment="1">
      <alignment horizontal="center" vertical="center"/>
    </xf>
    <xf numFmtId="0" fontId="0" fillId="0" borderId="18" xfId="0" applyBorder="1"/>
    <xf numFmtId="0" fontId="56" fillId="0" borderId="21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6" fillId="26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32" fillId="25" borderId="10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6" xfId="0" applyBorder="1" applyProtection="1">
      <protection locked="0" hidden="1"/>
    </xf>
    <xf numFmtId="0" fontId="0" fillId="0" borderId="16" xfId="0" applyBorder="1" applyProtection="1">
      <protection locked="0" hidden="1"/>
    </xf>
    <xf numFmtId="0" fontId="54" fillId="0" borderId="10" xfId="0" applyFont="1" applyBorder="1" applyAlignment="1">
      <alignment horizontal="left" vertical="center" wrapText="1"/>
    </xf>
    <xf numFmtId="0" fontId="42" fillId="24" borderId="10" xfId="0" applyFont="1" applyFill="1" applyBorder="1" applyAlignment="1" applyProtection="1">
      <alignment horizontal="center" vertical="center" wrapText="1"/>
      <protection hidden="1"/>
    </xf>
    <xf numFmtId="0" fontId="0" fillId="0" borderId="33" xfId="0" applyBorder="1" applyProtection="1">
      <protection hidden="1"/>
    </xf>
    <xf numFmtId="49" fontId="26" fillId="0" borderId="13" xfId="0" applyNumberFormat="1" applyFont="1" applyBorder="1" applyAlignment="1">
      <alignment horizontal="center" vertical="center"/>
    </xf>
    <xf numFmtId="0" fontId="0" fillId="0" borderId="25" xfId="0" applyBorder="1"/>
    <xf numFmtId="0" fontId="42" fillId="24" borderId="16" xfId="39" applyFont="1" applyFill="1" applyBorder="1" applyAlignment="1" applyProtection="1">
      <alignment horizontal="center" vertical="center" wrapText="1"/>
      <protection locked="0" hidden="1"/>
    </xf>
    <xf numFmtId="0" fontId="0" fillId="0" borderId="28" xfId="0" applyBorder="1" applyProtection="1">
      <protection locked="0" hidden="1"/>
    </xf>
    <xf numFmtId="0" fontId="33" fillId="24" borderId="10" xfId="0" applyFont="1" applyFill="1" applyBorder="1" applyAlignment="1" applyProtection="1">
      <alignment horizontal="left"/>
      <protection hidden="1"/>
    </xf>
    <xf numFmtId="0" fontId="0" fillId="0" borderId="26" xfId="0" applyBorder="1" applyProtection="1">
      <protection hidden="1"/>
    </xf>
    <xf numFmtId="0" fontId="0" fillId="0" borderId="16" xfId="0" applyBorder="1" applyProtection="1">
      <protection hidden="1"/>
    </xf>
    <xf numFmtId="0" fontId="0" fillId="0" borderId="39" xfId="0" applyBorder="1" applyProtection="1">
      <protection hidden="1"/>
    </xf>
    <xf numFmtId="0" fontId="33" fillId="0" borderId="12" xfId="0" applyFont="1" applyBorder="1" applyAlignment="1" applyProtection="1">
      <alignment horizontal="center" vertical="center"/>
      <protection hidden="1"/>
    </xf>
    <xf numFmtId="0" fontId="0" fillId="0" borderId="12" xfId="0" applyBorder="1" applyProtection="1">
      <protection hidden="1"/>
    </xf>
    <xf numFmtId="0" fontId="25" fillId="0" borderId="0" xfId="0" applyFont="1" applyAlignment="1" applyProtection="1">
      <alignment horizontal="center" vertical="center" wrapText="1"/>
      <protection hidden="1"/>
    </xf>
    <xf numFmtId="0" fontId="44" fillId="0" borderId="0" xfId="0" applyFont="1" applyAlignment="1" applyProtection="1">
      <alignment horizontal="center" vertical="center"/>
      <protection hidden="1"/>
    </xf>
    <xf numFmtId="0" fontId="0" fillId="24" borderId="12" xfId="0" applyFill="1" applyBorder="1" applyAlignment="1" applyProtection="1">
      <alignment horizontal="center"/>
      <protection hidden="1"/>
    </xf>
    <xf numFmtId="0" fontId="42" fillId="24" borderId="14" xfId="0" applyFont="1" applyFill="1" applyBorder="1" applyAlignment="1" applyProtection="1">
      <alignment horizontal="center" vertical="center" wrapText="1"/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0" borderId="37" xfId="0" applyBorder="1" applyProtection="1">
      <protection hidden="1"/>
    </xf>
    <xf numFmtId="166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2" fontId="34" fillId="25" borderId="14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31" xfId="0" applyBorder="1" applyProtection="1">
      <protection locked="0" hidden="1"/>
    </xf>
    <xf numFmtId="0" fontId="0" fillId="0" borderId="32" xfId="0" applyBorder="1" applyProtection="1">
      <protection locked="0" hidden="1"/>
    </xf>
    <xf numFmtId="0" fontId="20" fillId="24" borderId="0" xfId="39" applyFont="1" applyFill="1" applyAlignment="1">
      <alignment horizontal="center" vertical="center" wrapText="1"/>
    </xf>
    <xf numFmtId="0" fontId="21" fillId="0" borderId="0" xfId="0" applyFont="1" applyProtection="1">
      <protection hidden="1"/>
    </xf>
    <xf numFmtId="0" fontId="0" fillId="0" borderId="18" xfId="0" applyBorder="1" applyProtection="1">
      <protection hidden="1"/>
    </xf>
    <xf numFmtId="0" fontId="0" fillId="0" borderId="25" xfId="0" applyBorder="1" applyProtection="1">
      <protection hidden="1"/>
    </xf>
    <xf numFmtId="0" fontId="0" fillId="0" borderId="27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28" xfId="0" applyBorder="1" applyProtection="1">
      <protection hidden="1"/>
    </xf>
    <xf numFmtId="49" fontId="26" fillId="0" borderId="10" xfId="0" applyNumberFormat="1" applyFont="1" applyBorder="1" applyAlignment="1">
      <alignment horizontal="center" vertical="center"/>
    </xf>
    <xf numFmtId="2" fontId="32" fillId="24" borderId="10" xfId="0" applyNumberFormat="1" applyFont="1" applyFill="1" applyBorder="1" applyAlignment="1" applyProtection="1">
      <alignment vertical="center" wrapText="1"/>
      <protection hidden="1"/>
    </xf>
    <xf numFmtId="0" fontId="44" fillId="0" borderId="17" xfId="0" applyFont="1" applyBorder="1" applyAlignment="1" applyProtection="1">
      <alignment horizontal="center" vertical="center"/>
      <protection hidden="1"/>
    </xf>
    <xf numFmtId="0" fontId="0" fillId="0" borderId="17" xfId="0" applyBorder="1" applyProtection="1">
      <protection hidden="1"/>
    </xf>
    <xf numFmtId="0" fontId="32" fillId="24" borderId="22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31" fillId="24" borderId="10" xfId="0" applyFont="1" applyFill="1" applyBorder="1" applyAlignment="1" applyProtection="1">
      <alignment horizontal="center" vertical="center" wrapText="1"/>
      <protection hidden="1"/>
    </xf>
    <xf numFmtId="0" fontId="32" fillId="26" borderId="0" xfId="0" applyFont="1" applyFill="1" applyAlignment="1" applyProtection="1">
      <alignment horizontal="center" vertical="center" wrapText="1"/>
      <protection locked="0" hidden="1"/>
    </xf>
    <xf numFmtId="0" fontId="32" fillId="26" borderId="0" xfId="0" applyFont="1" applyFill="1" applyAlignment="1" applyProtection="1">
      <alignment vertical="center" wrapText="1"/>
      <protection hidden="1"/>
    </xf>
    <xf numFmtId="0" fontId="39" fillId="0" borderId="15" xfId="0" applyFont="1" applyBorder="1" applyAlignment="1">
      <alignment horizontal="center" wrapText="1"/>
    </xf>
    <xf numFmtId="0" fontId="0" fillId="0" borderId="15" xfId="0" applyBorder="1"/>
    <xf numFmtId="49" fontId="26" fillId="25" borderId="10" xfId="0" applyNumberFormat="1" applyFont="1" applyFill="1" applyBorder="1" applyAlignment="1" applyProtection="1">
      <alignment horizontal="center" vertical="center"/>
      <protection locked="0"/>
    </xf>
    <xf numFmtId="4" fontId="35" fillId="0" borderId="10" xfId="0" applyNumberFormat="1" applyFont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0" fillId="0" borderId="27" xfId="0" applyBorder="1"/>
    <xf numFmtId="0" fontId="0" fillId="0" borderId="28" xfId="0" applyBorder="1"/>
    <xf numFmtId="0" fontId="34" fillId="25" borderId="13" xfId="0" applyFont="1" applyFill="1" applyBorder="1" applyAlignment="1" applyProtection="1">
      <alignment horizontal="center" vertical="top" wrapText="1"/>
      <protection locked="0"/>
    </xf>
    <xf numFmtId="0" fontId="0" fillId="0" borderId="18" xfId="0" applyBorder="1" applyProtection="1">
      <protection locked="0"/>
    </xf>
    <xf numFmtId="0" fontId="0" fillId="0" borderId="25" xfId="0" applyBorder="1" applyProtection="1">
      <protection locked="0"/>
    </xf>
    <xf numFmtId="169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34" xfId="0" applyBorder="1" applyProtection="1">
      <protection hidden="1"/>
    </xf>
    <xf numFmtId="2" fontId="34" fillId="26" borderId="0" xfId="0" applyNumberFormat="1" applyFont="1" applyFill="1" applyAlignment="1" applyProtection="1">
      <alignment horizontal="left" vertical="center" wrapText="1"/>
      <protection hidden="1"/>
    </xf>
    <xf numFmtId="166" fontId="26" fillId="25" borderId="13" xfId="0" applyNumberFormat="1" applyFont="1" applyFill="1" applyBorder="1" applyAlignment="1" applyProtection="1">
      <alignment horizontal="center" vertical="center"/>
      <protection locked="0"/>
    </xf>
    <xf numFmtId="0" fontId="34" fillId="25" borderId="10" xfId="0" applyFont="1" applyFill="1" applyBorder="1" applyAlignment="1" applyProtection="1">
      <alignment horizontal="left" vertical="top" wrapText="1"/>
      <protection locked="0"/>
    </xf>
    <xf numFmtId="0" fontId="0" fillId="0" borderId="26" xfId="0" applyBorder="1" applyProtection="1">
      <protection locked="0"/>
    </xf>
    <xf numFmtId="166" fontId="26" fillId="25" borderId="14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locked="0"/>
    </xf>
    <xf numFmtId="2" fontId="32" fillId="24" borderId="10" xfId="0" applyNumberFormat="1" applyFont="1" applyFill="1" applyBorder="1" applyAlignment="1" applyProtection="1">
      <alignment horizontal="left" vertical="center" wrapText="1"/>
      <protection hidden="1"/>
    </xf>
    <xf numFmtId="2" fontId="32" fillId="24" borderId="10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38" xfId="0" applyBorder="1" applyProtection="1">
      <protection hidden="1"/>
    </xf>
    <xf numFmtId="2" fontId="38" fillId="24" borderId="10" xfId="0" applyNumberFormat="1" applyFont="1" applyFill="1" applyBorder="1" applyAlignment="1" applyProtection="1">
      <alignment horizontal="left" vertical="center" wrapText="1"/>
      <protection hidden="1"/>
    </xf>
    <xf numFmtId="0" fontId="33" fillId="0" borderId="12" xfId="0" applyFont="1" applyBorder="1" applyAlignment="1" applyProtection="1">
      <alignment horizontal="right" vertical="center" wrapText="1"/>
      <protection hidden="1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2" fontId="32" fillId="24" borderId="14" xfId="0" applyNumberFormat="1" applyFont="1" applyFill="1" applyBorder="1" applyAlignment="1" applyProtection="1">
      <alignment vertical="center" wrapText="1"/>
      <protection hidden="1"/>
    </xf>
    <xf numFmtId="165" fontId="20" fillId="24" borderId="0" xfId="0" applyNumberFormat="1" applyFont="1" applyFill="1" applyAlignment="1">
      <alignment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69"/>
  <sheetViews>
    <sheetView showGridLines="0" tabSelected="1" topLeftCell="F1" zoomScaleNormal="100" workbookViewId="0">
      <selection activeCell="V26" sqref="V26"/>
    </sheetView>
  </sheetViews>
  <sheetFormatPr defaultColWidth="9.140625" defaultRowHeight="12.75" x14ac:dyDescent="0.2"/>
  <cols>
    <col min="1" max="1" width="9.140625" style="1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13.85546875" style="3" hidden="1" customWidth="1"/>
    <col min="12" max="12" width="9.42578125" style="3" customWidth="1"/>
    <col min="13" max="13" width="10.42578125" style="2" customWidth="1"/>
    <col min="14" max="14" width="7.42578125" style="4" customWidth="1"/>
    <col min="15" max="15" width="15.5703125" style="4" customWidth="1"/>
    <col min="16" max="16" width="8.140625" style="1" customWidth="1"/>
    <col min="17" max="17" width="6.140625" style="1" customWidth="1"/>
    <col min="18" max="18" width="10.85546875" style="5" customWidth="1"/>
    <col min="19" max="19" width="10.42578125" style="5" customWidth="1"/>
    <col min="20" max="20" width="9.42578125" style="5" customWidth="1"/>
    <col min="21" max="21" width="8.42578125" style="5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7" customWidth="1"/>
    <col min="28" max="28" width="9.140625" style="57" customWidth="1"/>
    <col min="29" max="29" width="8.85546875" style="57" customWidth="1"/>
    <col min="30" max="30" width="13.5703125" style="1" customWidth="1"/>
    <col min="31" max="1025" width="9.140625" style="1" customWidth="1"/>
  </cols>
  <sheetData>
    <row r="1" spans="1:29" s="63" customFormat="1" ht="45" customHeight="1" x14ac:dyDescent="0.2">
      <c r="A1" s="6"/>
      <c r="B1" s="6"/>
      <c r="C1" s="6"/>
      <c r="D1" s="119" t="s">
        <v>0</v>
      </c>
      <c r="E1" s="120"/>
      <c r="F1" s="120"/>
      <c r="G1" s="7" t="s">
        <v>1</v>
      </c>
      <c r="H1" s="119" t="s">
        <v>2</v>
      </c>
      <c r="I1" s="120"/>
      <c r="J1" s="120"/>
      <c r="K1" s="120"/>
      <c r="L1" s="120"/>
      <c r="M1" s="120"/>
      <c r="N1" s="120"/>
      <c r="O1" s="120"/>
      <c r="P1" s="161" t="s">
        <v>3</v>
      </c>
      <c r="Q1" s="120"/>
      <c r="R1" s="120"/>
      <c r="S1" s="8"/>
      <c r="T1" s="8"/>
      <c r="U1" s="8"/>
      <c r="V1" s="8"/>
      <c r="W1" s="8"/>
      <c r="X1" s="8"/>
      <c r="Y1" s="8"/>
      <c r="Z1" s="9"/>
      <c r="AA1" s="9"/>
      <c r="AB1" s="9"/>
      <c r="AC1" s="9"/>
    </row>
    <row r="2" spans="1:29" s="63" customFormat="1" ht="16.5" customHeight="1" x14ac:dyDescent="0.2">
      <c r="A2" s="10" t="s">
        <v>4</v>
      </c>
      <c r="B2" s="11" t="s">
        <v>5</v>
      </c>
      <c r="C2" s="12"/>
      <c r="D2" s="12"/>
      <c r="E2" s="13"/>
      <c r="F2" s="13"/>
      <c r="G2" s="13"/>
      <c r="H2" s="13"/>
      <c r="I2" s="13"/>
      <c r="J2" s="13"/>
      <c r="K2" s="13"/>
      <c r="L2" s="13"/>
      <c r="M2" s="13"/>
      <c r="N2" s="105" t="str">
        <f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O2" s="76"/>
      <c r="P2" s="76"/>
      <c r="Q2" s="76"/>
      <c r="R2" s="76"/>
      <c r="S2" s="76"/>
      <c r="T2" s="76"/>
      <c r="U2" s="76"/>
      <c r="V2" s="14"/>
      <c r="W2" s="14"/>
      <c r="X2" s="14"/>
      <c r="Y2" s="14"/>
      <c r="Z2" s="15"/>
      <c r="AA2" s="15"/>
      <c r="AB2" s="15"/>
    </row>
    <row r="3" spans="1:29" s="63" customFormat="1" ht="11.25" customHeight="1" x14ac:dyDescent="0.2">
      <c r="A3" s="16"/>
      <c r="B3" s="17" t="s">
        <v>6</v>
      </c>
      <c r="C3" s="18"/>
      <c r="D3" s="18"/>
      <c r="E3" s="19"/>
      <c r="F3" s="20" t="s">
        <v>7</v>
      </c>
      <c r="G3" s="13"/>
      <c r="H3" s="13"/>
      <c r="I3" s="13"/>
      <c r="J3" s="20"/>
      <c r="K3" s="20"/>
      <c r="L3" s="13"/>
      <c r="M3" s="13"/>
      <c r="N3" s="76"/>
      <c r="O3" s="76"/>
      <c r="P3" s="76"/>
      <c r="Q3" s="76"/>
      <c r="R3" s="76"/>
      <c r="S3" s="76"/>
      <c r="T3" s="76"/>
      <c r="U3" s="76"/>
      <c r="V3" s="14"/>
      <c r="W3" s="14"/>
      <c r="X3" s="14"/>
      <c r="Y3" s="14"/>
      <c r="Z3" s="15"/>
      <c r="AA3" s="15"/>
      <c r="AB3" s="15"/>
    </row>
    <row r="4" spans="1:29" s="63" customFormat="1" ht="9" customHeight="1" x14ac:dyDescent="0.2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2"/>
      <c r="P4" s="22"/>
      <c r="Q4" s="22"/>
      <c r="R4" s="22"/>
      <c r="S4" s="22"/>
      <c r="T4" s="23"/>
      <c r="U4" s="24"/>
      <c r="V4" s="24"/>
      <c r="W4" s="24"/>
      <c r="X4" s="24"/>
      <c r="Y4" s="24"/>
      <c r="Z4" s="15"/>
      <c r="AA4" s="15"/>
      <c r="AB4" s="15"/>
    </row>
    <row r="5" spans="1:29" s="63" customFormat="1" ht="23.45" customHeight="1" x14ac:dyDescent="0.2">
      <c r="A5" s="127" t="s">
        <v>8</v>
      </c>
      <c r="B5" s="100"/>
      <c r="C5" s="101"/>
      <c r="D5" s="89"/>
      <c r="E5" s="91"/>
      <c r="F5" s="155" t="s">
        <v>9</v>
      </c>
      <c r="G5" s="101"/>
      <c r="H5" s="89"/>
      <c r="I5" s="90"/>
      <c r="J5" s="90"/>
      <c r="K5" s="90"/>
      <c r="L5" s="91"/>
      <c r="N5" s="25" t="s">
        <v>10</v>
      </c>
      <c r="O5" s="146">
        <v>45253</v>
      </c>
      <c r="P5" s="115"/>
      <c r="R5" s="158" t="s">
        <v>11</v>
      </c>
      <c r="S5" s="104"/>
      <c r="T5" s="137" t="s">
        <v>12</v>
      </c>
      <c r="U5" s="115"/>
      <c r="Z5" s="15"/>
      <c r="AA5" s="15"/>
      <c r="AB5" s="15"/>
    </row>
    <row r="6" spans="1:29" s="63" customFormat="1" ht="24" customHeight="1" x14ac:dyDescent="0.2">
      <c r="A6" s="127" t="s">
        <v>13</v>
      </c>
      <c r="B6" s="100"/>
      <c r="C6" s="101"/>
      <c r="D6" s="150" t="s">
        <v>14</v>
      </c>
      <c r="E6" s="151"/>
      <c r="F6" s="151"/>
      <c r="G6" s="151"/>
      <c r="H6" s="151"/>
      <c r="I6" s="151"/>
      <c r="J6" s="151"/>
      <c r="K6" s="151"/>
      <c r="L6" s="115"/>
      <c r="N6" s="25" t="s">
        <v>15</v>
      </c>
      <c r="O6" s="126" t="str">
        <f>IF(O5=0," ",CHOOSE(WEEKDAY(O5,2),"Понедельник","Вторник","Среда","Четверг","Пятница","Суббота","Воскресенье"))</f>
        <v>Четверг</v>
      </c>
      <c r="P6" s="73"/>
      <c r="R6" s="103" t="s">
        <v>16</v>
      </c>
      <c r="S6" s="104"/>
      <c r="T6" s="138" t="s">
        <v>17</v>
      </c>
      <c r="U6" s="96"/>
      <c r="Z6" s="15"/>
      <c r="AA6" s="15"/>
      <c r="AB6" s="15"/>
    </row>
    <row r="7" spans="1:29" s="63" customFormat="1" ht="21.75" hidden="1" customHeight="1" x14ac:dyDescent="0.2">
      <c r="A7" s="26"/>
      <c r="B7" s="26"/>
      <c r="C7" s="26"/>
      <c r="D7" s="143" t="str">
        <f>IFERROR(VLOOKUP(DeliveryAddress,Table,3,0),1)</f>
        <v>1</v>
      </c>
      <c r="E7" s="144"/>
      <c r="F7" s="144"/>
      <c r="G7" s="144"/>
      <c r="H7" s="144"/>
      <c r="I7" s="144"/>
      <c r="J7" s="144"/>
      <c r="K7" s="144"/>
      <c r="L7" s="145"/>
      <c r="N7" s="25"/>
      <c r="O7" s="27"/>
      <c r="P7" s="27"/>
      <c r="R7" s="76"/>
      <c r="S7" s="104"/>
      <c r="T7" s="139"/>
      <c r="U7" s="140"/>
      <c r="Z7" s="15"/>
      <c r="AA7" s="15"/>
      <c r="AB7" s="15"/>
    </row>
    <row r="8" spans="1:29" s="63" customFormat="1" ht="25.5" customHeight="1" x14ac:dyDescent="0.2">
      <c r="A8" s="160" t="s">
        <v>18</v>
      </c>
      <c r="B8" s="79"/>
      <c r="C8" s="80"/>
      <c r="D8" s="116"/>
      <c r="E8" s="117"/>
      <c r="F8" s="117"/>
      <c r="G8" s="117"/>
      <c r="H8" s="117"/>
      <c r="I8" s="117"/>
      <c r="J8" s="117"/>
      <c r="K8" s="117"/>
      <c r="L8" s="118"/>
      <c r="N8" s="25" t="s">
        <v>19</v>
      </c>
      <c r="O8" s="114">
        <v>0.41666666666666669</v>
      </c>
      <c r="P8" s="115"/>
      <c r="R8" s="76"/>
      <c r="S8" s="104"/>
      <c r="T8" s="139"/>
      <c r="U8" s="140"/>
      <c r="Z8" s="15"/>
      <c r="AA8" s="15"/>
      <c r="AB8" s="15"/>
    </row>
    <row r="9" spans="1:29" s="63" customFormat="1" ht="39.950000000000003" customHeight="1" x14ac:dyDescent="0.2">
      <c r="A9" s="134" t="str">
        <f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76"/>
      <c r="C9" s="76"/>
      <c r="D9" s="133"/>
      <c r="E9" s="88"/>
      <c r="F9" s="1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6"/>
      <c r="H9" s="87" t="str">
        <f>IF(AND($A$9="Тип доверенности/получателя при получении в адресе перегруза:",$D$9="Разовая доверенность"),"Введите ФИО","")</f>
        <v/>
      </c>
      <c r="I9" s="88"/>
      <c r="J9" s="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8"/>
      <c r="L9" s="88"/>
      <c r="N9" s="28" t="s">
        <v>20</v>
      </c>
      <c r="O9" s="146"/>
      <c r="P9" s="115"/>
      <c r="R9" s="76"/>
      <c r="S9" s="104"/>
      <c r="T9" s="141"/>
      <c r="U9" s="142"/>
      <c r="V9" s="29"/>
      <c r="W9" s="29"/>
      <c r="X9" s="29"/>
      <c r="Y9" s="29"/>
      <c r="Z9" s="15"/>
      <c r="AA9" s="15"/>
      <c r="AB9" s="15"/>
    </row>
    <row r="10" spans="1:29" s="63" customFormat="1" ht="26.45" customHeight="1" x14ac:dyDescent="0.2">
      <c r="A10" s="1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6"/>
      <c r="C10" s="76"/>
      <c r="D10" s="133"/>
      <c r="E10" s="88"/>
      <c r="F10" s="1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6"/>
      <c r="H10" s="148" t="str">
        <f>IFERROR(VLOOKUP($D$10,Proxy,2,0),"")</f>
        <v/>
      </c>
      <c r="I10" s="76"/>
      <c r="J10" s="76"/>
      <c r="K10" s="76"/>
      <c r="L10" s="76"/>
      <c r="N10" s="28" t="s">
        <v>21</v>
      </c>
      <c r="O10" s="114"/>
      <c r="P10" s="115"/>
      <c r="S10" s="25" t="s">
        <v>22</v>
      </c>
      <c r="T10" s="95" t="s">
        <v>23</v>
      </c>
      <c r="U10" s="96"/>
      <c r="V10" s="30"/>
      <c r="W10" s="30"/>
      <c r="X10" s="30"/>
      <c r="Y10" s="30"/>
      <c r="Z10" s="15"/>
      <c r="AA10" s="15"/>
      <c r="AB10" s="15"/>
    </row>
    <row r="11" spans="1:29" s="63" customFormat="1" ht="15.95" customHeight="1" x14ac:dyDescent="0.2">
      <c r="A11" s="31" t="s">
        <v>24</v>
      </c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N11" s="28" t="s">
        <v>25</v>
      </c>
      <c r="O11" s="114"/>
      <c r="P11" s="115"/>
      <c r="S11" s="25" t="s">
        <v>26</v>
      </c>
      <c r="T11" s="152" t="s">
        <v>27</v>
      </c>
      <c r="U11" s="153"/>
      <c r="V11" s="64"/>
      <c r="W11" s="64"/>
      <c r="X11" s="64"/>
      <c r="Y11" s="64"/>
      <c r="Z11" s="15"/>
      <c r="AA11" s="15"/>
      <c r="AB11" s="15"/>
    </row>
    <row r="12" spans="1:29" s="63" customFormat="1" ht="18.600000000000001" customHeight="1" x14ac:dyDescent="0.2">
      <c r="A12" s="154" t="s">
        <v>28</v>
      </c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1"/>
      <c r="N12" s="25" t="s">
        <v>29</v>
      </c>
      <c r="O12" s="149"/>
      <c r="P12" s="145"/>
      <c r="Q12" s="33"/>
      <c r="S12" s="25"/>
      <c r="T12" s="120"/>
      <c r="U12" s="76"/>
      <c r="Z12" s="15"/>
      <c r="AA12" s="15"/>
      <c r="AB12" s="15"/>
    </row>
    <row r="13" spans="1:29" s="63" customFormat="1" ht="23.25" customHeight="1" x14ac:dyDescent="0.2">
      <c r="A13" s="154" t="s">
        <v>30</v>
      </c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1"/>
      <c r="M13" s="28"/>
      <c r="N13" s="28" t="s">
        <v>31</v>
      </c>
      <c r="O13" s="152"/>
      <c r="P13" s="153"/>
      <c r="Q13" s="33"/>
      <c r="V13" s="34"/>
      <c r="W13" s="34"/>
      <c r="X13" s="34"/>
      <c r="Y13" s="34"/>
      <c r="Z13" s="15"/>
      <c r="AA13" s="15"/>
      <c r="AB13" s="15"/>
    </row>
    <row r="14" spans="1:29" s="63" customFormat="1" ht="18.600000000000001" customHeight="1" x14ac:dyDescent="0.2">
      <c r="A14" s="154" t="s">
        <v>32</v>
      </c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1"/>
      <c r="V14" s="35"/>
      <c r="W14" s="35"/>
      <c r="X14" s="35"/>
      <c r="Y14" s="35"/>
      <c r="Z14" s="15"/>
      <c r="AA14" s="15"/>
      <c r="AB14" s="15"/>
    </row>
    <row r="15" spans="1:29" s="63" customFormat="1" ht="22.5" customHeight="1" x14ac:dyDescent="0.2">
      <c r="A15" s="157" t="s">
        <v>33</v>
      </c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1"/>
      <c r="N15" s="135" t="s">
        <v>34</v>
      </c>
      <c r="O15" s="120"/>
      <c r="P15" s="120"/>
      <c r="Q15" s="120"/>
      <c r="R15" s="120"/>
      <c r="Z15" s="15"/>
      <c r="AA15" s="15"/>
      <c r="AB15" s="15"/>
    </row>
    <row r="16" spans="1:29" ht="18.75" customHeight="1" x14ac:dyDescent="0.2">
      <c r="B16" s="36"/>
      <c r="C16" s="36"/>
      <c r="D16" s="37"/>
      <c r="E16" s="37"/>
      <c r="F16" s="37"/>
      <c r="G16" s="37"/>
      <c r="H16" s="38"/>
      <c r="I16" s="38"/>
      <c r="J16" s="38"/>
      <c r="K16" s="38"/>
      <c r="L16" s="38"/>
      <c r="M16" s="38"/>
      <c r="N16" s="136"/>
      <c r="O16" s="136"/>
      <c r="P16" s="136"/>
      <c r="Q16" s="136"/>
      <c r="R16" s="136"/>
      <c r="S16" s="38"/>
      <c r="T16" s="38"/>
      <c r="U16" s="39"/>
      <c r="V16" s="65"/>
      <c r="W16" s="65"/>
      <c r="X16" s="65"/>
      <c r="Y16" s="65"/>
      <c r="Z16" s="65"/>
    </row>
    <row r="17" spans="1:53" ht="27.75" customHeight="1" x14ac:dyDescent="0.2">
      <c r="A17" s="93" t="s">
        <v>35</v>
      </c>
      <c r="B17" s="93" t="s">
        <v>36</v>
      </c>
      <c r="C17" s="132" t="s">
        <v>37</v>
      </c>
      <c r="D17" s="93" t="s">
        <v>38</v>
      </c>
      <c r="E17" s="122"/>
      <c r="F17" s="93" t="s">
        <v>39</v>
      </c>
      <c r="G17" s="93" t="s">
        <v>40</v>
      </c>
      <c r="H17" s="93" t="s">
        <v>41</v>
      </c>
      <c r="I17" s="93" t="s">
        <v>42</v>
      </c>
      <c r="J17" s="93" t="s">
        <v>43</v>
      </c>
      <c r="K17" s="93" t="s">
        <v>44</v>
      </c>
      <c r="L17" s="93" t="s">
        <v>45</v>
      </c>
      <c r="M17" s="93" t="s">
        <v>46</v>
      </c>
      <c r="N17" s="93" t="s">
        <v>47</v>
      </c>
      <c r="O17" s="121"/>
      <c r="P17" s="121"/>
      <c r="Q17" s="121"/>
      <c r="R17" s="122"/>
      <c r="S17" s="159" t="s">
        <v>48</v>
      </c>
      <c r="T17" s="101"/>
      <c r="U17" s="93" t="s">
        <v>49</v>
      </c>
      <c r="V17" s="93" t="s">
        <v>50</v>
      </c>
      <c r="W17" s="97" t="s">
        <v>51</v>
      </c>
      <c r="X17" s="93" t="s">
        <v>52</v>
      </c>
      <c r="Y17" s="108" t="s">
        <v>53</v>
      </c>
      <c r="Z17" s="108" t="s">
        <v>54</v>
      </c>
      <c r="AA17" s="108" t="s">
        <v>55</v>
      </c>
      <c r="AB17" s="109"/>
      <c r="AC17" s="110"/>
      <c r="AD17" s="128"/>
      <c r="BA17" s="106" t="s">
        <v>56</v>
      </c>
    </row>
    <row r="18" spans="1:53" ht="14.25" customHeight="1" x14ac:dyDescent="0.2">
      <c r="A18" s="94"/>
      <c r="B18" s="94"/>
      <c r="C18" s="94"/>
      <c r="D18" s="123"/>
      <c r="E18" s="125"/>
      <c r="F18" s="94"/>
      <c r="G18" s="94"/>
      <c r="H18" s="94"/>
      <c r="I18" s="94"/>
      <c r="J18" s="94"/>
      <c r="K18" s="94"/>
      <c r="L18" s="94"/>
      <c r="M18" s="94"/>
      <c r="N18" s="123"/>
      <c r="O18" s="124"/>
      <c r="P18" s="124"/>
      <c r="Q18" s="124"/>
      <c r="R18" s="125"/>
      <c r="S18" s="62" t="s">
        <v>57</v>
      </c>
      <c r="T18" s="62" t="s">
        <v>58</v>
      </c>
      <c r="U18" s="94"/>
      <c r="V18" s="94"/>
      <c r="W18" s="98"/>
      <c r="X18" s="94"/>
      <c r="Y18" s="147"/>
      <c r="Z18" s="147"/>
      <c r="AA18" s="111"/>
      <c r="AB18" s="112"/>
      <c r="AC18" s="113"/>
      <c r="AD18" s="129"/>
      <c r="BA18" s="76"/>
    </row>
    <row r="19" spans="1:53" ht="27.75" customHeight="1" x14ac:dyDescent="0.2">
      <c r="A19" s="83" t="s">
        <v>59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40"/>
      <c r="Z19" s="40"/>
    </row>
    <row r="20" spans="1:53" ht="16.5" customHeight="1" x14ac:dyDescent="0.25">
      <c r="A20" s="75" t="s">
        <v>59</v>
      </c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60"/>
      <c r="Z20" s="60"/>
    </row>
    <row r="21" spans="1:53" ht="14.25" customHeight="1" x14ac:dyDescent="0.25">
      <c r="A21" s="77" t="s">
        <v>60</v>
      </c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61"/>
      <c r="Z21" s="61"/>
    </row>
    <row r="22" spans="1:53" ht="27" customHeight="1" x14ac:dyDescent="0.25">
      <c r="A22" s="41" t="s">
        <v>61</v>
      </c>
      <c r="B22" s="41" t="s">
        <v>62</v>
      </c>
      <c r="C22" s="42">
        <v>4301031106</v>
      </c>
      <c r="D22" s="74">
        <v>4607091389258</v>
      </c>
      <c r="E22" s="73"/>
      <c r="F22" s="66">
        <v>0.3</v>
      </c>
      <c r="G22" s="43">
        <v>6</v>
      </c>
      <c r="H22" s="66">
        <v>1.8</v>
      </c>
      <c r="I22" s="66">
        <v>2</v>
      </c>
      <c r="J22" s="43">
        <v>156</v>
      </c>
      <c r="K22" s="43" t="s">
        <v>63</v>
      </c>
      <c r="L22" s="44" t="s">
        <v>64</v>
      </c>
      <c r="M22" s="43">
        <v>35</v>
      </c>
      <c r="N22" s="7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72"/>
      <c r="P22" s="72"/>
      <c r="Q22" s="72"/>
      <c r="R22" s="73"/>
      <c r="S22" s="45"/>
      <c r="T22" s="45"/>
      <c r="U22" s="46" t="s">
        <v>65</v>
      </c>
      <c r="V22" s="67">
        <v>0</v>
      </c>
      <c r="W22" s="68">
        <f>IFERROR(IF(V22="",0,CEILING((V22/$H22),1)*$H22),"")</f>
        <v>0</v>
      </c>
      <c r="X22" s="47" t="str">
        <f>IFERROR(IF(W22=0,"",ROUNDUP(W22/H22,0)*0.00753),"")</f>
        <v/>
      </c>
      <c r="Y22" s="48"/>
      <c r="Z22" s="49"/>
      <c r="AD22" s="50"/>
      <c r="BA22" s="51" t="s">
        <v>1</v>
      </c>
    </row>
    <row r="23" spans="1:53" x14ac:dyDescent="0.2">
      <c r="A23" s="81"/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82"/>
      <c r="N23" s="78" t="s">
        <v>66</v>
      </c>
      <c r="O23" s="79"/>
      <c r="P23" s="79"/>
      <c r="Q23" s="79"/>
      <c r="R23" s="79"/>
      <c r="S23" s="79"/>
      <c r="T23" s="80"/>
      <c r="U23" s="52" t="s">
        <v>67</v>
      </c>
      <c r="V23" s="69">
        <f>IFERROR(V22/H22,"0")</f>
        <v>0</v>
      </c>
      <c r="W23" s="69">
        <f>IFERROR(W22/H22,"0")</f>
        <v>0</v>
      </c>
      <c r="X23" s="69">
        <f>IFERROR(IF(X22="",0,X22),"0")</f>
        <v>0</v>
      </c>
      <c r="Y23" s="70"/>
      <c r="Z23" s="70"/>
    </row>
    <row r="24" spans="1:53" x14ac:dyDescent="0.2">
      <c r="A24" s="76"/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82"/>
      <c r="N24" s="78" t="s">
        <v>66</v>
      </c>
      <c r="O24" s="79"/>
      <c r="P24" s="79"/>
      <c r="Q24" s="79"/>
      <c r="R24" s="79"/>
      <c r="S24" s="79"/>
      <c r="T24" s="80"/>
      <c r="U24" s="52" t="s">
        <v>65</v>
      </c>
      <c r="V24" s="69">
        <f>IFERROR(SUM(V22:V22),"0")</f>
        <v>0</v>
      </c>
      <c r="W24" s="69">
        <f>IFERROR(SUM(W22:W22),"0")</f>
        <v>0</v>
      </c>
      <c r="X24" s="52"/>
      <c r="Y24" s="70"/>
      <c r="Z24" s="70"/>
    </row>
    <row r="25" spans="1:53" ht="14.25" customHeight="1" x14ac:dyDescent="0.25">
      <c r="A25" s="77" t="s">
        <v>68</v>
      </c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61"/>
      <c r="Z25" s="61"/>
    </row>
    <row r="26" spans="1:53" ht="27" customHeight="1" x14ac:dyDescent="0.25">
      <c r="A26" s="41" t="s">
        <v>69</v>
      </c>
      <c r="B26" s="41" t="s">
        <v>70</v>
      </c>
      <c r="C26" s="42">
        <v>4301051176</v>
      </c>
      <c r="D26" s="74">
        <v>4607091383881</v>
      </c>
      <c r="E26" s="73"/>
      <c r="F26" s="66">
        <v>0.33</v>
      </c>
      <c r="G26" s="43">
        <v>6</v>
      </c>
      <c r="H26" s="66">
        <v>1.98</v>
      </c>
      <c r="I26" s="66">
        <v>2.246</v>
      </c>
      <c r="J26" s="43">
        <v>156</v>
      </c>
      <c r="K26" s="43" t="s">
        <v>63</v>
      </c>
      <c r="L26" s="44" t="s">
        <v>64</v>
      </c>
      <c r="M26" s="43">
        <v>35</v>
      </c>
      <c r="N26" s="7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72"/>
      <c r="P26" s="72"/>
      <c r="Q26" s="72"/>
      <c r="R26" s="73"/>
      <c r="S26" s="45"/>
      <c r="T26" s="45"/>
      <c r="U26" s="46" t="s">
        <v>65</v>
      </c>
      <c r="V26" s="67">
        <v>0</v>
      </c>
      <c r="W26" s="68">
        <f t="shared" ref="W26:W31" si="0">IFERROR(IF(V26="",0,CEILING((V26/$H26),1)*$H26),"")</f>
        <v>0</v>
      </c>
      <c r="X26" s="47" t="str">
        <f t="shared" ref="X26:X31" si="1">IFERROR(IF(W26=0,"",ROUNDUP(W26/H26,0)*0.00753),"")</f>
        <v/>
      </c>
      <c r="Y26" s="48"/>
      <c r="Z26" s="49"/>
      <c r="AD26" s="50"/>
      <c r="BA26" s="51" t="s">
        <v>1</v>
      </c>
    </row>
    <row r="27" spans="1:53" ht="27" customHeight="1" x14ac:dyDescent="0.25">
      <c r="A27" s="41" t="s">
        <v>71</v>
      </c>
      <c r="B27" s="41" t="s">
        <v>72</v>
      </c>
      <c r="C27" s="42">
        <v>4301051172</v>
      </c>
      <c r="D27" s="74">
        <v>4607091388237</v>
      </c>
      <c r="E27" s="73"/>
      <c r="F27" s="66">
        <v>0.42</v>
      </c>
      <c r="G27" s="43">
        <v>6</v>
      </c>
      <c r="H27" s="66">
        <v>2.52</v>
      </c>
      <c r="I27" s="66">
        <v>2.786</v>
      </c>
      <c r="J27" s="43">
        <v>156</v>
      </c>
      <c r="K27" s="43" t="s">
        <v>63</v>
      </c>
      <c r="L27" s="44" t="s">
        <v>64</v>
      </c>
      <c r="M27" s="43">
        <v>35</v>
      </c>
      <c r="N27" s="7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72"/>
      <c r="P27" s="72"/>
      <c r="Q27" s="72"/>
      <c r="R27" s="73"/>
      <c r="S27" s="45"/>
      <c r="T27" s="45"/>
      <c r="U27" s="46" t="s">
        <v>65</v>
      </c>
      <c r="V27" s="67">
        <v>0</v>
      </c>
      <c r="W27" s="68">
        <f t="shared" si="0"/>
        <v>0</v>
      </c>
      <c r="X27" s="47" t="str">
        <f t="shared" si="1"/>
        <v/>
      </c>
      <c r="Y27" s="48"/>
      <c r="Z27" s="49"/>
      <c r="AD27" s="50"/>
      <c r="BA27" s="51" t="s">
        <v>1</v>
      </c>
    </row>
    <row r="28" spans="1:53" ht="27" customHeight="1" x14ac:dyDescent="0.25">
      <c r="A28" s="41" t="s">
        <v>73</v>
      </c>
      <c r="B28" s="41" t="s">
        <v>74</v>
      </c>
      <c r="C28" s="42">
        <v>4301051180</v>
      </c>
      <c r="D28" s="74">
        <v>4607091383935</v>
      </c>
      <c r="E28" s="73"/>
      <c r="F28" s="66">
        <v>0.33</v>
      </c>
      <c r="G28" s="43">
        <v>6</v>
      </c>
      <c r="H28" s="66">
        <v>1.98</v>
      </c>
      <c r="I28" s="66">
        <v>2.246</v>
      </c>
      <c r="J28" s="43">
        <v>156</v>
      </c>
      <c r="K28" s="43" t="s">
        <v>63</v>
      </c>
      <c r="L28" s="44" t="s">
        <v>64</v>
      </c>
      <c r="M28" s="43">
        <v>30</v>
      </c>
      <c r="N28" s="7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72"/>
      <c r="P28" s="72"/>
      <c r="Q28" s="72"/>
      <c r="R28" s="73"/>
      <c r="S28" s="45"/>
      <c r="T28" s="45"/>
      <c r="U28" s="46" t="s">
        <v>65</v>
      </c>
      <c r="V28" s="67">
        <v>0</v>
      </c>
      <c r="W28" s="68">
        <f t="shared" si="0"/>
        <v>0</v>
      </c>
      <c r="X28" s="47" t="str">
        <f t="shared" si="1"/>
        <v/>
      </c>
      <c r="Y28" s="48"/>
      <c r="Z28" s="49"/>
      <c r="AD28" s="50"/>
      <c r="BA28" s="51" t="s">
        <v>1</v>
      </c>
    </row>
    <row r="29" spans="1:53" ht="27" customHeight="1" x14ac:dyDescent="0.25">
      <c r="A29" s="41" t="s">
        <v>75</v>
      </c>
      <c r="B29" s="41" t="s">
        <v>76</v>
      </c>
      <c r="C29" s="42">
        <v>4301051426</v>
      </c>
      <c r="D29" s="74">
        <v>4680115881853</v>
      </c>
      <c r="E29" s="73"/>
      <c r="F29" s="66">
        <v>0.33</v>
      </c>
      <c r="G29" s="43">
        <v>6</v>
      </c>
      <c r="H29" s="66">
        <v>1.98</v>
      </c>
      <c r="I29" s="66">
        <v>2.246</v>
      </c>
      <c r="J29" s="43">
        <v>156</v>
      </c>
      <c r="K29" s="43" t="s">
        <v>63</v>
      </c>
      <c r="L29" s="44" t="s">
        <v>64</v>
      </c>
      <c r="M29" s="43">
        <v>30</v>
      </c>
      <c r="N29" s="7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72"/>
      <c r="P29" s="72"/>
      <c r="Q29" s="72"/>
      <c r="R29" s="73"/>
      <c r="S29" s="45"/>
      <c r="T29" s="45"/>
      <c r="U29" s="46" t="s">
        <v>65</v>
      </c>
      <c r="V29" s="67">
        <v>0</v>
      </c>
      <c r="W29" s="68">
        <f t="shared" si="0"/>
        <v>0</v>
      </c>
      <c r="X29" s="47" t="str">
        <f t="shared" si="1"/>
        <v/>
      </c>
      <c r="Y29" s="48"/>
      <c r="Z29" s="49"/>
      <c r="AD29" s="50"/>
      <c r="BA29" s="51" t="s">
        <v>1</v>
      </c>
    </row>
    <row r="30" spans="1:53" ht="27" customHeight="1" x14ac:dyDescent="0.25">
      <c r="A30" s="41" t="s">
        <v>77</v>
      </c>
      <c r="B30" s="41" t="s">
        <v>78</v>
      </c>
      <c r="C30" s="42">
        <v>4301051178</v>
      </c>
      <c r="D30" s="74">
        <v>4607091383911</v>
      </c>
      <c r="E30" s="73"/>
      <c r="F30" s="66">
        <v>0.33</v>
      </c>
      <c r="G30" s="43">
        <v>6</v>
      </c>
      <c r="H30" s="66">
        <v>1.98</v>
      </c>
      <c r="I30" s="66">
        <v>2.246</v>
      </c>
      <c r="J30" s="43">
        <v>156</v>
      </c>
      <c r="K30" s="43" t="s">
        <v>63</v>
      </c>
      <c r="L30" s="44" t="s">
        <v>64</v>
      </c>
      <c r="M30" s="43">
        <v>35</v>
      </c>
      <c r="N30" s="7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72"/>
      <c r="P30" s="72"/>
      <c r="Q30" s="72"/>
      <c r="R30" s="73"/>
      <c r="S30" s="45"/>
      <c r="T30" s="45"/>
      <c r="U30" s="46" t="s">
        <v>65</v>
      </c>
      <c r="V30" s="67">
        <v>0</v>
      </c>
      <c r="W30" s="68">
        <f t="shared" si="0"/>
        <v>0</v>
      </c>
      <c r="X30" s="47" t="str">
        <f t="shared" si="1"/>
        <v/>
      </c>
      <c r="Y30" s="48"/>
      <c r="Z30" s="49"/>
      <c r="AD30" s="50"/>
      <c r="BA30" s="51" t="s">
        <v>1</v>
      </c>
    </row>
    <row r="31" spans="1:53" ht="27" customHeight="1" x14ac:dyDescent="0.25">
      <c r="A31" s="41" t="s">
        <v>79</v>
      </c>
      <c r="B31" s="41" t="s">
        <v>80</v>
      </c>
      <c r="C31" s="42">
        <v>4301051174</v>
      </c>
      <c r="D31" s="74">
        <v>4607091388244</v>
      </c>
      <c r="E31" s="73"/>
      <c r="F31" s="66">
        <v>0.42</v>
      </c>
      <c r="G31" s="43">
        <v>6</v>
      </c>
      <c r="H31" s="66">
        <v>2.52</v>
      </c>
      <c r="I31" s="66">
        <v>2.786</v>
      </c>
      <c r="J31" s="43">
        <v>156</v>
      </c>
      <c r="K31" s="43" t="s">
        <v>63</v>
      </c>
      <c r="L31" s="44" t="s">
        <v>64</v>
      </c>
      <c r="M31" s="43">
        <v>35</v>
      </c>
      <c r="N31" s="7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72"/>
      <c r="P31" s="72"/>
      <c r="Q31" s="72"/>
      <c r="R31" s="73"/>
      <c r="S31" s="45"/>
      <c r="T31" s="45"/>
      <c r="U31" s="46" t="s">
        <v>65</v>
      </c>
      <c r="V31" s="67">
        <v>0</v>
      </c>
      <c r="W31" s="68">
        <f t="shared" si="0"/>
        <v>0</v>
      </c>
      <c r="X31" s="47" t="str">
        <f t="shared" si="1"/>
        <v/>
      </c>
      <c r="Y31" s="48"/>
      <c r="Z31" s="49"/>
      <c r="AD31" s="50"/>
      <c r="BA31" s="51" t="s">
        <v>1</v>
      </c>
    </row>
    <row r="32" spans="1:53" x14ac:dyDescent="0.2">
      <c r="A32" s="81"/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82"/>
      <c r="N32" s="78" t="s">
        <v>66</v>
      </c>
      <c r="O32" s="79"/>
      <c r="P32" s="79"/>
      <c r="Q32" s="79"/>
      <c r="R32" s="79"/>
      <c r="S32" s="79"/>
      <c r="T32" s="80"/>
      <c r="U32" s="52" t="s">
        <v>67</v>
      </c>
      <c r="V32" s="69">
        <f>IFERROR(V26/H26,"0")+IFERROR(V27/H27,"0")+IFERROR(V28/H28,"0")+IFERROR(V29/H29,"0")+IFERROR(V30/H30,"0")+IFERROR(V31/H31,"0")</f>
        <v>0</v>
      </c>
      <c r="W32" s="69">
        <f>IFERROR(W26/H26,"0")+IFERROR(W27/H27,"0")+IFERROR(W28/H28,"0")+IFERROR(W29/H29,"0")+IFERROR(W30/H30,"0")+IFERROR(W31/H31,"0")</f>
        <v>0</v>
      </c>
      <c r="X32" s="69">
        <f>IFERROR(IF(X26="",0,X26),"0")+IFERROR(IF(X27="",0,X27),"0")+IFERROR(IF(X28="",0,X28),"0")+IFERROR(IF(X29="",0,X29),"0")+IFERROR(IF(X30="",0,X30),"0")+IFERROR(IF(X31="",0,X31),"0")</f>
        <v>0</v>
      </c>
      <c r="Y32" s="70"/>
      <c r="Z32" s="70"/>
    </row>
    <row r="33" spans="1:53" x14ac:dyDescent="0.2">
      <c r="A33" s="76"/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82"/>
      <c r="N33" s="78" t="s">
        <v>66</v>
      </c>
      <c r="O33" s="79"/>
      <c r="P33" s="79"/>
      <c r="Q33" s="79"/>
      <c r="R33" s="79"/>
      <c r="S33" s="79"/>
      <c r="T33" s="80"/>
      <c r="U33" s="52" t="s">
        <v>65</v>
      </c>
      <c r="V33" s="69">
        <f>IFERROR(SUM(V26:V31),"0")</f>
        <v>0</v>
      </c>
      <c r="W33" s="69">
        <f>IFERROR(SUM(W26:W31),"0")</f>
        <v>0</v>
      </c>
      <c r="X33" s="52"/>
      <c r="Y33" s="70"/>
      <c r="Z33" s="70"/>
    </row>
    <row r="34" spans="1:53" ht="14.25" customHeight="1" x14ac:dyDescent="0.25">
      <c r="A34" s="77" t="s">
        <v>81</v>
      </c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61"/>
      <c r="Z34" s="61"/>
    </row>
    <row r="35" spans="1:53" ht="27" customHeight="1" x14ac:dyDescent="0.25">
      <c r="A35" s="41" t="s">
        <v>82</v>
      </c>
      <c r="B35" s="41" t="s">
        <v>83</v>
      </c>
      <c r="C35" s="42">
        <v>4301032013</v>
      </c>
      <c r="D35" s="74">
        <v>4607091388503</v>
      </c>
      <c r="E35" s="73"/>
      <c r="F35" s="66">
        <v>0.05</v>
      </c>
      <c r="G35" s="43">
        <v>12</v>
      </c>
      <c r="H35" s="66">
        <v>0.6</v>
      </c>
      <c r="I35" s="66">
        <v>0.84199999999999997</v>
      </c>
      <c r="J35" s="43">
        <v>156</v>
      </c>
      <c r="K35" s="43" t="s">
        <v>63</v>
      </c>
      <c r="L35" s="44" t="s">
        <v>84</v>
      </c>
      <c r="M35" s="43">
        <v>120</v>
      </c>
      <c r="N35" s="7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72"/>
      <c r="P35" s="72"/>
      <c r="Q35" s="72"/>
      <c r="R35" s="73"/>
      <c r="S35" s="45"/>
      <c r="T35" s="45"/>
      <c r="U35" s="46" t="s">
        <v>65</v>
      </c>
      <c r="V35" s="67">
        <v>0</v>
      </c>
      <c r="W35" s="68">
        <f>IFERROR(IF(V35="",0,CEILING((V35/$H35),1)*$H35),"")</f>
        <v>0</v>
      </c>
      <c r="X35" s="47" t="str">
        <f>IFERROR(IF(W35=0,"",ROUNDUP(W35/H35,0)*0.00753),"")</f>
        <v/>
      </c>
      <c r="Y35" s="48"/>
      <c r="Z35" s="49"/>
      <c r="AD35" s="50"/>
      <c r="BA35" s="51" t="s">
        <v>85</v>
      </c>
    </row>
    <row r="36" spans="1:53" x14ac:dyDescent="0.2">
      <c r="A36" s="81"/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82"/>
      <c r="N36" s="78" t="s">
        <v>66</v>
      </c>
      <c r="O36" s="79"/>
      <c r="P36" s="79"/>
      <c r="Q36" s="79"/>
      <c r="R36" s="79"/>
      <c r="S36" s="79"/>
      <c r="T36" s="80"/>
      <c r="U36" s="52" t="s">
        <v>67</v>
      </c>
      <c r="V36" s="69">
        <f>IFERROR(V35/H35,"0")</f>
        <v>0</v>
      </c>
      <c r="W36" s="69">
        <f>IFERROR(W35/H35,"0")</f>
        <v>0</v>
      </c>
      <c r="X36" s="69">
        <f>IFERROR(IF(X35="",0,X35),"0")</f>
        <v>0</v>
      </c>
      <c r="Y36" s="70"/>
      <c r="Z36" s="70"/>
    </row>
    <row r="37" spans="1:53" x14ac:dyDescent="0.2">
      <c r="A37" s="76"/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82"/>
      <c r="N37" s="78" t="s">
        <v>66</v>
      </c>
      <c r="O37" s="79"/>
      <c r="P37" s="79"/>
      <c r="Q37" s="79"/>
      <c r="R37" s="79"/>
      <c r="S37" s="79"/>
      <c r="T37" s="80"/>
      <c r="U37" s="52" t="s">
        <v>65</v>
      </c>
      <c r="V37" s="69">
        <f>IFERROR(SUM(V35:V35),"0")</f>
        <v>0</v>
      </c>
      <c r="W37" s="69">
        <f>IFERROR(SUM(W35:W35),"0")</f>
        <v>0</v>
      </c>
      <c r="X37" s="52"/>
      <c r="Y37" s="70"/>
      <c r="Z37" s="70"/>
    </row>
    <row r="38" spans="1:53" ht="14.25" customHeight="1" x14ac:dyDescent="0.25">
      <c r="A38" s="77" t="s">
        <v>86</v>
      </c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61"/>
      <c r="Z38" s="61"/>
    </row>
    <row r="39" spans="1:53" ht="80.25" customHeight="1" x14ac:dyDescent="0.25">
      <c r="A39" s="41" t="s">
        <v>87</v>
      </c>
      <c r="B39" s="41" t="s">
        <v>88</v>
      </c>
      <c r="C39" s="42">
        <v>4301160001</v>
      </c>
      <c r="D39" s="74">
        <v>4607091388282</v>
      </c>
      <c r="E39" s="73"/>
      <c r="F39" s="66">
        <v>0.3</v>
      </c>
      <c r="G39" s="43">
        <v>6</v>
      </c>
      <c r="H39" s="66">
        <v>1.8</v>
      </c>
      <c r="I39" s="66">
        <v>2.0840000000000001</v>
      </c>
      <c r="J39" s="43">
        <v>156</v>
      </c>
      <c r="K39" s="43" t="s">
        <v>63</v>
      </c>
      <c r="L39" s="44" t="s">
        <v>84</v>
      </c>
      <c r="M39" s="43">
        <v>30</v>
      </c>
      <c r="N39" s="7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72"/>
      <c r="P39" s="72"/>
      <c r="Q39" s="72"/>
      <c r="R39" s="73"/>
      <c r="S39" s="45"/>
      <c r="T39" s="45"/>
      <c r="U39" s="46" t="s">
        <v>65</v>
      </c>
      <c r="V39" s="67">
        <v>0</v>
      </c>
      <c r="W39" s="68">
        <f>IFERROR(IF(V39="",0,CEILING((V39/$H39),1)*$H39),"")</f>
        <v>0</v>
      </c>
      <c r="X39" s="47" t="str">
        <f>IFERROR(IF(W39=0,"",ROUNDUP(W39/H39,0)*0.00753),"")</f>
        <v/>
      </c>
      <c r="Y39" s="48" t="s">
        <v>89</v>
      </c>
      <c r="Z39" s="49"/>
      <c r="AD39" s="50"/>
      <c r="BA39" s="51" t="s">
        <v>1</v>
      </c>
    </row>
    <row r="40" spans="1:53" x14ac:dyDescent="0.2">
      <c r="A40" s="81"/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82"/>
      <c r="N40" s="78" t="s">
        <v>66</v>
      </c>
      <c r="O40" s="79"/>
      <c r="P40" s="79"/>
      <c r="Q40" s="79"/>
      <c r="R40" s="79"/>
      <c r="S40" s="79"/>
      <c r="T40" s="80"/>
      <c r="U40" s="52" t="s">
        <v>67</v>
      </c>
      <c r="V40" s="69">
        <f>IFERROR(V39/H39,"0")</f>
        <v>0</v>
      </c>
      <c r="W40" s="69">
        <f>IFERROR(W39/H39,"0")</f>
        <v>0</v>
      </c>
      <c r="X40" s="69">
        <f>IFERROR(IF(X39="",0,X39),"0")</f>
        <v>0</v>
      </c>
      <c r="Y40" s="70"/>
      <c r="Z40" s="70"/>
    </row>
    <row r="41" spans="1:53" x14ac:dyDescent="0.2">
      <c r="A41" s="76"/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82"/>
      <c r="N41" s="78" t="s">
        <v>66</v>
      </c>
      <c r="O41" s="79"/>
      <c r="P41" s="79"/>
      <c r="Q41" s="79"/>
      <c r="R41" s="79"/>
      <c r="S41" s="79"/>
      <c r="T41" s="80"/>
      <c r="U41" s="52" t="s">
        <v>65</v>
      </c>
      <c r="V41" s="69">
        <f>IFERROR(SUM(V39:V39),"0")</f>
        <v>0</v>
      </c>
      <c r="W41" s="69">
        <f>IFERROR(SUM(W39:W39),"0")</f>
        <v>0</v>
      </c>
      <c r="X41" s="52"/>
      <c r="Y41" s="70"/>
      <c r="Z41" s="70"/>
    </row>
    <row r="42" spans="1:53" ht="14.25" customHeight="1" x14ac:dyDescent="0.25">
      <c r="A42" s="77" t="s">
        <v>90</v>
      </c>
      <c r="B42" s="76"/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61"/>
      <c r="Z42" s="61"/>
    </row>
    <row r="43" spans="1:53" ht="27" customHeight="1" x14ac:dyDescent="0.25">
      <c r="A43" s="41" t="s">
        <v>91</v>
      </c>
      <c r="B43" s="41" t="s">
        <v>92</v>
      </c>
      <c r="C43" s="42">
        <v>4301170002</v>
      </c>
      <c r="D43" s="74">
        <v>4607091389111</v>
      </c>
      <c r="E43" s="73"/>
      <c r="F43" s="66">
        <v>2.5000000000000001E-2</v>
      </c>
      <c r="G43" s="43">
        <v>10</v>
      </c>
      <c r="H43" s="66">
        <v>0.25</v>
      </c>
      <c r="I43" s="66">
        <v>0.49199999999999999</v>
      </c>
      <c r="J43" s="43">
        <v>156</v>
      </c>
      <c r="K43" s="43" t="s">
        <v>63</v>
      </c>
      <c r="L43" s="44" t="s">
        <v>84</v>
      </c>
      <c r="M43" s="43">
        <v>120</v>
      </c>
      <c r="N43" s="7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72"/>
      <c r="P43" s="72"/>
      <c r="Q43" s="72"/>
      <c r="R43" s="73"/>
      <c r="S43" s="45"/>
      <c r="T43" s="45"/>
      <c r="U43" s="46" t="s">
        <v>65</v>
      </c>
      <c r="V43" s="67">
        <v>0</v>
      </c>
      <c r="W43" s="68">
        <f>IFERROR(IF(V43="",0,CEILING((V43/$H43),1)*$H43),"")</f>
        <v>0</v>
      </c>
      <c r="X43" s="47" t="str">
        <f>IFERROR(IF(W43=0,"",ROUNDUP(W43/H43,0)*0.00753),"")</f>
        <v/>
      </c>
      <c r="Y43" s="48"/>
      <c r="Z43" s="49"/>
      <c r="AD43" s="50"/>
      <c r="BA43" s="51" t="s">
        <v>85</v>
      </c>
    </row>
    <row r="44" spans="1:53" x14ac:dyDescent="0.2">
      <c r="A44" s="81"/>
      <c r="B44" s="76"/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82"/>
      <c r="N44" s="78" t="s">
        <v>66</v>
      </c>
      <c r="O44" s="79"/>
      <c r="P44" s="79"/>
      <c r="Q44" s="79"/>
      <c r="R44" s="79"/>
      <c r="S44" s="79"/>
      <c r="T44" s="80"/>
      <c r="U44" s="52" t="s">
        <v>67</v>
      </c>
      <c r="V44" s="69">
        <f>IFERROR(V43/H43,"0")</f>
        <v>0</v>
      </c>
      <c r="W44" s="69">
        <f>IFERROR(W43/H43,"0")</f>
        <v>0</v>
      </c>
      <c r="X44" s="69">
        <f>IFERROR(IF(X43="",0,X43),"0")</f>
        <v>0</v>
      </c>
      <c r="Y44" s="70"/>
      <c r="Z44" s="70"/>
    </row>
    <row r="45" spans="1:53" x14ac:dyDescent="0.2">
      <c r="A45" s="76"/>
      <c r="B45" s="76"/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82"/>
      <c r="N45" s="78" t="s">
        <v>66</v>
      </c>
      <c r="O45" s="79"/>
      <c r="P45" s="79"/>
      <c r="Q45" s="79"/>
      <c r="R45" s="79"/>
      <c r="S45" s="79"/>
      <c r="T45" s="80"/>
      <c r="U45" s="52" t="s">
        <v>65</v>
      </c>
      <c r="V45" s="69">
        <f>IFERROR(SUM(V43:V43),"0")</f>
        <v>0</v>
      </c>
      <c r="W45" s="69">
        <f>IFERROR(SUM(W43:W43),"0")</f>
        <v>0</v>
      </c>
      <c r="X45" s="52"/>
      <c r="Y45" s="70"/>
      <c r="Z45" s="70"/>
    </row>
    <row r="46" spans="1:53" ht="27.75" customHeight="1" x14ac:dyDescent="0.2">
      <c r="A46" s="83" t="s">
        <v>93</v>
      </c>
      <c r="B46" s="84"/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40"/>
      <c r="Z46" s="40"/>
    </row>
    <row r="47" spans="1:53" ht="16.5" customHeight="1" x14ac:dyDescent="0.25">
      <c r="A47" s="75" t="s">
        <v>94</v>
      </c>
      <c r="B47" s="76"/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60"/>
      <c r="Z47" s="60"/>
    </row>
    <row r="48" spans="1:53" ht="14.25" customHeight="1" x14ac:dyDescent="0.25">
      <c r="A48" s="77" t="s">
        <v>95</v>
      </c>
      <c r="B48" s="76"/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61"/>
      <c r="Z48" s="61"/>
    </row>
    <row r="49" spans="1:53" ht="27" customHeight="1" x14ac:dyDescent="0.25">
      <c r="A49" s="41" t="s">
        <v>96</v>
      </c>
      <c r="B49" s="41" t="s">
        <v>97</v>
      </c>
      <c r="C49" s="42">
        <v>4301020234</v>
      </c>
      <c r="D49" s="74">
        <v>4680115881440</v>
      </c>
      <c r="E49" s="73"/>
      <c r="F49" s="66">
        <v>1.35</v>
      </c>
      <c r="G49" s="43">
        <v>8</v>
      </c>
      <c r="H49" s="66">
        <v>10.8</v>
      </c>
      <c r="I49" s="66">
        <v>11.28</v>
      </c>
      <c r="J49" s="43">
        <v>56</v>
      </c>
      <c r="K49" s="43" t="s">
        <v>98</v>
      </c>
      <c r="L49" s="44" t="s">
        <v>99</v>
      </c>
      <c r="M49" s="43">
        <v>50</v>
      </c>
      <c r="N49" s="7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72"/>
      <c r="P49" s="72"/>
      <c r="Q49" s="72"/>
      <c r="R49" s="73"/>
      <c r="S49" s="45"/>
      <c r="T49" s="45"/>
      <c r="U49" s="46" t="s">
        <v>65</v>
      </c>
      <c r="V49" s="67">
        <v>0</v>
      </c>
      <c r="W49" s="68">
        <f>IFERROR(IF(V49="",0,CEILING((V49/$H49),1)*$H49),"")</f>
        <v>0</v>
      </c>
      <c r="X49" s="47" t="str">
        <f>IFERROR(IF(W49=0,"",ROUNDUP(W49/H49,0)*0.02175),"")</f>
        <v/>
      </c>
      <c r="Y49" s="48"/>
      <c r="Z49" s="49"/>
      <c r="AD49" s="50"/>
      <c r="BA49" s="51" t="s">
        <v>1</v>
      </c>
    </row>
    <row r="50" spans="1:53" ht="27" customHeight="1" x14ac:dyDescent="0.25">
      <c r="A50" s="41" t="s">
        <v>100</v>
      </c>
      <c r="B50" s="41" t="s">
        <v>101</v>
      </c>
      <c r="C50" s="42">
        <v>4301020232</v>
      </c>
      <c r="D50" s="74">
        <v>4680115881433</v>
      </c>
      <c r="E50" s="73"/>
      <c r="F50" s="66">
        <v>0.45</v>
      </c>
      <c r="G50" s="43">
        <v>6</v>
      </c>
      <c r="H50" s="66">
        <v>2.7</v>
      </c>
      <c r="I50" s="66">
        <v>2.9</v>
      </c>
      <c r="J50" s="43">
        <v>156</v>
      </c>
      <c r="K50" s="43" t="s">
        <v>63</v>
      </c>
      <c r="L50" s="44" t="s">
        <v>99</v>
      </c>
      <c r="M50" s="43">
        <v>50</v>
      </c>
      <c r="N50" s="7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72"/>
      <c r="P50" s="72"/>
      <c r="Q50" s="72"/>
      <c r="R50" s="73"/>
      <c r="S50" s="45"/>
      <c r="T50" s="45"/>
      <c r="U50" s="46" t="s">
        <v>65</v>
      </c>
      <c r="V50" s="67">
        <v>0</v>
      </c>
      <c r="W50" s="68">
        <f>IFERROR(IF(V50="",0,CEILING((V50/$H50),1)*$H50),"")</f>
        <v>0</v>
      </c>
      <c r="X50" s="47" t="str">
        <f>IFERROR(IF(W50=0,"",ROUNDUP(W50/H50,0)*0.00753),"")</f>
        <v/>
      </c>
      <c r="Y50" s="48"/>
      <c r="Z50" s="49"/>
      <c r="AD50" s="50"/>
      <c r="BA50" s="51" t="s">
        <v>1</v>
      </c>
    </row>
    <row r="51" spans="1:53" x14ac:dyDescent="0.2">
      <c r="A51" s="81"/>
      <c r="B51" s="76"/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82"/>
      <c r="N51" s="78" t="s">
        <v>66</v>
      </c>
      <c r="O51" s="79"/>
      <c r="P51" s="79"/>
      <c r="Q51" s="79"/>
      <c r="R51" s="79"/>
      <c r="S51" s="79"/>
      <c r="T51" s="80"/>
      <c r="U51" s="52" t="s">
        <v>67</v>
      </c>
      <c r="V51" s="69">
        <f>IFERROR(V49/H49,"0")+IFERROR(V50/H50,"0")</f>
        <v>0</v>
      </c>
      <c r="W51" s="69">
        <f>IFERROR(W49/H49,"0")+IFERROR(W50/H50,"0")</f>
        <v>0</v>
      </c>
      <c r="X51" s="69">
        <f>IFERROR(IF(X49="",0,X49),"0")+IFERROR(IF(X50="",0,X50),"0")</f>
        <v>0</v>
      </c>
      <c r="Y51" s="70"/>
      <c r="Z51" s="70"/>
    </row>
    <row r="52" spans="1:53" x14ac:dyDescent="0.2">
      <c r="A52" s="76"/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82"/>
      <c r="N52" s="78" t="s">
        <v>66</v>
      </c>
      <c r="O52" s="79"/>
      <c r="P52" s="79"/>
      <c r="Q52" s="79"/>
      <c r="R52" s="79"/>
      <c r="S52" s="79"/>
      <c r="T52" s="80"/>
      <c r="U52" s="52" t="s">
        <v>65</v>
      </c>
      <c r="V52" s="69">
        <f>IFERROR(SUM(V49:V50),"0")</f>
        <v>0</v>
      </c>
      <c r="W52" s="69">
        <f>IFERROR(SUM(W49:W50),"0")</f>
        <v>0</v>
      </c>
      <c r="X52" s="52"/>
      <c r="Y52" s="70"/>
      <c r="Z52" s="70"/>
    </row>
    <row r="53" spans="1:53" ht="16.5" customHeight="1" x14ac:dyDescent="0.25">
      <c r="A53" s="75" t="s">
        <v>102</v>
      </c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60"/>
      <c r="Z53" s="60"/>
    </row>
    <row r="54" spans="1:53" ht="14.25" customHeight="1" x14ac:dyDescent="0.25">
      <c r="A54" s="77" t="s">
        <v>103</v>
      </c>
      <c r="B54" s="76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61"/>
      <c r="Z54" s="61"/>
    </row>
    <row r="55" spans="1:53" ht="27" customHeight="1" x14ac:dyDescent="0.25">
      <c r="A55" s="41" t="s">
        <v>104</v>
      </c>
      <c r="B55" s="41" t="s">
        <v>105</v>
      </c>
      <c r="C55" s="42">
        <v>4301011481</v>
      </c>
      <c r="D55" s="74">
        <v>4680115881426</v>
      </c>
      <c r="E55" s="73"/>
      <c r="F55" s="66">
        <v>1.35</v>
      </c>
      <c r="G55" s="43">
        <v>8</v>
      </c>
      <c r="H55" s="66">
        <v>10.8</v>
      </c>
      <c r="I55" s="66">
        <v>11.28</v>
      </c>
      <c r="J55" s="43">
        <v>48</v>
      </c>
      <c r="K55" s="43" t="s">
        <v>98</v>
      </c>
      <c r="L55" s="44" t="s">
        <v>106</v>
      </c>
      <c r="M55" s="43">
        <v>55</v>
      </c>
      <c r="N55" s="92" t="s">
        <v>107</v>
      </c>
      <c r="O55" s="72"/>
      <c r="P55" s="72"/>
      <c r="Q55" s="72"/>
      <c r="R55" s="73"/>
      <c r="S55" s="45"/>
      <c r="T55" s="45"/>
      <c r="U55" s="46" t="s">
        <v>65</v>
      </c>
      <c r="V55" s="67">
        <v>0</v>
      </c>
      <c r="W55" s="68">
        <f>IFERROR(IF(V55="",0,CEILING((V55/$H55),1)*$H55),"")</f>
        <v>0</v>
      </c>
      <c r="X55" s="47" t="str">
        <f>IFERROR(IF(W55=0,"",ROUNDUP(W55/H55,0)*0.02039),"")</f>
        <v/>
      </c>
      <c r="Y55" s="48"/>
      <c r="Z55" s="49"/>
      <c r="AD55" s="50"/>
      <c r="BA55" s="51" t="s">
        <v>1</v>
      </c>
    </row>
    <row r="56" spans="1:53" ht="27" customHeight="1" x14ac:dyDescent="0.25">
      <c r="A56" s="41" t="s">
        <v>104</v>
      </c>
      <c r="B56" s="41" t="s">
        <v>108</v>
      </c>
      <c r="C56" s="42">
        <v>4301011452</v>
      </c>
      <c r="D56" s="74">
        <v>4680115881426</v>
      </c>
      <c r="E56" s="73"/>
      <c r="F56" s="66">
        <v>1.35</v>
      </c>
      <c r="G56" s="43">
        <v>8</v>
      </c>
      <c r="H56" s="66">
        <v>10.8</v>
      </c>
      <c r="I56" s="66">
        <v>11.28</v>
      </c>
      <c r="J56" s="43">
        <v>56</v>
      </c>
      <c r="K56" s="43" t="s">
        <v>98</v>
      </c>
      <c r="L56" s="44" t="s">
        <v>99</v>
      </c>
      <c r="M56" s="43">
        <v>50</v>
      </c>
      <c r="N56" s="7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72"/>
      <c r="P56" s="72"/>
      <c r="Q56" s="72"/>
      <c r="R56" s="73"/>
      <c r="S56" s="45"/>
      <c r="T56" s="45"/>
      <c r="U56" s="46" t="s">
        <v>65</v>
      </c>
      <c r="V56" s="67">
        <v>0</v>
      </c>
      <c r="W56" s="68">
        <f>IFERROR(IF(V56="",0,CEILING((V56/$H56),1)*$H56),"")</f>
        <v>0</v>
      </c>
      <c r="X56" s="47" t="str">
        <f>IFERROR(IF(W56=0,"",ROUNDUP(W56/H56,0)*0.02175),"")</f>
        <v/>
      </c>
      <c r="Y56" s="48"/>
      <c r="Z56" s="49"/>
      <c r="AD56" s="50"/>
      <c r="BA56" s="51" t="s">
        <v>1</v>
      </c>
    </row>
    <row r="57" spans="1:53" ht="27" customHeight="1" x14ac:dyDescent="0.25">
      <c r="A57" s="41" t="s">
        <v>109</v>
      </c>
      <c r="B57" s="41" t="s">
        <v>110</v>
      </c>
      <c r="C57" s="42">
        <v>4301011437</v>
      </c>
      <c r="D57" s="74">
        <v>4680115881419</v>
      </c>
      <c r="E57" s="73"/>
      <c r="F57" s="66">
        <v>0.45</v>
      </c>
      <c r="G57" s="43">
        <v>10</v>
      </c>
      <c r="H57" s="66">
        <v>4.5</v>
      </c>
      <c r="I57" s="66">
        <v>4.74</v>
      </c>
      <c r="J57" s="43">
        <v>120</v>
      </c>
      <c r="K57" s="43" t="s">
        <v>63</v>
      </c>
      <c r="L57" s="44" t="s">
        <v>99</v>
      </c>
      <c r="M57" s="43">
        <v>50</v>
      </c>
      <c r="N57" s="7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72"/>
      <c r="P57" s="72"/>
      <c r="Q57" s="72"/>
      <c r="R57" s="73"/>
      <c r="S57" s="45"/>
      <c r="T57" s="45"/>
      <c r="U57" s="46" t="s">
        <v>65</v>
      </c>
      <c r="V57" s="67">
        <v>0</v>
      </c>
      <c r="W57" s="68">
        <f>IFERROR(IF(V57="",0,CEILING((V57/$H57),1)*$H57),"")</f>
        <v>0</v>
      </c>
      <c r="X57" s="47" t="str">
        <f>IFERROR(IF(W57=0,"",ROUNDUP(W57/H57,0)*0.00937),"")</f>
        <v/>
      </c>
      <c r="Y57" s="48"/>
      <c r="Z57" s="49"/>
      <c r="AD57" s="50"/>
      <c r="BA57" s="51" t="s">
        <v>1</v>
      </c>
    </row>
    <row r="58" spans="1:53" ht="27" customHeight="1" x14ac:dyDescent="0.25">
      <c r="A58" s="41" t="s">
        <v>111</v>
      </c>
      <c r="B58" s="41" t="s">
        <v>112</v>
      </c>
      <c r="C58" s="42">
        <v>4301011458</v>
      </c>
      <c r="D58" s="74">
        <v>4680115881525</v>
      </c>
      <c r="E58" s="73"/>
      <c r="F58" s="66">
        <v>0.4</v>
      </c>
      <c r="G58" s="43">
        <v>10</v>
      </c>
      <c r="H58" s="66">
        <v>4</v>
      </c>
      <c r="I58" s="66">
        <v>4.24</v>
      </c>
      <c r="J58" s="43">
        <v>120</v>
      </c>
      <c r="K58" s="43" t="s">
        <v>63</v>
      </c>
      <c r="L58" s="44" t="s">
        <v>99</v>
      </c>
      <c r="M58" s="43">
        <v>50</v>
      </c>
      <c r="N58" s="92" t="s">
        <v>113</v>
      </c>
      <c r="O58" s="72"/>
      <c r="P58" s="72"/>
      <c r="Q58" s="72"/>
      <c r="R58" s="73"/>
      <c r="S58" s="45"/>
      <c r="T58" s="45"/>
      <c r="U58" s="46" t="s">
        <v>65</v>
      </c>
      <c r="V58" s="67">
        <v>0</v>
      </c>
      <c r="W58" s="68">
        <f>IFERROR(IF(V58="",0,CEILING((V58/$H58),1)*$H58),"")</f>
        <v>0</v>
      </c>
      <c r="X58" s="47" t="str">
        <f>IFERROR(IF(W58=0,"",ROUNDUP(W58/H58,0)*0.00937),"")</f>
        <v/>
      </c>
      <c r="Y58" s="48"/>
      <c r="Z58" s="49"/>
      <c r="AD58" s="50"/>
      <c r="BA58" s="51" t="s">
        <v>1</v>
      </c>
    </row>
    <row r="59" spans="1:53" x14ac:dyDescent="0.2">
      <c r="A59" s="81"/>
      <c r="B59" s="76"/>
      <c r="C59" s="76"/>
      <c r="D59" s="76"/>
      <c r="E59" s="76"/>
      <c r="F59" s="76"/>
      <c r="G59" s="76"/>
      <c r="H59" s="76"/>
      <c r="I59" s="76"/>
      <c r="J59" s="76"/>
      <c r="K59" s="76"/>
      <c r="L59" s="76"/>
      <c r="M59" s="82"/>
      <c r="N59" s="78" t="s">
        <v>66</v>
      </c>
      <c r="O59" s="79"/>
      <c r="P59" s="79"/>
      <c r="Q59" s="79"/>
      <c r="R59" s="79"/>
      <c r="S59" s="79"/>
      <c r="T59" s="80"/>
      <c r="U59" s="52" t="s">
        <v>67</v>
      </c>
      <c r="V59" s="69">
        <f>IFERROR(V55/H55,"0")+IFERROR(V56/H56,"0")+IFERROR(V57/H57,"0")+IFERROR(V58/H58,"0")</f>
        <v>0</v>
      </c>
      <c r="W59" s="69">
        <f>IFERROR(W55/H55,"0")+IFERROR(W56/H56,"0")+IFERROR(W57/H57,"0")+IFERROR(W58/H58,"0")</f>
        <v>0</v>
      </c>
      <c r="X59" s="69">
        <f>IFERROR(IF(X55="",0,X55),"0")+IFERROR(IF(X56="",0,X56),"0")+IFERROR(IF(X57="",0,X57),"0")+IFERROR(IF(X58="",0,X58),"0")</f>
        <v>0</v>
      </c>
      <c r="Y59" s="70"/>
      <c r="Z59" s="70"/>
    </row>
    <row r="60" spans="1:53" x14ac:dyDescent="0.2">
      <c r="A60" s="76"/>
      <c r="B60" s="76"/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82"/>
      <c r="N60" s="78" t="s">
        <v>66</v>
      </c>
      <c r="O60" s="79"/>
      <c r="P60" s="79"/>
      <c r="Q60" s="79"/>
      <c r="R60" s="79"/>
      <c r="S60" s="79"/>
      <c r="T60" s="80"/>
      <c r="U60" s="52" t="s">
        <v>65</v>
      </c>
      <c r="V60" s="69">
        <f>IFERROR(SUM(V55:V58),"0")</f>
        <v>0</v>
      </c>
      <c r="W60" s="69">
        <f>IFERROR(SUM(W55:W58),"0")</f>
        <v>0</v>
      </c>
      <c r="X60" s="52"/>
      <c r="Y60" s="70"/>
      <c r="Z60" s="70"/>
    </row>
    <row r="61" spans="1:53" ht="16.5" customHeight="1" x14ac:dyDescent="0.25">
      <c r="A61" s="75" t="s">
        <v>93</v>
      </c>
      <c r="B61" s="76"/>
      <c r="C61" s="76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60"/>
      <c r="Z61" s="60"/>
    </row>
    <row r="62" spans="1:53" ht="14.25" customHeight="1" x14ac:dyDescent="0.25">
      <c r="A62" s="77" t="s">
        <v>103</v>
      </c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61"/>
      <c r="Z62" s="61"/>
    </row>
    <row r="63" spans="1:53" ht="27" customHeight="1" x14ac:dyDescent="0.25">
      <c r="A63" s="41" t="s">
        <v>114</v>
      </c>
      <c r="B63" s="41" t="s">
        <v>115</v>
      </c>
      <c r="C63" s="42">
        <v>4301011623</v>
      </c>
      <c r="D63" s="74">
        <v>4607091382945</v>
      </c>
      <c r="E63" s="73"/>
      <c r="F63" s="66">
        <v>1.4</v>
      </c>
      <c r="G63" s="43">
        <v>8</v>
      </c>
      <c r="H63" s="66">
        <v>11.2</v>
      </c>
      <c r="I63" s="66">
        <v>11.68</v>
      </c>
      <c r="J63" s="43">
        <v>56</v>
      </c>
      <c r="K63" s="43" t="s">
        <v>98</v>
      </c>
      <c r="L63" s="44" t="s">
        <v>99</v>
      </c>
      <c r="M63" s="43">
        <v>50</v>
      </c>
      <c r="N63" s="92" t="s">
        <v>116</v>
      </c>
      <c r="O63" s="72"/>
      <c r="P63" s="72"/>
      <c r="Q63" s="72"/>
      <c r="R63" s="73"/>
      <c r="S63" s="45"/>
      <c r="T63" s="45"/>
      <c r="U63" s="46" t="s">
        <v>65</v>
      </c>
      <c r="V63" s="67">
        <v>0</v>
      </c>
      <c r="W63" s="68">
        <f t="shared" ref="W63:W79" si="2">IFERROR(IF(V63="",0,CEILING((V63/$H63),1)*$H63),"")</f>
        <v>0</v>
      </c>
      <c r="X63" s="47" t="str">
        <f>IFERROR(IF(W63=0,"",ROUNDUP(W63/H63,0)*0.02175),"")</f>
        <v/>
      </c>
      <c r="Y63" s="48"/>
      <c r="Z63" s="49"/>
      <c r="AD63" s="50"/>
      <c r="BA63" s="51" t="s">
        <v>1</v>
      </c>
    </row>
    <row r="64" spans="1:53" ht="27" customHeight="1" x14ac:dyDescent="0.25">
      <c r="A64" s="41" t="s">
        <v>117</v>
      </c>
      <c r="B64" s="41" t="s">
        <v>118</v>
      </c>
      <c r="C64" s="42">
        <v>4301011380</v>
      </c>
      <c r="D64" s="74">
        <v>4607091385670</v>
      </c>
      <c r="E64" s="73"/>
      <c r="F64" s="66">
        <v>1.35</v>
      </c>
      <c r="G64" s="43">
        <v>8</v>
      </c>
      <c r="H64" s="66">
        <v>10.8</v>
      </c>
      <c r="I64" s="66">
        <v>11.28</v>
      </c>
      <c r="J64" s="43">
        <v>56</v>
      </c>
      <c r="K64" s="43" t="s">
        <v>98</v>
      </c>
      <c r="L64" s="44" t="s">
        <v>99</v>
      </c>
      <c r="M64" s="43">
        <v>50</v>
      </c>
      <c r="N64" s="7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72"/>
      <c r="P64" s="72"/>
      <c r="Q64" s="72"/>
      <c r="R64" s="73"/>
      <c r="S64" s="45"/>
      <c r="T64" s="45"/>
      <c r="U64" s="46" t="s">
        <v>65</v>
      </c>
      <c r="V64" s="67">
        <v>0</v>
      </c>
      <c r="W64" s="68">
        <f t="shared" si="2"/>
        <v>0</v>
      </c>
      <c r="X64" s="47" t="str">
        <f>IFERROR(IF(W64=0,"",ROUNDUP(W64/H64,0)*0.02175),"")</f>
        <v/>
      </c>
      <c r="Y64" s="48"/>
      <c r="Z64" s="49"/>
      <c r="AD64" s="50"/>
      <c r="BA64" s="51" t="s">
        <v>1</v>
      </c>
    </row>
    <row r="65" spans="1:53" ht="27" customHeight="1" x14ac:dyDescent="0.25">
      <c r="A65" s="41" t="s">
        <v>119</v>
      </c>
      <c r="B65" s="41" t="s">
        <v>120</v>
      </c>
      <c r="C65" s="42">
        <v>4301011468</v>
      </c>
      <c r="D65" s="74">
        <v>4680115881327</v>
      </c>
      <c r="E65" s="73"/>
      <c r="F65" s="66">
        <v>1.35</v>
      </c>
      <c r="G65" s="43">
        <v>8</v>
      </c>
      <c r="H65" s="66">
        <v>10.8</v>
      </c>
      <c r="I65" s="66">
        <v>11.28</v>
      </c>
      <c r="J65" s="43">
        <v>56</v>
      </c>
      <c r="K65" s="43" t="s">
        <v>98</v>
      </c>
      <c r="L65" s="44" t="s">
        <v>121</v>
      </c>
      <c r="M65" s="43">
        <v>50</v>
      </c>
      <c r="N65" s="7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72"/>
      <c r="P65" s="72"/>
      <c r="Q65" s="72"/>
      <c r="R65" s="73"/>
      <c r="S65" s="45"/>
      <c r="T65" s="45"/>
      <c r="U65" s="46" t="s">
        <v>65</v>
      </c>
      <c r="V65" s="67">
        <v>0</v>
      </c>
      <c r="W65" s="68">
        <f t="shared" si="2"/>
        <v>0</v>
      </c>
      <c r="X65" s="47" t="str">
        <f>IFERROR(IF(W65=0,"",ROUNDUP(W65/H65,0)*0.02175),"")</f>
        <v/>
      </c>
      <c r="Y65" s="48"/>
      <c r="Z65" s="49"/>
      <c r="AD65" s="50"/>
      <c r="BA65" s="51" t="s">
        <v>1</v>
      </c>
    </row>
    <row r="66" spans="1:53" ht="16.5" customHeight="1" x14ac:dyDescent="0.25">
      <c r="A66" s="41" t="s">
        <v>122</v>
      </c>
      <c r="B66" s="41" t="s">
        <v>123</v>
      </c>
      <c r="C66" s="42">
        <v>4301011514</v>
      </c>
      <c r="D66" s="74">
        <v>4680115882133</v>
      </c>
      <c r="E66" s="73"/>
      <c r="F66" s="66">
        <v>1.35</v>
      </c>
      <c r="G66" s="43">
        <v>8</v>
      </c>
      <c r="H66" s="66">
        <v>10.8</v>
      </c>
      <c r="I66" s="66">
        <v>11.28</v>
      </c>
      <c r="J66" s="43">
        <v>56</v>
      </c>
      <c r="K66" s="43" t="s">
        <v>98</v>
      </c>
      <c r="L66" s="44" t="s">
        <v>99</v>
      </c>
      <c r="M66" s="43">
        <v>50</v>
      </c>
      <c r="N66" s="7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72"/>
      <c r="P66" s="72"/>
      <c r="Q66" s="72"/>
      <c r="R66" s="73"/>
      <c r="S66" s="45"/>
      <c r="T66" s="45"/>
      <c r="U66" s="46" t="s">
        <v>65</v>
      </c>
      <c r="V66" s="67">
        <v>0</v>
      </c>
      <c r="W66" s="68">
        <f t="shared" si="2"/>
        <v>0</v>
      </c>
      <c r="X66" s="47" t="str">
        <f>IFERROR(IF(W66=0,"",ROUNDUP(W66/H66,0)*0.02175),"")</f>
        <v/>
      </c>
      <c r="Y66" s="48"/>
      <c r="Z66" s="49"/>
      <c r="AD66" s="50"/>
      <c r="BA66" s="51" t="s">
        <v>1</v>
      </c>
    </row>
    <row r="67" spans="1:53" ht="27" customHeight="1" x14ac:dyDescent="0.25">
      <c r="A67" s="41" t="s">
        <v>124</v>
      </c>
      <c r="B67" s="41" t="s">
        <v>125</v>
      </c>
      <c r="C67" s="42">
        <v>4301011192</v>
      </c>
      <c r="D67" s="74">
        <v>4607091382952</v>
      </c>
      <c r="E67" s="73"/>
      <c r="F67" s="66">
        <v>0.5</v>
      </c>
      <c r="G67" s="43">
        <v>6</v>
      </c>
      <c r="H67" s="66">
        <v>3</v>
      </c>
      <c r="I67" s="66">
        <v>3.2</v>
      </c>
      <c r="J67" s="43">
        <v>156</v>
      </c>
      <c r="K67" s="43" t="s">
        <v>63</v>
      </c>
      <c r="L67" s="44" t="s">
        <v>99</v>
      </c>
      <c r="M67" s="43">
        <v>50</v>
      </c>
      <c r="N67" s="7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72"/>
      <c r="P67" s="72"/>
      <c r="Q67" s="72"/>
      <c r="R67" s="73"/>
      <c r="S67" s="45"/>
      <c r="T67" s="45"/>
      <c r="U67" s="46" t="s">
        <v>65</v>
      </c>
      <c r="V67" s="67">
        <v>0</v>
      </c>
      <c r="W67" s="68">
        <f t="shared" si="2"/>
        <v>0</v>
      </c>
      <c r="X67" s="47" t="str">
        <f>IFERROR(IF(W67=0,"",ROUNDUP(W67/H67,0)*0.00753),"")</f>
        <v/>
      </c>
      <c r="Y67" s="48"/>
      <c r="Z67" s="49"/>
      <c r="AD67" s="50"/>
      <c r="BA67" s="51" t="s">
        <v>1</v>
      </c>
    </row>
    <row r="68" spans="1:53" ht="27" customHeight="1" x14ac:dyDescent="0.25">
      <c r="A68" s="41" t="s">
        <v>126</v>
      </c>
      <c r="B68" s="41" t="s">
        <v>127</v>
      </c>
      <c r="C68" s="42">
        <v>4301011565</v>
      </c>
      <c r="D68" s="74">
        <v>4680115882539</v>
      </c>
      <c r="E68" s="73"/>
      <c r="F68" s="66">
        <v>0.37</v>
      </c>
      <c r="G68" s="43">
        <v>10</v>
      </c>
      <c r="H68" s="66">
        <v>3.7</v>
      </c>
      <c r="I68" s="66">
        <v>3.94</v>
      </c>
      <c r="J68" s="43">
        <v>120</v>
      </c>
      <c r="K68" s="43" t="s">
        <v>63</v>
      </c>
      <c r="L68" s="44" t="s">
        <v>128</v>
      </c>
      <c r="M68" s="43">
        <v>50</v>
      </c>
      <c r="N68" s="7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72"/>
      <c r="P68" s="72"/>
      <c r="Q68" s="72"/>
      <c r="R68" s="73"/>
      <c r="S68" s="45"/>
      <c r="T68" s="45"/>
      <c r="U68" s="46" t="s">
        <v>65</v>
      </c>
      <c r="V68" s="67">
        <v>0</v>
      </c>
      <c r="W68" s="68">
        <f t="shared" si="2"/>
        <v>0</v>
      </c>
      <c r="X68" s="47" t="str">
        <f t="shared" ref="X68:X73" si="3">IFERROR(IF(W68=0,"",ROUNDUP(W68/H68,0)*0.00937),"")</f>
        <v/>
      </c>
      <c r="Y68" s="48"/>
      <c r="Z68" s="49"/>
      <c r="AD68" s="50"/>
      <c r="BA68" s="51" t="s">
        <v>1</v>
      </c>
    </row>
    <row r="69" spans="1:53" ht="27" customHeight="1" x14ac:dyDescent="0.25">
      <c r="A69" s="41" t="s">
        <v>129</v>
      </c>
      <c r="B69" s="41" t="s">
        <v>130</v>
      </c>
      <c r="C69" s="42">
        <v>4301011382</v>
      </c>
      <c r="D69" s="74">
        <v>4607091385687</v>
      </c>
      <c r="E69" s="73"/>
      <c r="F69" s="66">
        <v>0.4</v>
      </c>
      <c r="G69" s="43">
        <v>10</v>
      </c>
      <c r="H69" s="66">
        <v>4</v>
      </c>
      <c r="I69" s="66">
        <v>4.24</v>
      </c>
      <c r="J69" s="43">
        <v>120</v>
      </c>
      <c r="K69" s="43" t="s">
        <v>63</v>
      </c>
      <c r="L69" s="44" t="s">
        <v>128</v>
      </c>
      <c r="M69" s="43">
        <v>50</v>
      </c>
      <c r="N69" s="7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72"/>
      <c r="P69" s="72"/>
      <c r="Q69" s="72"/>
      <c r="R69" s="73"/>
      <c r="S69" s="45"/>
      <c r="T69" s="45"/>
      <c r="U69" s="46" t="s">
        <v>65</v>
      </c>
      <c r="V69" s="67">
        <v>0</v>
      </c>
      <c r="W69" s="68">
        <f t="shared" si="2"/>
        <v>0</v>
      </c>
      <c r="X69" s="47" t="str">
        <f t="shared" si="3"/>
        <v/>
      </c>
      <c r="Y69" s="48"/>
      <c r="Z69" s="49"/>
      <c r="AD69" s="50"/>
      <c r="BA69" s="51" t="s">
        <v>1</v>
      </c>
    </row>
    <row r="70" spans="1:53" ht="27" customHeight="1" x14ac:dyDescent="0.25">
      <c r="A70" s="41" t="s">
        <v>131</v>
      </c>
      <c r="B70" s="41" t="s">
        <v>132</v>
      </c>
      <c r="C70" s="42">
        <v>4301011344</v>
      </c>
      <c r="D70" s="74">
        <v>4607091384604</v>
      </c>
      <c r="E70" s="73"/>
      <c r="F70" s="66">
        <v>0.4</v>
      </c>
      <c r="G70" s="43">
        <v>10</v>
      </c>
      <c r="H70" s="66">
        <v>4</v>
      </c>
      <c r="I70" s="66">
        <v>4.24</v>
      </c>
      <c r="J70" s="43">
        <v>120</v>
      </c>
      <c r="K70" s="43" t="s">
        <v>63</v>
      </c>
      <c r="L70" s="44" t="s">
        <v>99</v>
      </c>
      <c r="M70" s="43">
        <v>50</v>
      </c>
      <c r="N70" s="7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72"/>
      <c r="P70" s="72"/>
      <c r="Q70" s="72"/>
      <c r="R70" s="73"/>
      <c r="S70" s="45"/>
      <c r="T70" s="45"/>
      <c r="U70" s="46" t="s">
        <v>65</v>
      </c>
      <c r="V70" s="67">
        <v>0</v>
      </c>
      <c r="W70" s="68">
        <f t="shared" si="2"/>
        <v>0</v>
      </c>
      <c r="X70" s="47" t="str">
        <f t="shared" si="3"/>
        <v/>
      </c>
      <c r="Y70" s="48"/>
      <c r="Z70" s="49"/>
      <c r="AD70" s="50"/>
      <c r="BA70" s="51" t="s">
        <v>1</v>
      </c>
    </row>
    <row r="71" spans="1:53" ht="27" customHeight="1" x14ac:dyDescent="0.25">
      <c r="A71" s="41" t="s">
        <v>133</v>
      </c>
      <c r="B71" s="41" t="s">
        <v>134</v>
      </c>
      <c r="C71" s="42">
        <v>4301011386</v>
      </c>
      <c r="D71" s="74">
        <v>4680115880283</v>
      </c>
      <c r="E71" s="73"/>
      <c r="F71" s="66">
        <v>0.6</v>
      </c>
      <c r="G71" s="43">
        <v>8</v>
      </c>
      <c r="H71" s="66">
        <v>4.8</v>
      </c>
      <c r="I71" s="66">
        <v>5.04</v>
      </c>
      <c r="J71" s="43">
        <v>120</v>
      </c>
      <c r="K71" s="43" t="s">
        <v>63</v>
      </c>
      <c r="L71" s="44" t="s">
        <v>99</v>
      </c>
      <c r="M71" s="43">
        <v>45</v>
      </c>
      <c r="N71" s="7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72"/>
      <c r="P71" s="72"/>
      <c r="Q71" s="72"/>
      <c r="R71" s="73"/>
      <c r="S71" s="45"/>
      <c r="T71" s="45"/>
      <c r="U71" s="46" t="s">
        <v>65</v>
      </c>
      <c r="V71" s="67">
        <v>0</v>
      </c>
      <c r="W71" s="68">
        <f t="shared" si="2"/>
        <v>0</v>
      </c>
      <c r="X71" s="47" t="str">
        <f t="shared" si="3"/>
        <v/>
      </c>
      <c r="Y71" s="48"/>
      <c r="Z71" s="49"/>
      <c r="AD71" s="50"/>
      <c r="BA71" s="51" t="s">
        <v>1</v>
      </c>
    </row>
    <row r="72" spans="1:53" ht="16.5" customHeight="1" x14ac:dyDescent="0.25">
      <c r="A72" s="41" t="s">
        <v>135</v>
      </c>
      <c r="B72" s="41" t="s">
        <v>136</v>
      </c>
      <c r="C72" s="42">
        <v>4301011476</v>
      </c>
      <c r="D72" s="74">
        <v>4680115881518</v>
      </c>
      <c r="E72" s="73"/>
      <c r="F72" s="66">
        <v>0.4</v>
      </c>
      <c r="G72" s="43">
        <v>10</v>
      </c>
      <c r="H72" s="66">
        <v>4</v>
      </c>
      <c r="I72" s="66">
        <v>4.24</v>
      </c>
      <c r="J72" s="43">
        <v>120</v>
      </c>
      <c r="K72" s="43" t="s">
        <v>63</v>
      </c>
      <c r="L72" s="44" t="s">
        <v>128</v>
      </c>
      <c r="M72" s="43">
        <v>50</v>
      </c>
      <c r="N72" s="7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72"/>
      <c r="P72" s="72"/>
      <c r="Q72" s="72"/>
      <c r="R72" s="73"/>
      <c r="S72" s="45"/>
      <c r="T72" s="45"/>
      <c r="U72" s="46" t="s">
        <v>65</v>
      </c>
      <c r="V72" s="67">
        <v>0</v>
      </c>
      <c r="W72" s="68">
        <f t="shared" si="2"/>
        <v>0</v>
      </c>
      <c r="X72" s="47" t="str">
        <f t="shared" si="3"/>
        <v/>
      </c>
      <c r="Y72" s="48"/>
      <c r="Z72" s="49"/>
      <c r="AD72" s="50"/>
      <c r="BA72" s="51" t="s">
        <v>1</v>
      </c>
    </row>
    <row r="73" spans="1:53" ht="27" customHeight="1" x14ac:dyDescent="0.25">
      <c r="A73" s="41" t="s">
        <v>137</v>
      </c>
      <c r="B73" s="41" t="s">
        <v>138</v>
      </c>
      <c r="C73" s="42">
        <v>4301011443</v>
      </c>
      <c r="D73" s="74">
        <v>4680115881303</v>
      </c>
      <c r="E73" s="73"/>
      <c r="F73" s="66">
        <v>0.45</v>
      </c>
      <c r="G73" s="43">
        <v>10</v>
      </c>
      <c r="H73" s="66">
        <v>4.5</v>
      </c>
      <c r="I73" s="66">
        <v>4.71</v>
      </c>
      <c r="J73" s="43">
        <v>120</v>
      </c>
      <c r="K73" s="43" t="s">
        <v>63</v>
      </c>
      <c r="L73" s="44" t="s">
        <v>121</v>
      </c>
      <c r="M73" s="43">
        <v>50</v>
      </c>
      <c r="N73" s="7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72"/>
      <c r="P73" s="72"/>
      <c r="Q73" s="72"/>
      <c r="R73" s="73"/>
      <c r="S73" s="45"/>
      <c r="T73" s="45"/>
      <c r="U73" s="46" t="s">
        <v>65</v>
      </c>
      <c r="V73" s="67">
        <v>0</v>
      </c>
      <c r="W73" s="68">
        <f t="shared" si="2"/>
        <v>0</v>
      </c>
      <c r="X73" s="47" t="str">
        <f t="shared" si="3"/>
        <v/>
      </c>
      <c r="Y73" s="48"/>
      <c r="Z73" s="49"/>
      <c r="AD73" s="50"/>
      <c r="BA73" s="51" t="s">
        <v>1</v>
      </c>
    </row>
    <row r="74" spans="1:53" ht="27" customHeight="1" x14ac:dyDescent="0.25">
      <c r="A74" s="41" t="s">
        <v>139</v>
      </c>
      <c r="B74" s="41" t="s">
        <v>140</v>
      </c>
      <c r="C74" s="42">
        <v>4301011562</v>
      </c>
      <c r="D74" s="74">
        <v>4680115882577</v>
      </c>
      <c r="E74" s="73"/>
      <c r="F74" s="66">
        <v>0.4</v>
      </c>
      <c r="G74" s="43">
        <v>8</v>
      </c>
      <c r="H74" s="66">
        <v>3.2</v>
      </c>
      <c r="I74" s="66">
        <v>3.4</v>
      </c>
      <c r="J74" s="43">
        <v>156</v>
      </c>
      <c r="K74" s="43" t="s">
        <v>63</v>
      </c>
      <c r="L74" s="44" t="s">
        <v>84</v>
      </c>
      <c r="M74" s="43">
        <v>90</v>
      </c>
      <c r="N74" s="92" t="s">
        <v>141</v>
      </c>
      <c r="O74" s="72"/>
      <c r="P74" s="72"/>
      <c r="Q74" s="72"/>
      <c r="R74" s="73"/>
      <c r="S74" s="45"/>
      <c r="T74" s="45"/>
      <c r="U74" s="46" t="s">
        <v>65</v>
      </c>
      <c r="V74" s="67">
        <v>0</v>
      </c>
      <c r="W74" s="68">
        <f t="shared" si="2"/>
        <v>0</v>
      </c>
      <c r="X74" s="47" t="str">
        <f>IFERROR(IF(W74=0,"",ROUNDUP(W74/H74,0)*0.00753),"")</f>
        <v/>
      </c>
      <c r="Y74" s="48"/>
      <c r="Z74" s="49"/>
      <c r="AD74" s="50"/>
      <c r="BA74" s="51" t="s">
        <v>1</v>
      </c>
    </row>
    <row r="75" spans="1:53" ht="27" customHeight="1" x14ac:dyDescent="0.25">
      <c r="A75" s="41" t="s">
        <v>142</v>
      </c>
      <c r="B75" s="41" t="s">
        <v>143</v>
      </c>
      <c r="C75" s="42">
        <v>4301011432</v>
      </c>
      <c r="D75" s="74">
        <v>4680115882720</v>
      </c>
      <c r="E75" s="73"/>
      <c r="F75" s="66">
        <v>0.45</v>
      </c>
      <c r="G75" s="43">
        <v>10</v>
      </c>
      <c r="H75" s="66">
        <v>4.5</v>
      </c>
      <c r="I75" s="66">
        <v>4.74</v>
      </c>
      <c r="J75" s="43">
        <v>120</v>
      </c>
      <c r="K75" s="43" t="s">
        <v>63</v>
      </c>
      <c r="L75" s="44" t="s">
        <v>99</v>
      </c>
      <c r="M75" s="43">
        <v>90</v>
      </c>
      <c r="N75" s="92" t="s">
        <v>144</v>
      </c>
      <c r="O75" s="72"/>
      <c r="P75" s="72"/>
      <c r="Q75" s="72"/>
      <c r="R75" s="73"/>
      <c r="S75" s="45"/>
      <c r="T75" s="45"/>
      <c r="U75" s="46" t="s">
        <v>65</v>
      </c>
      <c r="V75" s="67">
        <v>0</v>
      </c>
      <c r="W75" s="68">
        <f t="shared" si="2"/>
        <v>0</v>
      </c>
      <c r="X75" s="47" t="str">
        <f>IFERROR(IF(W75=0,"",ROUNDUP(W75/H75,0)*0.00937),"")</f>
        <v/>
      </c>
      <c r="Y75" s="48"/>
      <c r="Z75" s="49"/>
      <c r="AD75" s="50"/>
      <c r="BA75" s="51" t="s">
        <v>1</v>
      </c>
    </row>
    <row r="76" spans="1:53" ht="27" customHeight="1" x14ac:dyDescent="0.25">
      <c r="A76" s="41" t="s">
        <v>145</v>
      </c>
      <c r="B76" s="41" t="s">
        <v>146</v>
      </c>
      <c r="C76" s="42">
        <v>4301011352</v>
      </c>
      <c r="D76" s="74">
        <v>4607091388466</v>
      </c>
      <c r="E76" s="73"/>
      <c r="F76" s="66">
        <v>0.45</v>
      </c>
      <c r="G76" s="43">
        <v>6</v>
      </c>
      <c r="H76" s="66">
        <v>2.7</v>
      </c>
      <c r="I76" s="66">
        <v>2.9</v>
      </c>
      <c r="J76" s="43">
        <v>156</v>
      </c>
      <c r="K76" s="43" t="s">
        <v>63</v>
      </c>
      <c r="L76" s="44" t="s">
        <v>128</v>
      </c>
      <c r="M76" s="43">
        <v>45</v>
      </c>
      <c r="N76" s="7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72"/>
      <c r="P76" s="72"/>
      <c r="Q76" s="72"/>
      <c r="R76" s="73"/>
      <c r="S76" s="45"/>
      <c r="T76" s="45"/>
      <c r="U76" s="46" t="s">
        <v>65</v>
      </c>
      <c r="V76" s="67">
        <v>0</v>
      </c>
      <c r="W76" s="68">
        <f t="shared" si="2"/>
        <v>0</v>
      </c>
      <c r="X76" s="47" t="str">
        <f>IFERROR(IF(W76=0,"",ROUNDUP(W76/H76,0)*0.00753),"")</f>
        <v/>
      </c>
      <c r="Y76" s="48"/>
      <c r="Z76" s="49"/>
      <c r="AD76" s="50"/>
      <c r="BA76" s="51" t="s">
        <v>1</v>
      </c>
    </row>
    <row r="77" spans="1:53" ht="27" customHeight="1" x14ac:dyDescent="0.25">
      <c r="A77" s="41" t="s">
        <v>147</v>
      </c>
      <c r="B77" s="41" t="s">
        <v>148</v>
      </c>
      <c r="C77" s="42">
        <v>4301011417</v>
      </c>
      <c r="D77" s="74">
        <v>4680115880269</v>
      </c>
      <c r="E77" s="73"/>
      <c r="F77" s="66">
        <v>0.375</v>
      </c>
      <c r="G77" s="43">
        <v>10</v>
      </c>
      <c r="H77" s="66">
        <v>3.75</v>
      </c>
      <c r="I77" s="66">
        <v>3.99</v>
      </c>
      <c r="J77" s="43">
        <v>120</v>
      </c>
      <c r="K77" s="43" t="s">
        <v>63</v>
      </c>
      <c r="L77" s="44" t="s">
        <v>128</v>
      </c>
      <c r="M77" s="43">
        <v>50</v>
      </c>
      <c r="N77" s="7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72"/>
      <c r="P77" s="72"/>
      <c r="Q77" s="72"/>
      <c r="R77" s="73"/>
      <c r="S77" s="45"/>
      <c r="T77" s="45"/>
      <c r="U77" s="46" t="s">
        <v>65</v>
      </c>
      <c r="V77" s="67">
        <v>0</v>
      </c>
      <c r="W77" s="68">
        <f t="shared" si="2"/>
        <v>0</v>
      </c>
      <c r="X77" s="47" t="str">
        <f>IFERROR(IF(W77=0,"",ROUNDUP(W77/H77,0)*0.00937),"")</f>
        <v/>
      </c>
      <c r="Y77" s="48"/>
      <c r="Z77" s="49"/>
      <c r="AD77" s="50"/>
      <c r="BA77" s="51" t="s">
        <v>1</v>
      </c>
    </row>
    <row r="78" spans="1:53" ht="16.5" customHeight="1" x14ac:dyDescent="0.25">
      <c r="A78" s="41" t="s">
        <v>149</v>
      </c>
      <c r="B78" s="41" t="s">
        <v>150</v>
      </c>
      <c r="C78" s="42">
        <v>4301011415</v>
      </c>
      <c r="D78" s="74">
        <v>4680115880429</v>
      </c>
      <c r="E78" s="73"/>
      <c r="F78" s="66">
        <v>0.45</v>
      </c>
      <c r="G78" s="43">
        <v>10</v>
      </c>
      <c r="H78" s="66">
        <v>4.5</v>
      </c>
      <c r="I78" s="66">
        <v>4.74</v>
      </c>
      <c r="J78" s="43">
        <v>120</v>
      </c>
      <c r="K78" s="43" t="s">
        <v>63</v>
      </c>
      <c r="L78" s="44" t="s">
        <v>128</v>
      </c>
      <c r="M78" s="43">
        <v>50</v>
      </c>
      <c r="N78" s="7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72"/>
      <c r="P78" s="72"/>
      <c r="Q78" s="72"/>
      <c r="R78" s="73"/>
      <c r="S78" s="45"/>
      <c r="T78" s="45"/>
      <c r="U78" s="46" t="s">
        <v>65</v>
      </c>
      <c r="V78" s="67">
        <v>0</v>
      </c>
      <c r="W78" s="68">
        <f t="shared" si="2"/>
        <v>0</v>
      </c>
      <c r="X78" s="47" t="str">
        <f>IFERROR(IF(W78=0,"",ROUNDUP(W78/H78,0)*0.00937),"")</f>
        <v/>
      </c>
      <c r="Y78" s="48"/>
      <c r="Z78" s="49"/>
      <c r="AD78" s="50"/>
      <c r="BA78" s="51" t="s">
        <v>1</v>
      </c>
    </row>
    <row r="79" spans="1:53" ht="16.5" customHeight="1" x14ac:dyDescent="0.25">
      <c r="A79" s="41" t="s">
        <v>151</v>
      </c>
      <c r="B79" s="41" t="s">
        <v>152</v>
      </c>
      <c r="C79" s="42">
        <v>4301011462</v>
      </c>
      <c r="D79" s="74">
        <v>4680115881457</v>
      </c>
      <c r="E79" s="73"/>
      <c r="F79" s="66">
        <v>0.75</v>
      </c>
      <c r="G79" s="43">
        <v>6</v>
      </c>
      <c r="H79" s="66">
        <v>4.5</v>
      </c>
      <c r="I79" s="66">
        <v>4.74</v>
      </c>
      <c r="J79" s="43">
        <v>120</v>
      </c>
      <c r="K79" s="43" t="s">
        <v>63</v>
      </c>
      <c r="L79" s="44" t="s">
        <v>128</v>
      </c>
      <c r="M79" s="43">
        <v>50</v>
      </c>
      <c r="N79" s="7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72"/>
      <c r="P79" s="72"/>
      <c r="Q79" s="72"/>
      <c r="R79" s="73"/>
      <c r="S79" s="45"/>
      <c r="T79" s="45"/>
      <c r="U79" s="46" t="s">
        <v>65</v>
      </c>
      <c r="V79" s="67">
        <v>0</v>
      </c>
      <c r="W79" s="68">
        <f t="shared" si="2"/>
        <v>0</v>
      </c>
      <c r="X79" s="47" t="str">
        <f>IFERROR(IF(W79=0,"",ROUNDUP(W79/H79,0)*0.00937),"")</f>
        <v/>
      </c>
      <c r="Y79" s="48"/>
      <c r="Z79" s="49"/>
      <c r="AD79" s="50"/>
      <c r="BA79" s="51" t="s">
        <v>1</v>
      </c>
    </row>
    <row r="80" spans="1:53" x14ac:dyDescent="0.2">
      <c r="A80" s="81"/>
      <c r="B80" s="76"/>
      <c r="C80" s="76"/>
      <c r="D80" s="76"/>
      <c r="E80" s="76"/>
      <c r="F80" s="76"/>
      <c r="G80" s="76"/>
      <c r="H80" s="76"/>
      <c r="I80" s="76"/>
      <c r="J80" s="76"/>
      <c r="K80" s="76"/>
      <c r="L80" s="76"/>
      <c r="M80" s="82"/>
      <c r="N80" s="78" t="s">
        <v>66</v>
      </c>
      <c r="O80" s="79"/>
      <c r="P80" s="79"/>
      <c r="Q80" s="79"/>
      <c r="R80" s="79"/>
      <c r="S80" s="79"/>
      <c r="T80" s="80"/>
      <c r="U80" s="52" t="s">
        <v>67</v>
      </c>
      <c r="V80" s="69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69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69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70"/>
      <c r="Z80" s="70"/>
    </row>
    <row r="81" spans="1:53" x14ac:dyDescent="0.2">
      <c r="A81" s="76"/>
      <c r="B81" s="76"/>
      <c r="C81" s="76"/>
      <c r="D81" s="76"/>
      <c r="E81" s="76"/>
      <c r="F81" s="76"/>
      <c r="G81" s="76"/>
      <c r="H81" s="76"/>
      <c r="I81" s="76"/>
      <c r="J81" s="76"/>
      <c r="K81" s="76"/>
      <c r="L81" s="76"/>
      <c r="M81" s="82"/>
      <c r="N81" s="78" t="s">
        <v>66</v>
      </c>
      <c r="O81" s="79"/>
      <c r="P81" s="79"/>
      <c r="Q81" s="79"/>
      <c r="R81" s="79"/>
      <c r="S81" s="79"/>
      <c r="T81" s="80"/>
      <c r="U81" s="52" t="s">
        <v>65</v>
      </c>
      <c r="V81" s="69">
        <f>IFERROR(SUM(V63:V79),"0")</f>
        <v>0</v>
      </c>
      <c r="W81" s="69">
        <f>IFERROR(SUM(W63:W79),"0")</f>
        <v>0</v>
      </c>
      <c r="X81" s="52"/>
      <c r="Y81" s="70"/>
      <c r="Z81" s="70"/>
    </row>
    <row r="82" spans="1:53" ht="14.25" customHeight="1" x14ac:dyDescent="0.25">
      <c r="A82" s="77" t="s">
        <v>95</v>
      </c>
      <c r="B82" s="76"/>
      <c r="C82" s="7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61"/>
      <c r="Z82" s="61"/>
    </row>
    <row r="83" spans="1:53" ht="27" customHeight="1" x14ac:dyDescent="0.25">
      <c r="A83" s="41" t="s">
        <v>153</v>
      </c>
      <c r="B83" s="41" t="s">
        <v>154</v>
      </c>
      <c r="C83" s="42">
        <v>4301020189</v>
      </c>
      <c r="D83" s="74">
        <v>4607091384789</v>
      </c>
      <c r="E83" s="73"/>
      <c r="F83" s="66">
        <v>1</v>
      </c>
      <c r="G83" s="43">
        <v>6</v>
      </c>
      <c r="H83" s="66">
        <v>6</v>
      </c>
      <c r="I83" s="66">
        <v>6.36</v>
      </c>
      <c r="J83" s="43">
        <v>104</v>
      </c>
      <c r="K83" s="43" t="s">
        <v>98</v>
      </c>
      <c r="L83" s="44" t="s">
        <v>99</v>
      </c>
      <c r="M83" s="43">
        <v>45</v>
      </c>
      <c r="N83" s="92" t="s">
        <v>155</v>
      </c>
      <c r="O83" s="72"/>
      <c r="P83" s="72"/>
      <c r="Q83" s="72"/>
      <c r="R83" s="73"/>
      <c r="S83" s="45"/>
      <c r="T83" s="45"/>
      <c r="U83" s="46" t="s">
        <v>65</v>
      </c>
      <c r="V83" s="67">
        <v>0</v>
      </c>
      <c r="W83" s="68">
        <f t="shared" ref="W83:W89" si="4">IFERROR(IF(V83="",0,CEILING((V83/$H83),1)*$H83),"")</f>
        <v>0</v>
      </c>
      <c r="X83" s="47" t="str">
        <f>IFERROR(IF(W83=0,"",ROUNDUP(W83/H83,0)*0.01196),"")</f>
        <v/>
      </c>
      <c r="Y83" s="48"/>
      <c r="Z83" s="49"/>
      <c r="AD83" s="50"/>
      <c r="BA83" s="51" t="s">
        <v>1</v>
      </c>
    </row>
    <row r="84" spans="1:53" ht="16.5" customHeight="1" x14ac:dyDescent="0.25">
      <c r="A84" s="41" t="s">
        <v>156</v>
      </c>
      <c r="B84" s="41" t="s">
        <v>157</v>
      </c>
      <c r="C84" s="42">
        <v>4301020235</v>
      </c>
      <c r="D84" s="74">
        <v>4680115881488</v>
      </c>
      <c r="E84" s="73"/>
      <c r="F84" s="66">
        <v>1.35</v>
      </c>
      <c r="G84" s="43">
        <v>8</v>
      </c>
      <c r="H84" s="66">
        <v>10.8</v>
      </c>
      <c r="I84" s="66">
        <v>11.28</v>
      </c>
      <c r="J84" s="43">
        <v>48</v>
      </c>
      <c r="K84" s="43" t="s">
        <v>98</v>
      </c>
      <c r="L84" s="44" t="s">
        <v>99</v>
      </c>
      <c r="M84" s="43">
        <v>50</v>
      </c>
      <c r="N84" s="7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72"/>
      <c r="P84" s="72"/>
      <c r="Q84" s="72"/>
      <c r="R84" s="73"/>
      <c r="S84" s="45"/>
      <c r="T84" s="45"/>
      <c r="U84" s="46" t="s">
        <v>65</v>
      </c>
      <c r="V84" s="67">
        <v>0</v>
      </c>
      <c r="W84" s="68">
        <f t="shared" si="4"/>
        <v>0</v>
      </c>
      <c r="X84" s="47" t="str">
        <f>IFERROR(IF(W84=0,"",ROUNDUP(W84/H84,0)*0.02175),"")</f>
        <v/>
      </c>
      <c r="Y84" s="48"/>
      <c r="Z84" s="49"/>
      <c r="AD84" s="50"/>
      <c r="BA84" s="51" t="s">
        <v>1</v>
      </c>
    </row>
    <row r="85" spans="1:53" ht="27" customHeight="1" x14ac:dyDescent="0.25">
      <c r="A85" s="41" t="s">
        <v>158</v>
      </c>
      <c r="B85" s="41" t="s">
        <v>159</v>
      </c>
      <c r="C85" s="42">
        <v>4301020183</v>
      </c>
      <c r="D85" s="74">
        <v>4607091384765</v>
      </c>
      <c r="E85" s="73"/>
      <c r="F85" s="66">
        <v>0.42</v>
      </c>
      <c r="G85" s="43">
        <v>6</v>
      </c>
      <c r="H85" s="66">
        <v>2.52</v>
      </c>
      <c r="I85" s="66">
        <v>2.72</v>
      </c>
      <c r="J85" s="43">
        <v>156</v>
      </c>
      <c r="K85" s="43" t="s">
        <v>63</v>
      </c>
      <c r="L85" s="44" t="s">
        <v>99</v>
      </c>
      <c r="M85" s="43">
        <v>45</v>
      </c>
      <c r="N85" s="92" t="s">
        <v>160</v>
      </c>
      <c r="O85" s="72"/>
      <c r="P85" s="72"/>
      <c r="Q85" s="72"/>
      <c r="R85" s="73"/>
      <c r="S85" s="45"/>
      <c r="T85" s="45"/>
      <c r="U85" s="46" t="s">
        <v>65</v>
      </c>
      <c r="V85" s="67">
        <v>0</v>
      </c>
      <c r="W85" s="68">
        <f t="shared" si="4"/>
        <v>0</v>
      </c>
      <c r="X85" s="47" t="str">
        <f>IFERROR(IF(W85=0,"",ROUNDUP(W85/H85,0)*0.00753),"")</f>
        <v/>
      </c>
      <c r="Y85" s="48"/>
      <c r="Z85" s="49"/>
      <c r="AD85" s="50"/>
      <c r="BA85" s="51" t="s">
        <v>1</v>
      </c>
    </row>
    <row r="86" spans="1:53" ht="27" customHeight="1" x14ac:dyDescent="0.25">
      <c r="A86" s="41" t="s">
        <v>161</v>
      </c>
      <c r="B86" s="41" t="s">
        <v>162</v>
      </c>
      <c r="C86" s="42">
        <v>4301020228</v>
      </c>
      <c r="D86" s="74">
        <v>4680115882751</v>
      </c>
      <c r="E86" s="73"/>
      <c r="F86" s="66">
        <v>0.45</v>
      </c>
      <c r="G86" s="43">
        <v>10</v>
      </c>
      <c r="H86" s="66">
        <v>4.5</v>
      </c>
      <c r="I86" s="66">
        <v>4.74</v>
      </c>
      <c r="J86" s="43">
        <v>120</v>
      </c>
      <c r="K86" s="43" t="s">
        <v>63</v>
      </c>
      <c r="L86" s="44" t="s">
        <v>99</v>
      </c>
      <c r="M86" s="43">
        <v>90</v>
      </c>
      <c r="N86" s="92" t="s">
        <v>163</v>
      </c>
      <c r="O86" s="72"/>
      <c r="P86" s="72"/>
      <c r="Q86" s="72"/>
      <c r="R86" s="73"/>
      <c r="S86" s="45"/>
      <c r="T86" s="45"/>
      <c r="U86" s="46" t="s">
        <v>65</v>
      </c>
      <c r="V86" s="67">
        <v>0</v>
      </c>
      <c r="W86" s="68">
        <f t="shared" si="4"/>
        <v>0</v>
      </c>
      <c r="X86" s="47" t="str">
        <f>IFERROR(IF(W86=0,"",ROUNDUP(W86/H86,0)*0.00937),"")</f>
        <v/>
      </c>
      <c r="Y86" s="48"/>
      <c r="Z86" s="49"/>
      <c r="AD86" s="50"/>
      <c r="BA86" s="51" t="s">
        <v>1</v>
      </c>
    </row>
    <row r="87" spans="1:53" ht="27" customHeight="1" x14ac:dyDescent="0.25">
      <c r="A87" s="41" t="s">
        <v>164</v>
      </c>
      <c r="B87" s="41" t="s">
        <v>165</v>
      </c>
      <c r="C87" s="42">
        <v>4301020258</v>
      </c>
      <c r="D87" s="74">
        <v>4680115882775</v>
      </c>
      <c r="E87" s="73"/>
      <c r="F87" s="66">
        <v>0.3</v>
      </c>
      <c r="G87" s="43">
        <v>8</v>
      </c>
      <c r="H87" s="66">
        <v>2.4</v>
      </c>
      <c r="I87" s="66">
        <v>2.5</v>
      </c>
      <c r="J87" s="43">
        <v>234</v>
      </c>
      <c r="K87" s="43" t="s">
        <v>166</v>
      </c>
      <c r="L87" s="44" t="s">
        <v>128</v>
      </c>
      <c r="M87" s="43">
        <v>50</v>
      </c>
      <c r="N87" s="92" t="s">
        <v>167</v>
      </c>
      <c r="O87" s="72"/>
      <c r="P87" s="72"/>
      <c r="Q87" s="72"/>
      <c r="R87" s="73"/>
      <c r="S87" s="45"/>
      <c r="T87" s="45"/>
      <c r="U87" s="46" t="s">
        <v>65</v>
      </c>
      <c r="V87" s="67">
        <v>0</v>
      </c>
      <c r="W87" s="68">
        <f t="shared" si="4"/>
        <v>0</v>
      </c>
      <c r="X87" s="47" t="str">
        <f>IFERROR(IF(W87=0,"",ROUNDUP(W87/H87,0)*0.00502),"")</f>
        <v/>
      </c>
      <c r="Y87" s="48"/>
      <c r="Z87" s="49"/>
      <c r="AD87" s="50"/>
      <c r="BA87" s="51" t="s">
        <v>1</v>
      </c>
    </row>
    <row r="88" spans="1:53" ht="27" customHeight="1" x14ac:dyDescent="0.25">
      <c r="A88" s="41" t="s">
        <v>168</v>
      </c>
      <c r="B88" s="41" t="s">
        <v>169</v>
      </c>
      <c r="C88" s="42">
        <v>4301020217</v>
      </c>
      <c r="D88" s="74">
        <v>4680115880658</v>
      </c>
      <c r="E88" s="73"/>
      <c r="F88" s="66">
        <v>0.4</v>
      </c>
      <c r="G88" s="43">
        <v>6</v>
      </c>
      <c r="H88" s="66">
        <v>2.4</v>
      </c>
      <c r="I88" s="66">
        <v>2.6</v>
      </c>
      <c r="J88" s="43">
        <v>156</v>
      </c>
      <c r="K88" s="43" t="s">
        <v>63</v>
      </c>
      <c r="L88" s="44" t="s">
        <v>99</v>
      </c>
      <c r="M88" s="43">
        <v>50</v>
      </c>
      <c r="N88" s="7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72"/>
      <c r="P88" s="72"/>
      <c r="Q88" s="72"/>
      <c r="R88" s="73"/>
      <c r="S88" s="45"/>
      <c r="T88" s="45"/>
      <c r="U88" s="46" t="s">
        <v>65</v>
      </c>
      <c r="V88" s="67">
        <v>0</v>
      </c>
      <c r="W88" s="68">
        <f t="shared" si="4"/>
        <v>0</v>
      </c>
      <c r="X88" s="47" t="str">
        <f>IFERROR(IF(W88=0,"",ROUNDUP(W88/H88,0)*0.00753),"")</f>
        <v/>
      </c>
      <c r="Y88" s="48"/>
      <c r="Z88" s="49"/>
      <c r="AD88" s="50"/>
      <c r="BA88" s="51" t="s">
        <v>1</v>
      </c>
    </row>
    <row r="89" spans="1:53" ht="27" customHeight="1" x14ac:dyDescent="0.25">
      <c r="A89" s="41" t="s">
        <v>170</v>
      </c>
      <c r="B89" s="41" t="s">
        <v>171</v>
      </c>
      <c r="C89" s="42">
        <v>4301020223</v>
      </c>
      <c r="D89" s="74">
        <v>4607091381962</v>
      </c>
      <c r="E89" s="73"/>
      <c r="F89" s="66">
        <v>0.5</v>
      </c>
      <c r="G89" s="43">
        <v>6</v>
      </c>
      <c r="H89" s="66">
        <v>3</v>
      </c>
      <c r="I89" s="66">
        <v>3.2</v>
      </c>
      <c r="J89" s="43">
        <v>156</v>
      </c>
      <c r="K89" s="43" t="s">
        <v>63</v>
      </c>
      <c r="L89" s="44" t="s">
        <v>99</v>
      </c>
      <c r="M89" s="43">
        <v>50</v>
      </c>
      <c r="N89" s="7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72"/>
      <c r="P89" s="72"/>
      <c r="Q89" s="72"/>
      <c r="R89" s="73"/>
      <c r="S89" s="45"/>
      <c r="T89" s="45"/>
      <c r="U89" s="46" t="s">
        <v>65</v>
      </c>
      <c r="V89" s="67">
        <v>0</v>
      </c>
      <c r="W89" s="68">
        <f t="shared" si="4"/>
        <v>0</v>
      </c>
      <c r="X89" s="47" t="str">
        <f>IFERROR(IF(W89=0,"",ROUNDUP(W89/H89,0)*0.00753),"")</f>
        <v/>
      </c>
      <c r="Y89" s="48"/>
      <c r="Z89" s="49"/>
      <c r="AD89" s="50"/>
      <c r="BA89" s="51" t="s">
        <v>1</v>
      </c>
    </row>
    <row r="90" spans="1:53" x14ac:dyDescent="0.2">
      <c r="A90" s="81"/>
      <c r="B90" s="76"/>
      <c r="C90" s="76"/>
      <c r="D90" s="76"/>
      <c r="E90" s="76"/>
      <c r="F90" s="76"/>
      <c r="G90" s="76"/>
      <c r="H90" s="76"/>
      <c r="I90" s="76"/>
      <c r="J90" s="76"/>
      <c r="K90" s="76"/>
      <c r="L90" s="76"/>
      <c r="M90" s="82"/>
      <c r="N90" s="78" t="s">
        <v>66</v>
      </c>
      <c r="O90" s="79"/>
      <c r="P90" s="79"/>
      <c r="Q90" s="79"/>
      <c r="R90" s="79"/>
      <c r="S90" s="79"/>
      <c r="T90" s="80"/>
      <c r="U90" s="52" t="s">
        <v>67</v>
      </c>
      <c r="V90" s="69">
        <f>IFERROR(V83/H83,"0")+IFERROR(V84/H84,"0")+IFERROR(V85/H85,"0")+IFERROR(V86/H86,"0")+IFERROR(V87/H87,"0")+IFERROR(V88/H88,"0")+IFERROR(V89/H89,"0")</f>
        <v>0</v>
      </c>
      <c r="W90" s="69">
        <f>IFERROR(W83/H83,"0")+IFERROR(W84/H84,"0")+IFERROR(W85/H85,"0")+IFERROR(W86/H86,"0")+IFERROR(W87/H87,"0")+IFERROR(W88/H88,"0")+IFERROR(W89/H89,"0")</f>
        <v>0</v>
      </c>
      <c r="X90" s="69">
        <f>IFERROR(IF(X83="",0,X83),"0")+IFERROR(IF(X84="",0,X84),"0")+IFERROR(IF(X85="",0,X85),"0")+IFERROR(IF(X86="",0,X86),"0")+IFERROR(IF(X87="",0,X87),"0")+IFERROR(IF(X88="",0,X88),"0")+IFERROR(IF(X89="",0,X89),"0")</f>
        <v>0</v>
      </c>
      <c r="Y90" s="70"/>
      <c r="Z90" s="70"/>
    </row>
    <row r="91" spans="1:53" x14ac:dyDescent="0.2">
      <c r="A91" s="76"/>
      <c r="B91" s="76"/>
      <c r="C91" s="76"/>
      <c r="D91" s="76"/>
      <c r="E91" s="76"/>
      <c r="F91" s="76"/>
      <c r="G91" s="76"/>
      <c r="H91" s="76"/>
      <c r="I91" s="76"/>
      <c r="J91" s="76"/>
      <c r="K91" s="76"/>
      <c r="L91" s="76"/>
      <c r="M91" s="82"/>
      <c r="N91" s="78" t="s">
        <v>66</v>
      </c>
      <c r="O91" s="79"/>
      <c r="P91" s="79"/>
      <c r="Q91" s="79"/>
      <c r="R91" s="79"/>
      <c r="S91" s="79"/>
      <c r="T91" s="80"/>
      <c r="U91" s="52" t="s">
        <v>65</v>
      </c>
      <c r="V91" s="69">
        <f>IFERROR(SUM(V83:V89),"0")</f>
        <v>0</v>
      </c>
      <c r="W91" s="69">
        <f>IFERROR(SUM(W83:W89),"0")</f>
        <v>0</v>
      </c>
      <c r="X91" s="52"/>
      <c r="Y91" s="70"/>
      <c r="Z91" s="70"/>
    </row>
    <row r="92" spans="1:53" ht="14.25" customHeight="1" x14ac:dyDescent="0.25">
      <c r="A92" s="77" t="s">
        <v>60</v>
      </c>
      <c r="B92" s="76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61"/>
      <c r="Z92" s="61"/>
    </row>
    <row r="93" spans="1:53" ht="16.5" customHeight="1" x14ac:dyDescent="0.25">
      <c r="A93" s="41" t="s">
        <v>172</v>
      </c>
      <c r="B93" s="41" t="s">
        <v>173</v>
      </c>
      <c r="C93" s="42">
        <v>4301030895</v>
      </c>
      <c r="D93" s="74">
        <v>4607091387667</v>
      </c>
      <c r="E93" s="73"/>
      <c r="F93" s="66">
        <v>0.9</v>
      </c>
      <c r="G93" s="43">
        <v>10</v>
      </c>
      <c r="H93" s="66">
        <v>9</v>
      </c>
      <c r="I93" s="66">
        <v>9.6300000000000008</v>
      </c>
      <c r="J93" s="43">
        <v>56</v>
      </c>
      <c r="K93" s="43" t="s">
        <v>98</v>
      </c>
      <c r="L93" s="44" t="s">
        <v>99</v>
      </c>
      <c r="M93" s="43">
        <v>40</v>
      </c>
      <c r="N93" s="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72"/>
      <c r="P93" s="72"/>
      <c r="Q93" s="72"/>
      <c r="R93" s="73"/>
      <c r="S93" s="45"/>
      <c r="T93" s="45"/>
      <c r="U93" s="46" t="s">
        <v>65</v>
      </c>
      <c r="V93" s="67">
        <v>0</v>
      </c>
      <c r="W93" s="68">
        <f t="shared" ref="W93:W102" si="5">IFERROR(IF(V93="",0,CEILING((V93/$H93),1)*$H93),"")</f>
        <v>0</v>
      </c>
      <c r="X93" s="47" t="str">
        <f>IFERROR(IF(W93=0,"",ROUNDUP(W93/H93,0)*0.02175),"")</f>
        <v/>
      </c>
      <c r="Y93" s="48"/>
      <c r="Z93" s="49"/>
      <c r="AD93" s="50"/>
      <c r="BA93" s="51" t="s">
        <v>1</v>
      </c>
    </row>
    <row r="94" spans="1:53" ht="27" customHeight="1" x14ac:dyDescent="0.25">
      <c r="A94" s="41" t="s">
        <v>174</v>
      </c>
      <c r="B94" s="41" t="s">
        <v>175</v>
      </c>
      <c r="C94" s="42">
        <v>4301030961</v>
      </c>
      <c r="D94" s="74">
        <v>4607091387636</v>
      </c>
      <c r="E94" s="73"/>
      <c r="F94" s="66">
        <v>0.7</v>
      </c>
      <c r="G94" s="43">
        <v>6</v>
      </c>
      <c r="H94" s="66">
        <v>4.2</v>
      </c>
      <c r="I94" s="66">
        <v>4.5</v>
      </c>
      <c r="J94" s="43">
        <v>120</v>
      </c>
      <c r="K94" s="43" t="s">
        <v>63</v>
      </c>
      <c r="L94" s="44" t="s">
        <v>64</v>
      </c>
      <c r="M94" s="43">
        <v>40</v>
      </c>
      <c r="N94" s="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72"/>
      <c r="P94" s="72"/>
      <c r="Q94" s="72"/>
      <c r="R94" s="73"/>
      <c r="S94" s="45"/>
      <c r="T94" s="45"/>
      <c r="U94" s="46" t="s">
        <v>65</v>
      </c>
      <c r="V94" s="67">
        <v>0</v>
      </c>
      <c r="W94" s="68">
        <f t="shared" si="5"/>
        <v>0</v>
      </c>
      <c r="X94" s="47" t="str">
        <f>IFERROR(IF(W94=0,"",ROUNDUP(W94/H94,0)*0.00937),"")</f>
        <v/>
      </c>
      <c r="Y94" s="48"/>
      <c r="Z94" s="49"/>
      <c r="AD94" s="50"/>
      <c r="BA94" s="51" t="s">
        <v>1</v>
      </c>
    </row>
    <row r="95" spans="1:53" ht="27" customHeight="1" x14ac:dyDescent="0.25">
      <c r="A95" s="41" t="s">
        <v>176</v>
      </c>
      <c r="B95" s="41" t="s">
        <v>177</v>
      </c>
      <c r="C95" s="42">
        <v>4301031078</v>
      </c>
      <c r="D95" s="74">
        <v>4607091384727</v>
      </c>
      <c r="E95" s="73"/>
      <c r="F95" s="66">
        <v>0.8</v>
      </c>
      <c r="G95" s="43">
        <v>6</v>
      </c>
      <c r="H95" s="66">
        <v>4.8</v>
      </c>
      <c r="I95" s="66">
        <v>5.16</v>
      </c>
      <c r="J95" s="43">
        <v>104</v>
      </c>
      <c r="K95" s="43" t="s">
        <v>98</v>
      </c>
      <c r="L95" s="44" t="s">
        <v>64</v>
      </c>
      <c r="M95" s="43">
        <v>45</v>
      </c>
      <c r="N95" s="7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72"/>
      <c r="P95" s="72"/>
      <c r="Q95" s="72"/>
      <c r="R95" s="73"/>
      <c r="S95" s="45"/>
      <c r="T95" s="45"/>
      <c r="U95" s="46" t="s">
        <v>65</v>
      </c>
      <c r="V95" s="67">
        <v>0</v>
      </c>
      <c r="W95" s="68">
        <f t="shared" si="5"/>
        <v>0</v>
      </c>
      <c r="X95" s="47" t="str">
        <f>IFERROR(IF(W95=0,"",ROUNDUP(W95/H95,0)*0.01196),"")</f>
        <v/>
      </c>
      <c r="Y95" s="48"/>
      <c r="Z95" s="49"/>
      <c r="AD95" s="50"/>
      <c r="BA95" s="51" t="s">
        <v>1</v>
      </c>
    </row>
    <row r="96" spans="1:53" ht="27" customHeight="1" x14ac:dyDescent="0.25">
      <c r="A96" s="41" t="s">
        <v>178</v>
      </c>
      <c r="B96" s="41" t="s">
        <v>179</v>
      </c>
      <c r="C96" s="42">
        <v>4301031080</v>
      </c>
      <c r="D96" s="74">
        <v>4607091386745</v>
      </c>
      <c r="E96" s="73"/>
      <c r="F96" s="66">
        <v>0.8</v>
      </c>
      <c r="G96" s="43">
        <v>6</v>
      </c>
      <c r="H96" s="66">
        <v>4.8</v>
      </c>
      <c r="I96" s="66">
        <v>5.16</v>
      </c>
      <c r="J96" s="43">
        <v>104</v>
      </c>
      <c r="K96" s="43" t="s">
        <v>98</v>
      </c>
      <c r="L96" s="44" t="s">
        <v>64</v>
      </c>
      <c r="M96" s="43">
        <v>45</v>
      </c>
      <c r="N96" s="7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72"/>
      <c r="P96" s="72"/>
      <c r="Q96" s="72"/>
      <c r="R96" s="73"/>
      <c r="S96" s="45"/>
      <c r="T96" s="45"/>
      <c r="U96" s="46" t="s">
        <v>65</v>
      </c>
      <c r="V96" s="67">
        <v>0</v>
      </c>
      <c r="W96" s="68">
        <f t="shared" si="5"/>
        <v>0</v>
      </c>
      <c r="X96" s="47" t="str">
        <f>IFERROR(IF(W96=0,"",ROUNDUP(W96/H96,0)*0.01196),"")</f>
        <v/>
      </c>
      <c r="Y96" s="48"/>
      <c r="Z96" s="49"/>
      <c r="AD96" s="50"/>
      <c r="BA96" s="51" t="s">
        <v>1</v>
      </c>
    </row>
    <row r="97" spans="1:53" ht="16.5" customHeight="1" x14ac:dyDescent="0.25">
      <c r="A97" s="41" t="s">
        <v>180</v>
      </c>
      <c r="B97" s="41" t="s">
        <v>181</v>
      </c>
      <c r="C97" s="42">
        <v>4301030963</v>
      </c>
      <c r="D97" s="74">
        <v>4607091382426</v>
      </c>
      <c r="E97" s="73"/>
      <c r="F97" s="66">
        <v>0.9</v>
      </c>
      <c r="G97" s="43">
        <v>10</v>
      </c>
      <c r="H97" s="66">
        <v>9</v>
      </c>
      <c r="I97" s="66">
        <v>9.6300000000000008</v>
      </c>
      <c r="J97" s="43">
        <v>56</v>
      </c>
      <c r="K97" s="43" t="s">
        <v>98</v>
      </c>
      <c r="L97" s="44" t="s">
        <v>64</v>
      </c>
      <c r="M97" s="43">
        <v>40</v>
      </c>
      <c r="N97" s="7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72"/>
      <c r="P97" s="72"/>
      <c r="Q97" s="72"/>
      <c r="R97" s="73"/>
      <c r="S97" s="45"/>
      <c r="T97" s="45"/>
      <c r="U97" s="46" t="s">
        <v>65</v>
      </c>
      <c r="V97" s="67">
        <v>0</v>
      </c>
      <c r="W97" s="68">
        <f t="shared" si="5"/>
        <v>0</v>
      </c>
      <c r="X97" s="47" t="str">
        <f>IFERROR(IF(W97=0,"",ROUNDUP(W97/H97,0)*0.02175),"")</f>
        <v/>
      </c>
      <c r="Y97" s="48"/>
      <c r="Z97" s="49"/>
      <c r="AD97" s="50"/>
      <c r="BA97" s="51" t="s">
        <v>1</v>
      </c>
    </row>
    <row r="98" spans="1:53" ht="27" customHeight="1" x14ac:dyDescent="0.25">
      <c r="A98" s="41" t="s">
        <v>182</v>
      </c>
      <c r="B98" s="41" t="s">
        <v>183</v>
      </c>
      <c r="C98" s="42">
        <v>4301030962</v>
      </c>
      <c r="D98" s="74">
        <v>4607091386547</v>
      </c>
      <c r="E98" s="73"/>
      <c r="F98" s="66">
        <v>0.35</v>
      </c>
      <c r="G98" s="43">
        <v>8</v>
      </c>
      <c r="H98" s="66">
        <v>2.8</v>
      </c>
      <c r="I98" s="66">
        <v>2.94</v>
      </c>
      <c r="J98" s="43">
        <v>234</v>
      </c>
      <c r="K98" s="43" t="s">
        <v>166</v>
      </c>
      <c r="L98" s="44" t="s">
        <v>64</v>
      </c>
      <c r="M98" s="43">
        <v>40</v>
      </c>
      <c r="N98" s="7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72"/>
      <c r="P98" s="72"/>
      <c r="Q98" s="72"/>
      <c r="R98" s="73"/>
      <c r="S98" s="45"/>
      <c r="T98" s="45"/>
      <c r="U98" s="46" t="s">
        <v>65</v>
      </c>
      <c r="V98" s="67">
        <v>0</v>
      </c>
      <c r="W98" s="68">
        <f t="shared" si="5"/>
        <v>0</v>
      </c>
      <c r="X98" s="47" t="str">
        <f>IFERROR(IF(W98=0,"",ROUNDUP(W98/H98,0)*0.00502),"")</f>
        <v/>
      </c>
      <c r="Y98" s="48"/>
      <c r="Z98" s="49"/>
      <c r="AD98" s="50"/>
      <c r="BA98" s="51" t="s">
        <v>1</v>
      </c>
    </row>
    <row r="99" spans="1:53" ht="27" customHeight="1" x14ac:dyDescent="0.25">
      <c r="A99" s="41" t="s">
        <v>184</v>
      </c>
      <c r="B99" s="41" t="s">
        <v>185</v>
      </c>
      <c r="C99" s="42">
        <v>4301031079</v>
      </c>
      <c r="D99" s="74">
        <v>4607091384734</v>
      </c>
      <c r="E99" s="73"/>
      <c r="F99" s="66">
        <v>0.35</v>
      </c>
      <c r="G99" s="43">
        <v>6</v>
      </c>
      <c r="H99" s="66">
        <v>2.1</v>
      </c>
      <c r="I99" s="66">
        <v>2.2000000000000002</v>
      </c>
      <c r="J99" s="43">
        <v>234</v>
      </c>
      <c r="K99" s="43" t="s">
        <v>166</v>
      </c>
      <c r="L99" s="44" t="s">
        <v>64</v>
      </c>
      <c r="M99" s="43">
        <v>45</v>
      </c>
      <c r="N99" s="7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72"/>
      <c r="P99" s="72"/>
      <c r="Q99" s="72"/>
      <c r="R99" s="73"/>
      <c r="S99" s="45"/>
      <c r="T99" s="45"/>
      <c r="U99" s="46" t="s">
        <v>65</v>
      </c>
      <c r="V99" s="67">
        <v>0</v>
      </c>
      <c r="W99" s="68">
        <f t="shared" si="5"/>
        <v>0</v>
      </c>
      <c r="X99" s="47" t="str">
        <f>IFERROR(IF(W99=0,"",ROUNDUP(W99/H99,0)*0.00502),"")</f>
        <v/>
      </c>
      <c r="Y99" s="48"/>
      <c r="Z99" s="49"/>
      <c r="AD99" s="50"/>
      <c r="BA99" s="51" t="s">
        <v>1</v>
      </c>
    </row>
    <row r="100" spans="1:53" ht="27" customHeight="1" x14ac:dyDescent="0.25">
      <c r="A100" s="41" t="s">
        <v>186</v>
      </c>
      <c r="B100" s="41" t="s">
        <v>187</v>
      </c>
      <c r="C100" s="42">
        <v>4301030964</v>
      </c>
      <c r="D100" s="74">
        <v>4607091382464</v>
      </c>
      <c r="E100" s="73"/>
      <c r="F100" s="66">
        <v>0.35</v>
      </c>
      <c r="G100" s="43">
        <v>8</v>
      </c>
      <c r="H100" s="66">
        <v>2.8</v>
      </c>
      <c r="I100" s="66">
        <v>2.964</v>
      </c>
      <c r="J100" s="43">
        <v>234</v>
      </c>
      <c r="K100" s="43" t="s">
        <v>166</v>
      </c>
      <c r="L100" s="44" t="s">
        <v>64</v>
      </c>
      <c r="M100" s="43">
        <v>40</v>
      </c>
      <c r="N100" s="7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72"/>
      <c r="P100" s="72"/>
      <c r="Q100" s="72"/>
      <c r="R100" s="73"/>
      <c r="S100" s="45"/>
      <c r="T100" s="45"/>
      <c r="U100" s="46" t="s">
        <v>65</v>
      </c>
      <c r="V100" s="67">
        <v>0</v>
      </c>
      <c r="W100" s="68">
        <f t="shared" si="5"/>
        <v>0</v>
      </c>
      <c r="X100" s="47" t="str">
        <f>IFERROR(IF(W100=0,"",ROUNDUP(W100/H100,0)*0.00502),"")</f>
        <v/>
      </c>
      <c r="Y100" s="48"/>
      <c r="Z100" s="49"/>
      <c r="AD100" s="50"/>
      <c r="BA100" s="51" t="s">
        <v>1</v>
      </c>
    </row>
    <row r="101" spans="1:53" ht="27" customHeight="1" x14ac:dyDescent="0.25">
      <c r="A101" s="41" t="s">
        <v>188</v>
      </c>
      <c r="B101" s="41" t="s">
        <v>189</v>
      </c>
      <c r="C101" s="42">
        <v>4301031234</v>
      </c>
      <c r="D101" s="74">
        <v>4680115883444</v>
      </c>
      <c r="E101" s="73"/>
      <c r="F101" s="66">
        <v>0.35</v>
      </c>
      <c r="G101" s="43">
        <v>8</v>
      </c>
      <c r="H101" s="66">
        <v>2.8</v>
      </c>
      <c r="I101" s="66">
        <v>3.0880000000000001</v>
      </c>
      <c r="J101" s="43">
        <v>156</v>
      </c>
      <c r="K101" s="43" t="s">
        <v>63</v>
      </c>
      <c r="L101" s="44" t="s">
        <v>84</v>
      </c>
      <c r="M101" s="43">
        <v>90</v>
      </c>
      <c r="N101" s="92" t="s">
        <v>190</v>
      </c>
      <c r="O101" s="72"/>
      <c r="P101" s="72"/>
      <c r="Q101" s="72"/>
      <c r="R101" s="73"/>
      <c r="S101" s="45"/>
      <c r="T101" s="45"/>
      <c r="U101" s="46" t="s">
        <v>65</v>
      </c>
      <c r="V101" s="67">
        <v>0</v>
      </c>
      <c r="W101" s="68">
        <f t="shared" si="5"/>
        <v>0</v>
      </c>
      <c r="X101" s="47" t="str">
        <f>IFERROR(IF(W101=0,"",ROUNDUP(W101/H101,0)*0.00753),"")</f>
        <v/>
      </c>
      <c r="Y101" s="48"/>
      <c r="Z101" s="49"/>
      <c r="AD101" s="50"/>
      <c r="BA101" s="51" t="s">
        <v>1</v>
      </c>
    </row>
    <row r="102" spans="1:53" ht="27" customHeight="1" x14ac:dyDescent="0.25">
      <c r="A102" s="41" t="s">
        <v>188</v>
      </c>
      <c r="B102" s="41" t="s">
        <v>191</v>
      </c>
      <c r="C102" s="42">
        <v>4301031235</v>
      </c>
      <c r="D102" s="74">
        <v>4680115883444</v>
      </c>
      <c r="E102" s="73"/>
      <c r="F102" s="66">
        <v>0.35</v>
      </c>
      <c r="G102" s="43">
        <v>8</v>
      </c>
      <c r="H102" s="66">
        <v>2.8</v>
      </c>
      <c r="I102" s="66">
        <v>3.0880000000000001</v>
      </c>
      <c r="J102" s="43">
        <v>156</v>
      </c>
      <c r="K102" s="43" t="s">
        <v>63</v>
      </c>
      <c r="L102" s="44" t="s">
        <v>84</v>
      </c>
      <c r="M102" s="43">
        <v>90</v>
      </c>
      <c r="N102" s="92" t="s">
        <v>190</v>
      </c>
      <c r="O102" s="72"/>
      <c r="P102" s="72"/>
      <c r="Q102" s="72"/>
      <c r="R102" s="73"/>
      <c r="S102" s="45"/>
      <c r="T102" s="45"/>
      <c r="U102" s="46" t="s">
        <v>65</v>
      </c>
      <c r="V102" s="67">
        <v>0</v>
      </c>
      <c r="W102" s="68">
        <f t="shared" si="5"/>
        <v>0</v>
      </c>
      <c r="X102" s="47" t="str">
        <f>IFERROR(IF(W102=0,"",ROUNDUP(W102/H102,0)*0.00753),"")</f>
        <v/>
      </c>
      <c r="Y102" s="48"/>
      <c r="Z102" s="49"/>
      <c r="AD102" s="50"/>
      <c r="BA102" s="51" t="s">
        <v>1</v>
      </c>
    </row>
    <row r="103" spans="1:53" x14ac:dyDescent="0.2">
      <c r="A103" s="81"/>
      <c r="B103" s="76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82"/>
      <c r="N103" s="78" t="s">
        <v>66</v>
      </c>
      <c r="O103" s="79"/>
      <c r="P103" s="79"/>
      <c r="Q103" s="79"/>
      <c r="R103" s="79"/>
      <c r="S103" s="79"/>
      <c r="T103" s="80"/>
      <c r="U103" s="52" t="s">
        <v>67</v>
      </c>
      <c r="V103" s="69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69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69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70"/>
      <c r="Z103" s="70"/>
    </row>
    <row r="104" spans="1:53" x14ac:dyDescent="0.2">
      <c r="A104" s="76"/>
      <c r="B104" s="76"/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82"/>
      <c r="N104" s="78" t="s">
        <v>66</v>
      </c>
      <c r="O104" s="79"/>
      <c r="P104" s="79"/>
      <c r="Q104" s="79"/>
      <c r="R104" s="79"/>
      <c r="S104" s="79"/>
      <c r="T104" s="80"/>
      <c r="U104" s="52" t="s">
        <v>65</v>
      </c>
      <c r="V104" s="69">
        <f>IFERROR(SUM(V93:V102),"0")</f>
        <v>0</v>
      </c>
      <c r="W104" s="69">
        <f>IFERROR(SUM(W93:W102),"0")</f>
        <v>0</v>
      </c>
      <c r="X104" s="52"/>
      <c r="Y104" s="70"/>
      <c r="Z104" s="70"/>
    </row>
    <row r="105" spans="1:53" ht="14.25" customHeight="1" x14ac:dyDescent="0.25">
      <c r="A105" s="77" t="s">
        <v>68</v>
      </c>
      <c r="B105" s="76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61"/>
      <c r="Z105" s="61"/>
    </row>
    <row r="106" spans="1:53" ht="27" customHeight="1" x14ac:dyDescent="0.25">
      <c r="A106" s="41" t="s">
        <v>192</v>
      </c>
      <c r="B106" s="41" t="s">
        <v>193</v>
      </c>
      <c r="C106" s="42">
        <v>4301051437</v>
      </c>
      <c r="D106" s="74">
        <v>4607091386967</v>
      </c>
      <c r="E106" s="73"/>
      <c r="F106" s="66">
        <v>1.35</v>
      </c>
      <c r="G106" s="43">
        <v>6</v>
      </c>
      <c r="H106" s="66">
        <v>8.1</v>
      </c>
      <c r="I106" s="66">
        <v>8.6639999999999997</v>
      </c>
      <c r="J106" s="43">
        <v>56</v>
      </c>
      <c r="K106" s="43" t="s">
        <v>98</v>
      </c>
      <c r="L106" s="44" t="s">
        <v>128</v>
      </c>
      <c r="M106" s="43">
        <v>45</v>
      </c>
      <c r="N106" s="92" t="s">
        <v>194</v>
      </c>
      <c r="O106" s="72"/>
      <c r="P106" s="72"/>
      <c r="Q106" s="72"/>
      <c r="R106" s="73"/>
      <c r="S106" s="45"/>
      <c r="T106" s="45"/>
      <c r="U106" s="46" t="s">
        <v>65</v>
      </c>
      <c r="V106" s="67">
        <v>0</v>
      </c>
      <c r="W106" s="68">
        <f t="shared" ref="W106:W115" si="6">IFERROR(IF(V106="",0,CEILING((V106/$H106),1)*$H106),"")</f>
        <v>0</v>
      </c>
      <c r="X106" s="47" t="str">
        <f>IFERROR(IF(W106=0,"",ROUNDUP(W106/H106,0)*0.02175),"")</f>
        <v/>
      </c>
      <c r="Y106" s="48"/>
      <c r="Z106" s="49"/>
      <c r="AD106" s="50"/>
      <c r="BA106" s="51" t="s">
        <v>1</v>
      </c>
    </row>
    <row r="107" spans="1:53" ht="27" customHeight="1" x14ac:dyDescent="0.25">
      <c r="A107" s="41" t="s">
        <v>192</v>
      </c>
      <c r="B107" s="41" t="s">
        <v>195</v>
      </c>
      <c r="C107" s="42">
        <v>4301051543</v>
      </c>
      <c r="D107" s="74">
        <v>4607091386967</v>
      </c>
      <c r="E107" s="73"/>
      <c r="F107" s="66">
        <v>1.4</v>
      </c>
      <c r="G107" s="43">
        <v>6</v>
      </c>
      <c r="H107" s="66">
        <v>8.4</v>
      </c>
      <c r="I107" s="66">
        <v>8.9640000000000004</v>
      </c>
      <c r="J107" s="43">
        <v>56</v>
      </c>
      <c r="K107" s="43" t="s">
        <v>98</v>
      </c>
      <c r="L107" s="44" t="s">
        <v>64</v>
      </c>
      <c r="M107" s="43">
        <v>45</v>
      </c>
      <c r="N107" s="92" t="s">
        <v>196</v>
      </c>
      <c r="O107" s="72"/>
      <c r="P107" s="72"/>
      <c r="Q107" s="72"/>
      <c r="R107" s="73"/>
      <c r="S107" s="45"/>
      <c r="T107" s="45"/>
      <c r="U107" s="46" t="s">
        <v>65</v>
      </c>
      <c r="V107" s="67">
        <v>0</v>
      </c>
      <c r="W107" s="68">
        <f t="shared" si="6"/>
        <v>0</v>
      </c>
      <c r="X107" s="47" t="str">
        <f>IFERROR(IF(W107=0,"",ROUNDUP(W107/H107,0)*0.02175),"")</f>
        <v/>
      </c>
      <c r="Y107" s="48"/>
      <c r="Z107" s="49"/>
      <c r="AD107" s="50"/>
      <c r="BA107" s="51" t="s">
        <v>1</v>
      </c>
    </row>
    <row r="108" spans="1:53" ht="16.5" customHeight="1" x14ac:dyDescent="0.25">
      <c r="A108" s="41" t="s">
        <v>197</v>
      </c>
      <c r="B108" s="41" t="s">
        <v>198</v>
      </c>
      <c r="C108" s="42">
        <v>4301051311</v>
      </c>
      <c r="D108" s="74">
        <v>4607091385304</v>
      </c>
      <c r="E108" s="73"/>
      <c r="F108" s="66">
        <v>1.35</v>
      </c>
      <c r="G108" s="43">
        <v>6</v>
      </c>
      <c r="H108" s="66">
        <v>8.1</v>
      </c>
      <c r="I108" s="66">
        <v>8.6639999999999997</v>
      </c>
      <c r="J108" s="43">
        <v>56</v>
      </c>
      <c r="K108" s="43" t="s">
        <v>98</v>
      </c>
      <c r="L108" s="44" t="s">
        <v>64</v>
      </c>
      <c r="M108" s="43">
        <v>40</v>
      </c>
      <c r="N108" s="71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72"/>
      <c r="P108" s="72"/>
      <c r="Q108" s="72"/>
      <c r="R108" s="73"/>
      <c r="S108" s="45"/>
      <c r="T108" s="45"/>
      <c r="U108" s="46" t="s">
        <v>65</v>
      </c>
      <c r="V108" s="67">
        <v>0</v>
      </c>
      <c r="W108" s="68">
        <f t="shared" si="6"/>
        <v>0</v>
      </c>
      <c r="X108" s="47" t="str">
        <f>IFERROR(IF(W108=0,"",ROUNDUP(W108/H108,0)*0.02175),"")</f>
        <v/>
      </c>
      <c r="Y108" s="48"/>
      <c r="Z108" s="49"/>
      <c r="AD108" s="50"/>
      <c r="BA108" s="51" t="s">
        <v>1</v>
      </c>
    </row>
    <row r="109" spans="1:53" ht="16.5" customHeight="1" x14ac:dyDescent="0.25">
      <c r="A109" s="41" t="s">
        <v>199</v>
      </c>
      <c r="B109" s="41" t="s">
        <v>200</v>
      </c>
      <c r="C109" s="42">
        <v>4301051306</v>
      </c>
      <c r="D109" s="74">
        <v>4607091386264</v>
      </c>
      <c r="E109" s="73"/>
      <c r="F109" s="66">
        <v>0.5</v>
      </c>
      <c r="G109" s="43">
        <v>6</v>
      </c>
      <c r="H109" s="66">
        <v>3</v>
      </c>
      <c r="I109" s="66">
        <v>3.278</v>
      </c>
      <c r="J109" s="43">
        <v>156</v>
      </c>
      <c r="K109" s="43" t="s">
        <v>63</v>
      </c>
      <c r="L109" s="44" t="s">
        <v>64</v>
      </c>
      <c r="M109" s="43">
        <v>31</v>
      </c>
      <c r="N109" s="7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72"/>
      <c r="P109" s="72"/>
      <c r="Q109" s="72"/>
      <c r="R109" s="73"/>
      <c r="S109" s="45"/>
      <c r="T109" s="45"/>
      <c r="U109" s="46" t="s">
        <v>65</v>
      </c>
      <c r="V109" s="67">
        <v>0</v>
      </c>
      <c r="W109" s="68">
        <f t="shared" si="6"/>
        <v>0</v>
      </c>
      <c r="X109" s="47" t="str">
        <f>IFERROR(IF(W109=0,"",ROUNDUP(W109/H109,0)*0.00753),"")</f>
        <v/>
      </c>
      <c r="Y109" s="48"/>
      <c r="Z109" s="49"/>
      <c r="AD109" s="50"/>
      <c r="BA109" s="51" t="s">
        <v>1</v>
      </c>
    </row>
    <row r="110" spans="1:53" ht="16.5" customHeight="1" x14ac:dyDescent="0.25">
      <c r="A110" s="41" t="s">
        <v>201</v>
      </c>
      <c r="B110" s="41" t="s">
        <v>202</v>
      </c>
      <c r="C110" s="42">
        <v>4301051476</v>
      </c>
      <c r="D110" s="74">
        <v>4680115882584</v>
      </c>
      <c r="E110" s="73"/>
      <c r="F110" s="66">
        <v>0.33</v>
      </c>
      <c r="G110" s="43">
        <v>8</v>
      </c>
      <c r="H110" s="66">
        <v>2.64</v>
      </c>
      <c r="I110" s="66">
        <v>2.9279999999999999</v>
      </c>
      <c r="J110" s="43">
        <v>156</v>
      </c>
      <c r="K110" s="43" t="s">
        <v>63</v>
      </c>
      <c r="L110" s="44" t="s">
        <v>84</v>
      </c>
      <c r="M110" s="43">
        <v>60</v>
      </c>
      <c r="N110" s="92" t="s">
        <v>203</v>
      </c>
      <c r="O110" s="72"/>
      <c r="P110" s="72"/>
      <c r="Q110" s="72"/>
      <c r="R110" s="73"/>
      <c r="S110" s="45"/>
      <c r="T110" s="45"/>
      <c r="U110" s="46" t="s">
        <v>65</v>
      </c>
      <c r="V110" s="67">
        <v>0</v>
      </c>
      <c r="W110" s="68">
        <f t="shared" si="6"/>
        <v>0</v>
      </c>
      <c r="X110" s="47" t="str">
        <f>IFERROR(IF(W110=0,"",ROUNDUP(W110/H110,0)*0.00753),"")</f>
        <v/>
      </c>
      <c r="Y110" s="48"/>
      <c r="Z110" s="49"/>
      <c r="AD110" s="50"/>
      <c r="BA110" s="51" t="s">
        <v>1</v>
      </c>
    </row>
    <row r="111" spans="1:53" ht="27" customHeight="1" x14ac:dyDescent="0.25">
      <c r="A111" s="41" t="s">
        <v>204</v>
      </c>
      <c r="B111" s="41" t="s">
        <v>205</v>
      </c>
      <c r="C111" s="42">
        <v>4301051436</v>
      </c>
      <c r="D111" s="74">
        <v>4607091385731</v>
      </c>
      <c r="E111" s="73"/>
      <c r="F111" s="66">
        <v>0.45</v>
      </c>
      <c r="G111" s="43">
        <v>6</v>
      </c>
      <c r="H111" s="66">
        <v>2.7</v>
      </c>
      <c r="I111" s="66">
        <v>2.972</v>
      </c>
      <c r="J111" s="43">
        <v>156</v>
      </c>
      <c r="K111" s="43" t="s">
        <v>63</v>
      </c>
      <c r="L111" s="44" t="s">
        <v>128</v>
      </c>
      <c r="M111" s="43">
        <v>45</v>
      </c>
      <c r="N111" s="92" t="s">
        <v>206</v>
      </c>
      <c r="O111" s="72"/>
      <c r="P111" s="72"/>
      <c r="Q111" s="72"/>
      <c r="R111" s="73"/>
      <c r="S111" s="45"/>
      <c r="T111" s="45"/>
      <c r="U111" s="46" t="s">
        <v>65</v>
      </c>
      <c r="V111" s="67">
        <v>0</v>
      </c>
      <c r="W111" s="68">
        <f t="shared" si="6"/>
        <v>0</v>
      </c>
      <c r="X111" s="47" t="str">
        <f>IFERROR(IF(W111=0,"",ROUNDUP(W111/H111,0)*0.00753),"")</f>
        <v/>
      </c>
      <c r="Y111" s="48"/>
      <c r="Z111" s="49"/>
      <c r="AD111" s="50"/>
      <c r="BA111" s="51" t="s">
        <v>1</v>
      </c>
    </row>
    <row r="112" spans="1:53" ht="27" customHeight="1" x14ac:dyDescent="0.25">
      <c r="A112" s="41" t="s">
        <v>207</v>
      </c>
      <c r="B112" s="41" t="s">
        <v>208</v>
      </c>
      <c r="C112" s="42">
        <v>4301051439</v>
      </c>
      <c r="D112" s="74">
        <v>4680115880214</v>
      </c>
      <c r="E112" s="73"/>
      <c r="F112" s="66">
        <v>0.45</v>
      </c>
      <c r="G112" s="43">
        <v>6</v>
      </c>
      <c r="H112" s="66">
        <v>2.7</v>
      </c>
      <c r="I112" s="66">
        <v>2.988</v>
      </c>
      <c r="J112" s="43">
        <v>120</v>
      </c>
      <c r="K112" s="43" t="s">
        <v>63</v>
      </c>
      <c r="L112" s="44" t="s">
        <v>128</v>
      </c>
      <c r="M112" s="43">
        <v>45</v>
      </c>
      <c r="N112" s="92" t="s">
        <v>209</v>
      </c>
      <c r="O112" s="72"/>
      <c r="P112" s="72"/>
      <c r="Q112" s="72"/>
      <c r="R112" s="73"/>
      <c r="S112" s="45"/>
      <c r="T112" s="45"/>
      <c r="U112" s="46" t="s">
        <v>65</v>
      </c>
      <c r="V112" s="67">
        <v>0</v>
      </c>
      <c r="W112" s="68">
        <f t="shared" si="6"/>
        <v>0</v>
      </c>
      <c r="X112" s="47" t="str">
        <f>IFERROR(IF(W112=0,"",ROUNDUP(W112/H112,0)*0.00937),"")</f>
        <v/>
      </c>
      <c r="Y112" s="48"/>
      <c r="Z112" s="49"/>
      <c r="AD112" s="50"/>
      <c r="BA112" s="51" t="s">
        <v>1</v>
      </c>
    </row>
    <row r="113" spans="1:53" ht="27" customHeight="1" x14ac:dyDescent="0.25">
      <c r="A113" s="41" t="s">
        <v>210</v>
      </c>
      <c r="B113" s="41" t="s">
        <v>211</v>
      </c>
      <c r="C113" s="42">
        <v>4301051438</v>
      </c>
      <c r="D113" s="74">
        <v>4680115880894</v>
      </c>
      <c r="E113" s="73"/>
      <c r="F113" s="66">
        <v>0.33</v>
      </c>
      <c r="G113" s="43">
        <v>6</v>
      </c>
      <c r="H113" s="66">
        <v>1.98</v>
      </c>
      <c r="I113" s="66">
        <v>2.258</v>
      </c>
      <c r="J113" s="43">
        <v>156</v>
      </c>
      <c r="K113" s="43" t="s">
        <v>63</v>
      </c>
      <c r="L113" s="44" t="s">
        <v>128</v>
      </c>
      <c r="M113" s="43">
        <v>45</v>
      </c>
      <c r="N113" s="92" t="s">
        <v>212</v>
      </c>
      <c r="O113" s="72"/>
      <c r="P113" s="72"/>
      <c r="Q113" s="72"/>
      <c r="R113" s="73"/>
      <c r="S113" s="45"/>
      <c r="T113" s="45"/>
      <c r="U113" s="46" t="s">
        <v>65</v>
      </c>
      <c r="V113" s="67">
        <v>0</v>
      </c>
      <c r="W113" s="68">
        <f t="shared" si="6"/>
        <v>0</v>
      </c>
      <c r="X113" s="47" t="str">
        <f>IFERROR(IF(W113=0,"",ROUNDUP(W113/H113,0)*0.00753),"")</f>
        <v/>
      </c>
      <c r="Y113" s="48"/>
      <c r="Z113" s="49"/>
      <c r="AD113" s="50"/>
      <c r="BA113" s="51" t="s">
        <v>1</v>
      </c>
    </row>
    <row r="114" spans="1:53" ht="16.5" customHeight="1" x14ac:dyDescent="0.25">
      <c r="A114" s="41" t="s">
        <v>213</v>
      </c>
      <c r="B114" s="41" t="s">
        <v>214</v>
      </c>
      <c r="C114" s="42">
        <v>4301051313</v>
      </c>
      <c r="D114" s="74">
        <v>4607091385427</v>
      </c>
      <c r="E114" s="73"/>
      <c r="F114" s="66">
        <v>0.5</v>
      </c>
      <c r="G114" s="43">
        <v>6</v>
      </c>
      <c r="H114" s="66">
        <v>3</v>
      </c>
      <c r="I114" s="66">
        <v>3.2719999999999998</v>
      </c>
      <c r="J114" s="43">
        <v>156</v>
      </c>
      <c r="K114" s="43" t="s">
        <v>63</v>
      </c>
      <c r="L114" s="44" t="s">
        <v>64</v>
      </c>
      <c r="M114" s="43">
        <v>40</v>
      </c>
      <c r="N114" s="7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72"/>
      <c r="P114" s="72"/>
      <c r="Q114" s="72"/>
      <c r="R114" s="73"/>
      <c r="S114" s="45"/>
      <c r="T114" s="45"/>
      <c r="U114" s="46" t="s">
        <v>65</v>
      </c>
      <c r="V114" s="67">
        <v>0</v>
      </c>
      <c r="W114" s="68">
        <f t="shared" si="6"/>
        <v>0</v>
      </c>
      <c r="X114" s="47" t="str">
        <f>IFERROR(IF(W114=0,"",ROUNDUP(W114/H114,0)*0.00753),"")</f>
        <v/>
      </c>
      <c r="Y114" s="48"/>
      <c r="Z114" s="49"/>
      <c r="AD114" s="50"/>
      <c r="BA114" s="51" t="s">
        <v>1</v>
      </c>
    </row>
    <row r="115" spans="1:53" ht="16.5" customHeight="1" x14ac:dyDescent="0.25">
      <c r="A115" s="41" t="s">
        <v>215</v>
      </c>
      <c r="B115" s="41" t="s">
        <v>216</v>
      </c>
      <c r="C115" s="42">
        <v>4301051480</v>
      </c>
      <c r="D115" s="74">
        <v>4680115882645</v>
      </c>
      <c r="E115" s="73"/>
      <c r="F115" s="66">
        <v>0.3</v>
      </c>
      <c r="G115" s="43">
        <v>6</v>
      </c>
      <c r="H115" s="66">
        <v>1.8</v>
      </c>
      <c r="I115" s="66">
        <v>2.66</v>
      </c>
      <c r="J115" s="43">
        <v>156</v>
      </c>
      <c r="K115" s="43" t="s">
        <v>63</v>
      </c>
      <c r="L115" s="44" t="s">
        <v>64</v>
      </c>
      <c r="M115" s="43">
        <v>40</v>
      </c>
      <c r="N115" s="92" t="s">
        <v>217</v>
      </c>
      <c r="O115" s="72"/>
      <c r="P115" s="72"/>
      <c r="Q115" s="72"/>
      <c r="R115" s="73"/>
      <c r="S115" s="45"/>
      <c r="T115" s="45"/>
      <c r="U115" s="46" t="s">
        <v>65</v>
      </c>
      <c r="V115" s="67">
        <v>0</v>
      </c>
      <c r="W115" s="68">
        <f t="shared" si="6"/>
        <v>0</v>
      </c>
      <c r="X115" s="47" t="str">
        <f>IFERROR(IF(W115=0,"",ROUNDUP(W115/H115,0)*0.00753),"")</f>
        <v/>
      </c>
      <c r="Y115" s="48"/>
      <c r="Z115" s="49"/>
      <c r="AD115" s="50"/>
      <c r="BA115" s="51" t="s">
        <v>1</v>
      </c>
    </row>
    <row r="116" spans="1:53" x14ac:dyDescent="0.2">
      <c r="A116" s="81"/>
      <c r="B116" s="76"/>
      <c r="C116" s="76"/>
      <c r="D116" s="76"/>
      <c r="E116" s="76"/>
      <c r="F116" s="76"/>
      <c r="G116" s="76"/>
      <c r="H116" s="76"/>
      <c r="I116" s="76"/>
      <c r="J116" s="76"/>
      <c r="K116" s="76"/>
      <c r="L116" s="76"/>
      <c r="M116" s="82"/>
      <c r="N116" s="78" t="s">
        <v>66</v>
      </c>
      <c r="O116" s="79"/>
      <c r="P116" s="79"/>
      <c r="Q116" s="79"/>
      <c r="R116" s="79"/>
      <c r="S116" s="79"/>
      <c r="T116" s="80"/>
      <c r="U116" s="52" t="s">
        <v>67</v>
      </c>
      <c r="V116" s="69">
        <f>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69">
        <f>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69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70"/>
      <c r="Z116" s="70"/>
    </row>
    <row r="117" spans="1:53" x14ac:dyDescent="0.2">
      <c r="A117" s="76"/>
      <c r="B117" s="76"/>
      <c r="C117" s="76"/>
      <c r="D117" s="76"/>
      <c r="E117" s="76"/>
      <c r="F117" s="76"/>
      <c r="G117" s="76"/>
      <c r="H117" s="76"/>
      <c r="I117" s="76"/>
      <c r="J117" s="76"/>
      <c r="K117" s="76"/>
      <c r="L117" s="76"/>
      <c r="M117" s="82"/>
      <c r="N117" s="78" t="s">
        <v>66</v>
      </c>
      <c r="O117" s="79"/>
      <c r="P117" s="79"/>
      <c r="Q117" s="79"/>
      <c r="R117" s="79"/>
      <c r="S117" s="79"/>
      <c r="T117" s="80"/>
      <c r="U117" s="52" t="s">
        <v>65</v>
      </c>
      <c r="V117" s="69">
        <f>IFERROR(SUM(V106:V115),"0")</f>
        <v>0</v>
      </c>
      <c r="W117" s="69">
        <f>IFERROR(SUM(W106:W115),"0")</f>
        <v>0</v>
      </c>
      <c r="X117" s="52"/>
      <c r="Y117" s="70"/>
      <c r="Z117" s="70"/>
    </row>
    <row r="118" spans="1:53" ht="14.25" customHeight="1" x14ac:dyDescent="0.25">
      <c r="A118" s="77" t="s">
        <v>218</v>
      </c>
      <c r="B118" s="76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61"/>
      <c r="Z118" s="61"/>
    </row>
    <row r="119" spans="1:53" ht="27" customHeight="1" x14ac:dyDescent="0.25">
      <c r="A119" s="41" t="s">
        <v>219</v>
      </c>
      <c r="B119" s="41" t="s">
        <v>220</v>
      </c>
      <c r="C119" s="42">
        <v>4301060296</v>
      </c>
      <c r="D119" s="74">
        <v>4607091383065</v>
      </c>
      <c r="E119" s="73"/>
      <c r="F119" s="66">
        <v>0.83</v>
      </c>
      <c r="G119" s="43">
        <v>4</v>
      </c>
      <c r="H119" s="66">
        <v>3.32</v>
      </c>
      <c r="I119" s="66">
        <v>3.5819999999999999</v>
      </c>
      <c r="J119" s="43">
        <v>120</v>
      </c>
      <c r="K119" s="43" t="s">
        <v>63</v>
      </c>
      <c r="L119" s="44" t="s">
        <v>64</v>
      </c>
      <c r="M119" s="43">
        <v>30</v>
      </c>
      <c r="N119" s="7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72"/>
      <c r="P119" s="72"/>
      <c r="Q119" s="72"/>
      <c r="R119" s="73"/>
      <c r="S119" s="45"/>
      <c r="T119" s="45"/>
      <c r="U119" s="46" t="s">
        <v>65</v>
      </c>
      <c r="V119" s="67">
        <v>0</v>
      </c>
      <c r="W119" s="68">
        <f>IFERROR(IF(V119="",0,CEILING((V119/$H119),1)*$H119),"")</f>
        <v>0</v>
      </c>
      <c r="X119" s="47" t="str">
        <f>IFERROR(IF(W119=0,"",ROUNDUP(W119/H119,0)*0.00937),"")</f>
        <v/>
      </c>
      <c r="Y119" s="48"/>
      <c r="Z119" s="49"/>
      <c r="AD119" s="50"/>
      <c r="BA119" s="51" t="s">
        <v>1</v>
      </c>
    </row>
    <row r="120" spans="1:53" ht="27" customHeight="1" x14ac:dyDescent="0.25">
      <c r="A120" s="41" t="s">
        <v>221</v>
      </c>
      <c r="B120" s="41" t="s">
        <v>222</v>
      </c>
      <c r="C120" s="42">
        <v>4301060350</v>
      </c>
      <c r="D120" s="74">
        <v>4680115881532</v>
      </c>
      <c r="E120" s="73"/>
      <c r="F120" s="66">
        <v>1.35</v>
      </c>
      <c r="G120" s="43">
        <v>6</v>
      </c>
      <c r="H120" s="66">
        <v>8.1</v>
      </c>
      <c r="I120" s="66">
        <v>8.58</v>
      </c>
      <c r="J120" s="43">
        <v>56</v>
      </c>
      <c r="K120" s="43" t="s">
        <v>98</v>
      </c>
      <c r="L120" s="44" t="s">
        <v>128</v>
      </c>
      <c r="M120" s="43">
        <v>30</v>
      </c>
      <c r="N120" s="7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72"/>
      <c r="P120" s="72"/>
      <c r="Q120" s="72"/>
      <c r="R120" s="73"/>
      <c r="S120" s="45"/>
      <c r="T120" s="45"/>
      <c r="U120" s="46" t="s">
        <v>65</v>
      </c>
      <c r="V120" s="67">
        <v>0</v>
      </c>
      <c r="W120" s="68">
        <f>IFERROR(IF(V120="",0,CEILING((V120/$H120),1)*$H120),"")</f>
        <v>0</v>
      </c>
      <c r="X120" s="47" t="str">
        <f>IFERROR(IF(W120=0,"",ROUNDUP(W120/H120,0)*0.02175),"")</f>
        <v/>
      </c>
      <c r="Y120" s="48"/>
      <c r="Z120" s="49"/>
      <c r="AD120" s="50"/>
      <c r="BA120" s="51" t="s">
        <v>1</v>
      </c>
    </row>
    <row r="121" spans="1:53" ht="27" customHeight="1" x14ac:dyDescent="0.25">
      <c r="A121" s="41" t="s">
        <v>223</v>
      </c>
      <c r="B121" s="41" t="s">
        <v>224</v>
      </c>
      <c r="C121" s="42">
        <v>4301060356</v>
      </c>
      <c r="D121" s="74">
        <v>4680115882652</v>
      </c>
      <c r="E121" s="73"/>
      <c r="F121" s="66">
        <v>0.33</v>
      </c>
      <c r="G121" s="43">
        <v>6</v>
      </c>
      <c r="H121" s="66">
        <v>1.98</v>
      </c>
      <c r="I121" s="66">
        <v>2.84</v>
      </c>
      <c r="J121" s="43">
        <v>156</v>
      </c>
      <c r="K121" s="43" t="s">
        <v>63</v>
      </c>
      <c r="L121" s="44" t="s">
        <v>64</v>
      </c>
      <c r="M121" s="43">
        <v>40</v>
      </c>
      <c r="N121" s="92" t="s">
        <v>225</v>
      </c>
      <c r="O121" s="72"/>
      <c r="P121" s="72"/>
      <c r="Q121" s="72"/>
      <c r="R121" s="73"/>
      <c r="S121" s="45"/>
      <c r="T121" s="45"/>
      <c r="U121" s="46" t="s">
        <v>65</v>
      </c>
      <c r="V121" s="67">
        <v>0</v>
      </c>
      <c r="W121" s="68">
        <f>IFERROR(IF(V121="",0,CEILING((V121/$H121),1)*$H121),"")</f>
        <v>0</v>
      </c>
      <c r="X121" s="47" t="str">
        <f>IFERROR(IF(W121=0,"",ROUNDUP(W121/H121,0)*0.00753),"")</f>
        <v/>
      </c>
      <c r="Y121" s="48"/>
      <c r="Z121" s="49"/>
      <c r="AD121" s="50"/>
      <c r="BA121" s="51" t="s">
        <v>1</v>
      </c>
    </row>
    <row r="122" spans="1:53" ht="16.5" customHeight="1" x14ac:dyDescent="0.25">
      <c r="A122" s="41" t="s">
        <v>226</v>
      </c>
      <c r="B122" s="41" t="s">
        <v>227</v>
      </c>
      <c r="C122" s="42">
        <v>4301060309</v>
      </c>
      <c r="D122" s="74">
        <v>4680115880238</v>
      </c>
      <c r="E122" s="73"/>
      <c r="F122" s="66">
        <v>0.33</v>
      </c>
      <c r="G122" s="43">
        <v>6</v>
      </c>
      <c r="H122" s="66">
        <v>1.98</v>
      </c>
      <c r="I122" s="66">
        <v>2.258</v>
      </c>
      <c r="J122" s="43">
        <v>156</v>
      </c>
      <c r="K122" s="43" t="s">
        <v>63</v>
      </c>
      <c r="L122" s="44" t="s">
        <v>64</v>
      </c>
      <c r="M122" s="43">
        <v>40</v>
      </c>
      <c r="N122" s="7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72"/>
      <c r="P122" s="72"/>
      <c r="Q122" s="72"/>
      <c r="R122" s="73"/>
      <c r="S122" s="45"/>
      <c r="T122" s="45"/>
      <c r="U122" s="46" t="s">
        <v>65</v>
      </c>
      <c r="V122" s="67">
        <v>0</v>
      </c>
      <c r="W122" s="68">
        <f>IFERROR(IF(V122="",0,CEILING((V122/$H122),1)*$H122),"")</f>
        <v>0</v>
      </c>
      <c r="X122" s="47" t="str">
        <f>IFERROR(IF(W122=0,"",ROUNDUP(W122/H122,0)*0.00753),"")</f>
        <v/>
      </c>
      <c r="Y122" s="48"/>
      <c r="Z122" s="49"/>
      <c r="AD122" s="50"/>
      <c r="BA122" s="51" t="s">
        <v>1</v>
      </c>
    </row>
    <row r="123" spans="1:53" ht="27" customHeight="1" x14ac:dyDescent="0.25">
      <c r="A123" s="41" t="s">
        <v>228</v>
      </c>
      <c r="B123" s="41" t="s">
        <v>229</v>
      </c>
      <c r="C123" s="42">
        <v>4301060351</v>
      </c>
      <c r="D123" s="74">
        <v>4680115881464</v>
      </c>
      <c r="E123" s="73"/>
      <c r="F123" s="66">
        <v>0.4</v>
      </c>
      <c r="G123" s="43">
        <v>6</v>
      </c>
      <c r="H123" s="66">
        <v>2.4</v>
      </c>
      <c r="I123" s="66">
        <v>2.6</v>
      </c>
      <c r="J123" s="43">
        <v>156</v>
      </c>
      <c r="K123" s="43" t="s">
        <v>63</v>
      </c>
      <c r="L123" s="44" t="s">
        <v>128</v>
      </c>
      <c r="M123" s="43">
        <v>30</v>
      </c>
      <c r="N123" s="92" t="s">
        <v>230</v>
      </c>
      <c r="O123" s="72"/>
      <c r="P123" s="72"/>
      <c r="Q123" s="72"/>
      <c r="R123" s="73"/>
      <c r="S123" s="45"/>
      <c r="T123" s="45"/>
      <c r="U123" s="46" t="s">
        <v>65</v>
      </c>
      <c r="V123" s="67">
        <v>0</v>
      </c>
      <c r="W123" s="68">
        <f>IFERROR(IF(V123="",0,CEILING((V123/$H123),1)*$H123),"")</f>
        <v>0</v>
      </c>
      <c r="X123" s="47" t="str">
        <f>IFERROR(IF(W123=0,"",ROUNDUP(W123/H123,0)*0.00753),"")</f>
        <v/>
      </c>
      <c r="Y123" s="48"/>
      <c r="Z123" s="49"/>
      <c r="AD123" s="50"/>
      <c r="BA123" s="51" t="s">
        <v>1</v>
      </c>
    </row>
    <row r="124" spans="1:53" x14ac:dyDescent="0.2">
      <c r="A124" s="81"/>
      <c r="B124" s="76"/>
      <c r="C124" s="76"/>
      <c r="D124" s="76"/>
      <c r="E124" s="76"/>
      <c r="F124" s="76"/>
      <c r="G124" s="76"/>
      <c r="H124" s="76"/>
      <c r="I124" s="76"/>
      <c r="J124" s="76"/>
      <c r="K124" s="76"/>
      <c r="L124" s="76"/>
      <c r="M124" s="82"/>
      <c r="N124" s="78" t="s">
        <v>66</v>
      </c>
      <c r="O124" s="79"/>
      <c r="P124" s="79"/>
      <c r="Q124" s="79"/>
      <c r="R124" s="79"/>
      <c r="S124" s="79"/>
      <c r="T124" s="80"/>
      <c r="U124" s="52" t="s">
        <v>67</v>
      </c>
      <c r="V124" s="69">
        <f>IFERROR(V119/H119,"0")+IFERROR(V120/H120,"0")+IFERROR(V121/H121,"0")+IFERROR(V122/H122,"0")+IFERROR(V123/H123,"0")</f>
        <v>0</v>
      </c>
      <c r="W124" s="69">
        <f>IFERROR(W119/H119,"0")+IFERROR(W120/H120,"0")+IFERROR(W121/H121,"0")+IFERROR(W122/H122,"0")+IFERROR(W123/H123,"0")</f>
        <v>0</v>
      </c>
      <c r="X124" s="69">
        <f>IFERROR(IF(X119="",0,X119),"0")+IFERROR(IF(X120="",0,X120),"0")+IFERROR(IF(X121="",0,X121),"0")+IFERROR(IF(X122="",0,X122),"0")+IFERROR(IF(X123="",0,X123),"0")</f>
        <v>0</v>
      </c>
      <c r="Y124" s="70"/>
      <c r="Z124" s="70"/>
    </row>
    <row r="125" spans="1:53" x14ac:dyDescent="0.2">
      <c r="A125" s="76"/>
      <c r="B125" s="76"/>
      <c r="C125" s="76"/>
      <c r="D125" s="76"/>
      <c r="E125" s="76"/>
      <c r="F125" s="76"/>
      <c r="G125" s="76"/>
      <c r="H125" s="76"/>
      <c r="I125" s="76"/>
      <c r="J125" s="76"/>
      <c r="K125" s="76"/>
      <c r="L125" s="76"/>
      <c r="M125" s="82"/>
      <c r="N125" s="78" t="s">
        <v>66</v>
      </c>
      <c r="O125" s="79"/>
      <c r="P125" s="79"/>
      <c r="Q125" s="79"/>
      <c r="R125" s="79"/>
      <c r="S125" s="79"/>
      <c r="T125" s="80"/>
      <c r="U125" s="52" t="s">
        <v>65</v>
      </c>
      <c r="V125" s="69">
        <f>IFERROR(SUM(V119:V123),"0")</f>
        <v>0</v>
      </c>
      <c r="W125" s="69">
        <f>IFERROR(SUM(W119:W123),"0")</f>
        <v>0</v>
      </c>
      <c r="X125" s="52"/>
      <c r="Y125" s="70"/>
      <c r="Z125" s="70"/>
    </row>
    <row r="126" spans="1:53" ht="16.5" customHeight="1" x14ac:dyDescent="0.25">
      <c r="A126" s="75" t="s">
        <v>231</v>
      </c>
      <c r="B126" s="76"/>
      <c r="C126" s="7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60"/>
      <c r="Z126" s="60"/>
    </row>
    <row r="127" spans="1:53" ht="14.25" customHeight="1" x14ac:dyDescent="0.25">
      <c r="A127" s="77" t="s">
        <v>68</v>
      </c>
      <c r="B127" s="76"/>
      <c r="C127" s="76"/>
      <c r="D127" s="76"/>
      <c r="E127" s="76"/>
      <c r="F127" s="76"/>
      <c r="G127" s="76"/>
      <c r="H127" s="76"/>
      <c r="I127" s="76"/>
      <c r="J127" s="76"/>
      <c r="K127" s="76"/>
      <c r="L127" s="76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61"/>
      <c r="Z127" s="61"/>
    </row>
    <row r="128" spans="1:53" ht="27" customHeight="1" x14ac:dyDescent="0.25">
      <c r="A128" s="41" t="s">
        <v>232</v>
      </c>
      <c r="B128" s="41" t="s">
        <v>233</v>
      </c>
      <c r="C128" s="42">
        <v>4301051360</v>
      </c>
      <c r="D128" s="74">
        <v>4607091385168</v>
      </c>
      <c r="E128" s="73"/>
      <c r="F128" s="66">
        <v>1.35</v>
      </c>
      <c r="G128" s="43">
        <v>6</v>
      </c>
      <c r="H128" s="66">
        <v>8.1</v>
      </c>
      <c r="I128" s="66">
        <v>8.6579999999999995</v>
      </c>
      <c r="J128" s="43">
        <v>56</v>
      </c>
      <c r="K128" s="43" t="s">
        <v>98</v>
      </c>
      <c r="L128" s="44" t="s">
        <v>128</v>
      </c>
      <c r="M128" s="43">
        <v>45</v>
      </c>
      <c r="N128" s="7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72"/>
      <c r="P128" s="72"/>
      <c r="Q128" s="72"/>
      <c r="R128" s="73"/>
      <c r="S128" s="45"/>
      <c r="T128" s="45"/>
      <c r="U128" s="46" t="s">
        <v>65</v>
      </c>
      <c r="V128" s="67">
        <v>0</v>
      </c>
      <c r="W128" s="68">
        <f>IFERROR(IF(V128="",0,CEILING((V128/$H128),1)*$H128),"")</f>
        <v>0</v>
      </c>
      <c r="X128" s="47" t="str">
        <f>IFERROR(IF(W128=0,"",ROUNDUP(W128/H128,0)*0.02175),"")</f>
        <v/>
      </c>
      <c r="Y128" s="48"/>
      <c r="Z128" s="49"/>
      <c r="AD128" s="50"/>
      <c r="BA128" s="51" t="s">
        <v>1</v>
      </c>
    </row>
    <row r="129" spans="1:53" ht="16.5" customHeight="1" x14ac:dyDescent="0.25">
      <c r="A129" s="41" t="s">
        <v>234</v>
      </c>
      <c r="B129" s="41" t="s">
        <v>235</v>
      </c>
      <c r="C129" s="42">
        <v>4301051362</v>
      </c>
      <c r="D129" s="74">
        <v>4607091383256</v>
      </c>
      <c r="E129" s="73"/>
      <c r="F129" s="66">
        <v>0.33</v>
      </c>
      <c r="G129" s="43">
        <v>6</v>
      </c>
      <c r="H129" s="66">
        <v>1.98</v>
      </c>
      <c r="I129" s="66">
        <v>2.246</v>
      </c>
      <c r="J129" s="43">
        <v>156</v>
      </c>
      <c r="K129" s="43" t="s">
        <v>63</v>
      </c>
      <c r="L129" s="44" t="s">
        <v>128</v>
      </c>
      <c r="M129" s="43">
        <v>45</v>
      </c>
      <c r="N129" s="7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72"/>
      <c r="P129" s="72"/>
      <c r="Q129" s="72"/>
      <c r="R129" s="73"/>
      <c r="S129" s="45"/>
      <c r="T129" s="45"/>
      <c r="U129" s="46" t="s">
        <v>65</v>
      </c>
      <c r="V129" s="67">
        <v>0</v>
      </c>
      <c r="W129" s="68">
        <f>IFERROR(IF(V129="",0,CEILING((V129/$H129),1)*$H129),"")</f>
        <v>0</v>
      </c>
      <c r="X129" s="47" t="str">
        <f>IFERROR(IF(W129=0,"",ROUNDUP(W129/H129,0)*0.00753),"")</f>
        <v/>
      </c>
      <c r="Y129" s="48"/>
      <c r="Z129" s="49"/>
      <c r="AD129" s="50"/>
      <c r="BA129" s="51" t="s">
        <v>1</v>
      </c>
    </row>
    <row r="130" spans="1:53" ht="16.5" customHeight="1" x14ac:dyDescent="0.25">
      <c r="A130" s="41" t="s">
        <v>236</v>
      </c>
      <c r="B130" s="41" t="s">
        <v>237</v>
      </c>
      <c r="C130" s="42">
        <v>4301051358</v>
      </c>
      <c r="D130" s="74">
        <v>4607091385748</v>
      </c>
      <c r="E130" s="73"/>
      <c r="F130" s="66">
        <v>0.45</v>
      </c>
      <c r="G130" s="43">
        <v>6</v>
      </c>
      <c r="H130" s="66">
        <v>2.7</v>
      </c>
      <c r="I130" s="66">
        <v>2.972</v>
      </c>
      <c r="J130" s="43">
        <v>156</v>
      </c>
      <c r="K130" s="43" t="s">
        <v>63</v>
      </c>
      <c r="L130" s="44" t="s">
        <v>128</v>
      </c>
      <c r="M130" s="43">
        <v>45</v>
      </c>
      <c r="N130" s="7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72"/>
      <c r="P130" s="72"/>
      <c r="Q130" s="72"/>
      <c r="R130" s="73"/>
      <c r="S130" s="45"/>
      <c r="T130" s="45"/>
      <c r="U130" s="46" t="s">
        <v>65</v>
      </c>
      <c r="V130" s="67">
        <v>0</v>
      </c>
      <c r="W130" s="68">
        <f>IFERROR(IF(V130="",0,CEILING((V130/$H130),1)*$H130),"")</f>
        <v>0</v>
      </c>
      <c r="X130" s="47" t="str">
        <f>IFERROR(IF(W130=0,"",ROUNDUP(W130/H130,0)*0.00753),"")</f>
        <v/>
      </c>
      <c r="Y130" s="48"/>
      <c r="Z130" s="49"/>
      <c r="AD130" s="50"/>
      <c r="BA130" s="51" t="s">
        <v>1</v>
      </c>
    </row>
    <row r="131" spans="1:53" x14ac:dyDescent="0.2">
      <c r="A131" s="81"/>
      <c r="B131" s="76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82"/>
      <c r="N131" s="78" t="s">
        <v>66</v>
      </c>
      <c r="O131" s="79"/>
      <c r="P131" s="79"/>
      <c r="Q131" s="79"/>
      <c r="R131" s="79"/>
      <c r="S131" s="79"/>
      <c r="T131" s="80"/>
      <c r="U131" s="52" t="s">
        <v>67</v>
      </c>
      <c r="V131" s="69">
        <f>IFERROR(V128/H128,"0")+IFERROR(V129/H129,"0")+IFERROR(V130/H130,"0")</f>
        <v>0</v>
      </c>
      <c r="W131" s="69">
        <f>IFERROR(W128/H128,"0")+IFERROR(W129/H129,"0")+IFERROR(W130/H130,"0")</f>
        <v>0</v>
      </c>
      <c r="X131" s="69">
        <f>IFERROR(IF(X128="",0,X128),"0")+IFERROR(IF(X129="",0,X129),"0")+IFERROR(IF(X130="",0,X130),"0")</f>
        <v>0</v>
      </c>
      <c r="Y131" s="70"/>
      <c r="Z131" s="70"/>
    </row>
    <row r="132" spans="1:53" x14ac:dyDescent="0.2">
      <c r="A132" s="76"/>
      <c r="B132" s="76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82"/>
      <c r="N132" s="78" t="s">
        <v>66</v>
      </c>
      <c r="O132" s="79"/>
      <c r="P132" s="79"/>
      <c r="Q132" s="79"/>
      <c r="R132" s="79"/>
      <c r="S132" s="79"/>
      <c r="T132" s="80"/>
      <c r="U132" s="52" t="s">
        <v>65</v>
      </c>
      <c r="V132" s="69">
        <f>IFERROR(SUM(V128:V130),"0")</f>
        <v>0</v>
      </c>
      <c r="W132" s="69">
        <f>IFERROR(SUM(W128:W130),"0")</f>
        <v>0</v>
      </c>
      <c r="X132" s="52"/>
      <c r="Y132" s="70"/>
      <c r="Z132" s="70"/>
    </row>
    <row r="133" spans="1:53" ht="27.75" customHeight="1" x14ac:dyDescent="0.2">
      <c r="A133" s="83" t="s">
        <v>238</v>
      </c>
      <c r="B133" s="84"/>
      <c r="C133" s="84"/>
      <c r="D133" s="84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40"/>
      <c r="Z133" s="40"/>
    </row>
    <row r="134" spans="1:53" ht="16.5" customHeight="1" x14ac:dyDescent="0.25">
      <c r="A134" s="75" t="s">
        <v>239</v>
      </c>
      <c r="B134" s="76"/>
      <c r="C134" s="7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60"/>
      <c r="Z134" s="60"/>
    </row>
    <row r="135" spans="1:53" ht="14.25" customHeight="1" x14ac:dyDescent="0.25">
      <c r="A135" s="77" t="s">
        <v>103</v>
      </c>
      <c r="B135" s="76"/>
      <c r="C135" s="76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61"/>
      <c r="Z135" s="61"/>
    </row>
    <row r="136" spans="1:53" ht="27" customHeight="1" x14ac:dyDescent="0.25">
      <c r="A136" s="41" t="s">
        <v>240</v>
      </c>
      <c r="B136" s="41" t="s">
        <v>241</v>
      </c>
      <c r="C136" s="42">
        <v>4301011223</v>
      </c>
      <c r="D136" s="74">
        <v>4607091383423</v>
      </c>
      <c r="E136" s="73"/>
      <c r="F136" s="66">
        <v>1.35</v>
      </c>
      <c r="G136" s="43">
        <v>8</v>
      </c>
      <c r="H136" s="66">
        <v>10.8</v>
      </c>
      <c r="I136" s="66">
        <v>11.375999999999999</v>
      </c>
      <c r="J136" s="43">
        <v>56</v>
      </c>
      <c r="K136" s="43" t="s">
        <v>98</v>
      </c>
      <c r="L136" s="44" t="s">
        <v>128</v>
      </c>
      <c r="M136" s="43">
        <v>35</v>
      </c>
      <c r="N136" s="7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72"/>
      <c r="P136" s="72"/>
      <c r="Q136" s="72"/>
      <c r="R136" s="73"/>
      <c r="S136" s="45"/>
      <c r="T136" s="45"/>
      <c r="U136" s="46" t="s">
        <v>65</v>
      </c>
      <c r="V136" s="67">
        <v>0</v>
      </c>
      <c r="W136" s="68">
        <f>IFERROR(IF(V136="",0,CEILING((V136/$H136),1)*$H136),"")</f>
        <v>0</v>
      </c>
      <c r="X136" s="47" t="str">
        <f>IFERROR(IF(W136=0,"",ROUNDUP(W136/H136,0)*0.02175),"")</f>
        <v/>
      </c>
      <c r="Y136" s="48"/>
      <c r="Z136" s="49"/>
      <c r="AD136" s="50"/>
      <c r="BA136" s="51" t="s">
        <v>1</v>
      </c>
    </row>
    <row r="137" spans="1:53" ht="27" customHeight="1" x14ac:dyDescent="0.25">
      <c r="A137" s="41" t="s">
        <v>242</v>
      </c>
      <c r="B137" s="41" t="s">
        <v>243</v>
      </c>
      <c r="C137" s="42">
        <v>4301011338</v>
      </c>
      <c r="D137" s="74">
        <v>4607091381405</v>
      </c>
      <c r="E137" s="73"/>
      <c r="F137" s="66">
        <v>1.35</v>
      </c>
      <c r="G137" s="43">
        <v>8</v>
      </c>
      <c r="H137" s="66">
        <v>10.8</v>
      </c>
      <c r="I137" s="66">
        <v>11.375999999999999</v>
      </c>
      <c r="J137" s="43">
        <v>56</v>
      </c>
      <c r="K137" s="43" t="s">
        <v>98</v>
      </c>
      <c r="L137" s="44" t="s">
        <v>64</v>
      </c>
      <c r="M137" s="43">
        <v>35</v>
      </c>
      <c r="N137" s="7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72"/>
      <c r="P137" s="72"/>
      <c r="Q137" s="72"/>
      <c r="R137" s="73"/>
      <c r="S137" s="45"/>
      <c r="T137" s="45"/>
      <c r="U137" s="46" t="s">
        <v>65</v>
      </c>
      <c r="V137" s="67">
        <v>0</v>
      </c>
      <c r="W137" s="68">
        <f>IFERROR(IF(V137="",0,CEILING((V137/$H137),1)*$H137),"")</f>
        <v>0</v>
      </c>
      <c r="X137" s="47" t="str">
        <f>IFERROR(IF(W137=0,"",ROUNDUP(W137/H137,0)*0.02175),"")</f>
        <v/>
      </c>
      <c r="Y137" s="48"/>
      <c r="Z137" s="49"/>
      <c r="AD137" s="50"/>
      <c r="BA137" s="51" t="s">
        <v>1</v>
      </c>
    </row>
    <row r="138" spans="1:53" ht="27" customHeight="1" x14ac:dyDescent="0.25">
      <c r="A138" s="41" t="s">
        <v>244</v>
      </c>
      <c r="B138" s="41" t="s">
        <v>245</v>
      </c>
      <c r="C138" s="42">
        <v>4301011333</v>
      </c>
      <c r="D138" s="74">
        <v>4607091386516</v>
      </c>
      <c r="E138" s="73"/>
      <c r="F138" s="66">
        <v>1.4</v>
      </c>
      <c r="G138" s="43">
        <v>8</v>
      </c>
      <c r="H138" s="66">
        <v>11.2</v>
      </c>
      <c r="I138" s="66">
        <v>11.776</v>
      </c>
      <c r="J138" s="43">
        <v>56</v>
      </c>
      <c r="K138" s="43" t="s">
        <v>98</v>
      </c>
      <c r="L138" s="44" t="s">
        <v>64</v>
      </c>
      <c r="M138" s="43">
        <v>30</v>
      </c>
      <c r="N138" s="7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72"/>
      <c r="P138" s="72"/>
      <c r="Q138" s="72"/>
      <c r="R138" s="73"/>
      <c r="S138" s="45"/>
      <c r="T138" s="45"/>
      <c r="U138" s="46" t="s">
        <v>65</v>
      </c>
      <c r="V138" s="67">
        <v>0</v>
      </c>
      <c r="W138" s="68">
        <f>IFERROR(IF(V138="",0,CEILING((V138/$H138),1)*$H138),"")</f>
        <v>0</v>
      </c>
      <c r="X138" s="47" t="str">
        <f>IFERROR(IF(W138=0,"",ROUNDUP(W138/H138,0)*0.02175),"")</f>
        <v/>
      </c>
      <c r="Y138" s="48"/>
      <c r="Z138" s="49"/>
      <c r="AD138" s="50"/>
      <c r="BA138" s="51" t="s">
        <v>1</v>
      </c>
    </row>
    <row r="139" spans="1:53" x14ac:dyDescent="0.2">
      <c r="A139" s="81"/>
      <c r="B139" s="76"/>
      <c r="C139" s="76"/>
      <c r="D139" s="76"/>
      <c r="E139" s="76"/>
      <c r="F139" s="76"/>
      <c r="G139" s="76"/>
      <c r="H139" s="76"/>
      <c r="I139" s="76"/>
      <c r="J139" s="76"/>
      <c r="K139" s="76"/>
      <c r="L139" s="76"/>
      <c r="M139" s="82"/>
      <c r="N139" s="78" t="s">
        <v>66</v>
      </c>
      <c r="O139" s="79"/>
      <c r="P139" s="79"/>
      <c r="Q139" s="79"/>
      <c r="R139" s="79"/>
      <c r="S139" s="79"/>
      <c r="T139" s="80"/>
      <c r="U139" s="52" t="s">
        <v>67</v>
      </c>
      <c r="V139" s="69">
        <f>IFERROR(V136/H136,"0")+IFERROR(V137/H137,"0")+IFERROR(V138/H138,"0")</f>
        <v>0</v>
      </c>
      <c r="W139" s="69">
        <f>IFERROR(W136/H136,"0")+IFERROR(W137/H137,"0")+IFERROR(W138/H138,"0")</f>
        <v>0</v>
      </c>
      <c r="X139" s="69">
        <f>IFERROR(IF(X136="",0,X136),"0")+IFERROR(IF(X137="",0,X137),"0")+IFERROR(IF(X138="",0,X138),"0")</f>
        <v>0</v>
      </c>
      <c r="Y139" s="70"/>
      <c r="Z139" s="70"/>
    </row>
    <row r="140" spans="1:53" x14ac:dyDescent="0.2">
      <c r="A140" s="76"/>
      <c r="B140" s="76"/>
      <c r="C140" s="76"/>
      <c r="D140" s="76"/>
      <c r="E140" s="76"/>
      <c r="F140" s="76"/>
      <c r="G140" s="76"/>
      <c r="H140" s="76"/>
      <c r="I140" s="76"/>
      <c r="J140" s="76"/>
      <c r="K140" s="76"/>
      <c r="L140" s="76"/>
      <c r="M140" s="82"/>
      <c r="N140" s="78" t="s">
        <v>66</v>
      </c>
      <c r="O140" s="79"/>
      <c r="P140" s="79"/>
      <c r="Q140" s="79"/>
      <c r="R140" s="79"/>
      <c r="S140" s="79"/>
      <c r="T140" s="80"/>
      <c r="U140" s="52" t="s">
        <v>65</v>
      </c>
      <c r="V140" s="69">
        <f>IFERROR(SUM(V136:V138),"0")</f>
        <v>0</v>
      </c>
      <c r="W140" s="69">
        <f>IFERROR(SUM(W136:W138),"0")</f>
        <v>0</v>
      </c>
      <c r="X140" s="52"/>
      <c r="Y140" s="70"/>
      <c r="Z140" s="70"/>
    </row>
    <row r="141" spans="1:53" ht="16.5" customHeight="1" x14ac:dyDescent="0.25">
      <c r="A141" s="75" t="s">
        <v>246</v>
      </c>
      <c r="B141" s="76"/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  <c r="Y141" s="60"/>
      <c r="Z141" s="60"/>
    </row>
    <row r="142" spans="1:53" ht="14.25" customHeight="1" x14ac:dyDescent="0.25">
      <c r="A142" s="77" t="s">
        <v>60</v>
      </c>
      <c r="B142" s="76"/>
      <c r="C142" s="7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  <c r="Y142" s="61"/>
      <c r="Z142" s="61"/>
    </row>
    <row r="143" spans="1:53" ht="27" customHeight="1" x14ac:dyDescent="0.25">
      <c r="A143" s="41" t="s">
        <v>247</v>
      </c>
      <c r="B143" s="41" t="s">
        <v>248</v>
      </c>
      <c r="C143" s="42">
        <v>4301031191</v>
      </c>
      <c r="D143" s="74">
        <v>4680115880993</v>
      </c>
      <c r="E143" s="73"/>
      <c r="F143" s="66">
        <v>0.7</v>
      </c>
      <c r="G143" s="43">
        <v>6</v>
      </c>
      <c r="H143" s="66">
        <v>4.2</v>
      </c>
      <c r="I143" s="66">
        <v>4.46</v>
      </c>
      <c r="J143" s="43">
        <v>156</v>
      </c>
      <c r="K143" s="43" t="s">
        <v>63</v>
      </c>
      <c r="L143" s="44" t="s">
        <v>64</v>
      </c>
      <c r="M143" s="43">
        <v>40</v>
      </c>
      <c r="N143" s="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72"/>
      <c r="P143" s="72"/>
      <c r="Q143" s="72"/>
      <c r="R143" s="73"/>
      <c r="S143" s="45"/>
      <c r="T143" s="45"/>
      <c r="U143" s="46" t="s">
        <v>65</v>
      </c>
      <c r="V143" s="67">
        <v>0</v>
      </c>
      <c r="W143" s="68">
        <f t="shared" ref="W143:W150" si="7">IFERROR(IF(V143="",0,CEILING((V143/$H143),1)*$H143),"")</f>
        <v>0</v>
      </c>
      <c r="X143" s="47" t="str">
        <f>IFERROR(IF(W143=0,"",ROUNDUP(W143/H143,0)*0.00753),"")</f>
        <v/>
      </c>
      <c r="Y143" s="48"/>
      <c r="Z143" s="49"/>
      <c r="AD143" s="50"/>
      <c r="BA143" s="51" t="s">
        <v>1</v>
      </c>
    </row>
    <row r="144" spans="1:53" ht="27" customHeight="1" x14ac:dyDescent="0.25">
      <c r="A144" s="41" t="s">
        <v>249</v>
      </c>
      <c r="B144" s="41" t="s">
        <v>250</v>
      </c>
      <c r="C144" s="42">
        <v>4301031204</v>
      </c>
      <c r="D144" s="74">
        <v>4680115881761</v>
      </c>
      <c r="E144" s="73"/>
      <c r="F144" s="66">
        <v>0.7</v>
      </c>
      <c r="G144" s="43">
        <v>6</v>
      </c>
      <c r="H144" s="66">
        <v>4.2</v>
      </c>
      <c r="I144" s="66">
        <v>4.46</v>
      </c>
      <c r="J144" s="43">
        <v>156</v>
      </c>
      <c r="K144" s="43" t="s">
        <v>63</v>
      </c>
      <c r="L144" s="44" t="s">
        <v>64</v>
      </c>
      <c r="M144" s="43">
        <v>40</v>
      </c>
      <c r="N144" s="7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72"/>
      <c r="P144" s="72"/>
      <c r="Q144" s="72"/>
      <c r="R144" s="73"/>
      <c r="S144" s="45"/>
      <c r="T144" s="45"/>
      <c r="U144" s="46" t="s">
        <v>65</v>
      </c>
      <c r="V144" s="67">
        <v>0</v>
      </c>
      <c r="W144" s="68">
        <f t="shared" si="7"/>
        <v>0</v>
      </c>
      <c r="X144" s="47" t="str">
        <f>IFERROR(IF(W144=0,"",ROUNDUP(W144/H144,0)*0.00753),"")</f>
        <v/>
      </c>
      <c r="Y144" s="48"/>
      <c r="Z144" s="49"/>
      <c r="AD144" s="50"/>
      <c r="BA144" s="51" t="s">
        <v>1</v>
      </c>
    </row>
    <row r="145" spans="1:53" ht="27" customHeight="1" x14ac:dyDescent="0.25">
      <c r="A145" s="41" t="s">
        <v>251</v>
      </c>
      <c r="B145" s="41" t="s">
        <v>252</v>
      </c>
      <c r="C145" s="42">
        <v>4301031201</v>
      </c>
      <c r="D145" s="74">
        <v>4680115881563</v>
      </c>
      <c r="E145" s="73"/>
      <c r="F145" s="66">
        <v>0.7</v>
      </c>
      <c r="G145" s="43">
        <v>6</v>
      </c>
      <c r="H145" s="66">
        <v>4.2</v>
      </c>
      <c r="I145" s="66">
        <v>4.4000000000000004</v>
      </c>
      <c r="J145" s="43">
        <v>156</v>
      </c>
      <c r="K145" s="43" t="s">
        <v>63</v>
      </c>
      <c r="L145" s="44" t="s">
        <v>64</v>
      </c>
      <c r="M145" s="43">
        <v>40</v>
      </c>
      <c r="N145" s="7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72"/>
      <c r="P145" s="72"/>
      <c r="Q145" s="72"/>
      <c r="R145" s="73"/>
      <c r="S145" s="45"/>
      <c r="T145" s="45"/>
      <c r="U145" s="46" t="s">
        <v>65</v>
      </c>
      <c r="V145" s="67">
        <v>0</v>
      </c>
      <c r="W145" s="68">
        <f t="shared" si="7"/>
        <v>0</v>
      </c>
      <c r="X145" s="47" t="str">
        <f>IFERROR(IF(W145=0,"",ROUNDUP(W145/H145,0)*0.00753),"")</f>
        <v/>
      </c>
      <c r="Y145" s="48"/>
      <c r="Z145" s="49"/>
      <c r="AD145" s="50"/>
      <c r="BA145" s="51" t="s">
        <v>1</v>
      </c>
    </row>
    <row r="146" spans="1:53" ht="27" customHeight="1" x14ac:dyDescent="0.25">
      <c r="A146" s="41" t="s">
        <v>253</v>
      </c>
      <c r="B146" s="41" t="s">
        <v>254</v>
      </c>
      <c r="C146" s="42">
        <v>4301031199</v>
      </c>
      <c r="D146" s="74">
        <v>4680115880986</v>
      </c>
      <c r="E146" s="73"/>
      <c r="F146" s="66">
        <v>0.35</v>
      </c>
      <c r="G146" s="43">
        <v>6</v>
      </c>
      <c r="H146" s="66">
        <v>2.1</v>
      </c>
      <c r="I146" s="66">
        <v>2.23</v>
      </c>
      <c r="J146" s="43">
        <v>234</v>
      </c>
      <c r="K146" s="43" t="s">
        <v>166</v>
      </c>
      <c r="L146" s="44" t="s">
        <v>64</v>
      </c>
      <c r="M146" s="43">
        <v>40</v>
      </c>
      <c r="N146" s="7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72"/>
      <c r="P146" s="72"/>
      <c r="Q146" s="72"/>
      <c r="R146" s="73"/>
      <c r="S146" s="45"/>
      <c r="T146" s="45"/>
      <c r="U146" s="46" t="s">
        <v>65</v>
      </c>
      <c r="V146" s="67">
        <v>0</v>
      </c>
      <c r="W146" s="68">
        <f t="shared" si="7"/>
        <v>0</v>
      </c>
      <c r="X146" s="47" t="str">
        <f>IFERROR(IF(W146=0,"",ROUNDUP(W146/H146,0)*0.00502),"")</f>
        <v/>
      </c>
      <c r="Y146" s="48"/>
      <c r="Z146" s="49"/>
      <c r="AD146" s="50"/>
      <c r="BA146" s="51" t="s">
        <v>1</v>
      </c>
    </row>
    <row r="147" spans="1:53" ht="27" customHeight="1" x14ac:dyDescent="0.25">
      <c r="A147" s="41" t="s">
        <v>255</v>
      </c>
      <c r="B147" s="41" t="s">
        <v>256</v>
      </c>
      <c r="C147" s="42">
        <v>4301031190</v>
      </c>
      <c r="D147" s="74">
        <v>4680115880207</v>
      </c>
      <c r="E147" s="73"/>
      <c r="F147" s="66">
        <v>0.4</v>
      </c>
      <c r="G147" s="43">
        <v>6</v>
      </c>
      <c r="H147" s="66">
        <v>2.4</v>
      </c>
      <c r="I147" s="66">
        <v>2.63</v>
      </c>
      <c r="J147" s="43">
        <v>156</v>
      </c>
      <c r="K147" s="43" t="s">
        <v>63</v>
      </c>
      <c r="L147" s="44" t="s">
        <v>64</v>
      </c>
      <c r="M147" s="43">
        <v>40</v>
      </c>
      <c r="N147" s="7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72"/>
      <c r="P147" s="72"/>
      <c r="Q147" s="72"/>
      <c r="R147" s="73"/>
      <c r="S147" s="45"/>
      <c r="T147" s="45"/>
      <c r="U147" s="46" t="s">
        <v>65</v>
      </c>
      <c r="V147" s="67">
        <v>0</v>
      </c>
      <c r="W147" s="68">
        <f t="shared" si="7"/>
        <v>0</v>
      </c>
      <c r="X147" s="47" t="str">
        <f>IFERROR(IF(W147=0,"",ROUNDUP(W147/H147,0)*0.00753),"")</f>
        <v/>
      </c>
      <c r="Y147" s="48"/>
      <c r="Z147" s="49"/>
      <c r="AD147" s="50"/>
      <c r="BA147" s="51" t="s">
        <v>1</v>
      </c>
    </row>
    <row r="148" spans="1:53" ht="27" customHeight="1" x14ac:dyDescent="0.25">
      <c r="A148" s="41" t="s">
        <v>257</v>
      </c>
      <c r="B148" s="41" t="s">
        <v>258</v>
      </c>
      <c r="C148" s="42">
        <v>4301031205</v>
      </c>
      <c r="D148" s="74">
        <v>4680115881785</v>
      </c>
      <c r="E148" s="73"/>
      <c r="F148" s="66">
        <v>0.35</v>
      </c>
      <c r="G148" s="43">
        <v>6</v>
      </c>
      <c r="H148" s="66">
        <v>2.1</v>
      </c>
      <c r="I148" s="66">
        <v>2.23</v>
      </c>
      <c r="J148" s="43">
        <v>234</v>
      </c>
      <c r="K148" s="43" t="s">
        <v>166</v>
      </c>
      <c r="L148" s="44" t="s">
        <v>64</v>
      </c>
      <c r="M148" s="43">
        <v>40</v>
      </c>
      <c r="N148" s="7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72"/>
      <c r="P148" s="72"/>
      <c r="Q148" s="72"/>
      <c r="R148" s="73"/>
      <c r="S148" s="45"/>
      <c r="T148" s="45"/>
      <c r="U148" s="46" t="s">
        <v>65</v>
      </c>
      <c r="V148" s="67">
        <v>0</v>
      </c>
      <c r="W148" s="68">
        <f t="shared" si="7"/>
        <v>0</v>
      </c>
      <c r="X148" s="47" t="str">
        <f>IFERROR(IF(W148=0,"",ROUNDUP(W148/H148,0)*0.00502),"")</f>
        <v/>
      </c>
      <c r="Y148" s="48"/>
      <c r="Z148" s="49"/>
      <c r="AD148" s="50"/>
      <c r="BA148" s="51" t="s">
        <v>1</v>
      </c>
    </row>
    <row r="149" spans="1:53" ht="27" customHeight="1" x14ac:dyDescent="0.25">
      <c r="A149" s="41" t="s">
        <v>259</v>
      </c>
      <c r="B149" s="41" t="s">
        <v>260</v>
      </c>
      <c r="C149" s="42">
        <v>4301031202</v>
      </c>
      <c r="D149" s="74">
        <v>4680115881679</v>
      </c>
      <c r="E149" s="73"/>
      <c r="F149" s="66">
        <v>0.35</v>
      </c>
      <c r="G149" s="43">
        <v>6</v>
      </c>
      <c r="H149" s="66">
        <v>2.1</v>
      </c>
      <c r="I149" s="66">
        <v>2.2000000000000002</v>
      </c>
      <c r="J149" s="43">
        <v>234</v>
      </c>
      <c r="K149" s="43" t="s">
        <v>166</v>
      </c>
      <c r="L149" s="44" t="s">
        <v>64</v>
      </c>
      <c r="M149" s="43">
        <v>40</v>
      </c>
      <c r="N149" s="7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72"/>
      <c r="P149" s="72"/>
      <c r="Q149" s="72"/>
      <c r="R149" s="73"/>
      <c r="S149" s="45"/>
      <c r="T149" s="45"/>
      <c r="U149" s="46" t="s">
        <v>65</v>
      </c>
      <c r="V149" s="67">
        <v>0</v>
      </c>
      <c r="W149" s="68">
        <f t="shared" si="7"/>
        <v>0</v>
      </c>
      <c r="X149" s="47" t="str">
        <f>IFERROR(IF(W149=0,"",ROUNDUP(W149/H149,0)*0.00502),"")</f>
        <v/>
      </c>
      <c r="Y149" s="48"/>
      <c r="Z149" s="49"/>
      <c r="AD149" s="50"/>
      <c r="BA149" s="51" t="s">
        <v>1</v>
      </c>
    </row>
    <row r="150" spans="1:53" ht="27" customHeight="1" x14ac:dyDescent="0.25">
      <c r="A150" s="41" t="s">
        <v>261</v>
      </c>
      <c r="B150" s="41" t="s">
        <v>262</v>
      </c>
      <c r="C150" s="42">
        <v>4301031158</v>
      </c>
      <c r="D150" s="74">
        <v>4680115880191</v>
      </c>
      <c r="E150" s="73"/>
      <c r="F150" s="66">
        <v>0.4</v>
      </c>
      <c r="G150" s="43">
        <v>6</v>
      </c>
      <c r="H150" s="66">
        <v>2.4</v>
      </c>
      <c r="I150" s="66">
        <v>2.6</v>
      </c>
      <c r="J150" s="43">
        <v>156</v>
      </c>
      <c r="K150" s="43" t="s">
        <v>63</v>
      </c>
      <c r="L150" s="44" t="s">
        <v>64</v>
      </c>
      <c r="M150" s="43">
        <v>40</v>
      </c>
      <c r="N150" s="7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72"/>
      <c r="P150" s="72"/>
      <c r="Q150" s="72"/>
      <c r="R150" s="73"/>
      <c r="S150" s="45"/>
      <c r="T150" s="45"/>
      <c r="U150" s="46" t="s">
        <v>65</v>
      </c>
      <c r="V150" s="67">
        <v>0</v>
      </c>
      <c r="W150" s="68">
        <f t="shared" si="7"/>
        <v>0</v>
      </c>
      <c r="X150" s="47" t="str">
        <f>IFERROR(IF(W150=0,"",ROUNDUP(W150/H150,0)*0.00753),"")</f>
        <v/>
      </c>
      <c r="Y150" s="48"/>
      <c r="Z150" s="49"/>
      <c r="AD150" s="50"/>
      <c r="BA150" s="51" t="s">
        <v>1</v>
      </c>
    </row>
    <row r="151" spans="1:53" x14ac:dyDescent="0.2">
      <c r="A151" s="81"/>
      <c r="B151" s="76"/>
      <c r="C151" s="76"/>
      <c r="D151" s="76"/>
      <c r="E151" s="76"/>
      <c r="F151" s="76"/>
      <c r="G151" s="76"/>
      <c r="H151" s="76"/>
      <c r="I151" s="76"/>
      <c r="J151" s="76"/>
      <c r="K151" s="76"/>
      <c r="L151" s="76"/>
      <c r="M151" s="82"/>
      <c r="N151" s="78" t="s">
        <v>66</v>
      </c>
      <c r="O151" s="79"/>
      <c r="P151" s="79"/>
      <c r="Q151" s="79"/>
      <c r="R151" s="79"/>
      <c r="S151" s="79"/>
      <c r="T151" s="80"/>
      <c r="U151" s="52" t="s">
        <v>67</v>
      </c>
      <c r="V151" s="69">
        <f>IFERROR(V143/H143,"0")+IFERROR(V144/H144,"0")+IFERROR(V145/H145,"0")+IFERROR(V146/H146,"0")+IFERROR(V147/H147,"0")+IFERROR(V148/H148,"0")+IFERROR(V149/H149,"0")+IFERROR(V150/H150,"0")</f>
        <v>0</v>
      </c>
      <c r="W151" s="69">
        <f>IFERROR(W143/H143,"0")+IFERROR(W144/H144,"0")+IFERROR(W145/H145,"0")+IFERROR(W146/H146,"0")+IFERROR(W147/H147,"0")+IFERROR(W148/H148,"0")+IFERROR(W149/H149,"0")+IFERROR(W150/H150,"0")</f>
        <v>0</v>
      </c>
      <c r="X151" s="69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70"/>
      <c r="Z151" s="70"/>
    </row>
    <row r="152" spans="1:53" x14ac:dyDescent="0.2">
      <c r="A152" s="76"/>
      <c r="B152" s="76"/>
      <c r="C152" s="76"/>
      <c r="D152" s="76"/>
      <c r="E152" s="76"/>
      <c r="F152" s="76"/>
      <c r="G152" s="76"/>
      <c r="H152" s="76"/>
      <c r="I152" s="76"/>
      <c r="J152" s="76"/>
      <c r="K152" s="76"/>
      <c r="L152" s="76"/>
      <c r="M152" s="82"/>
      <c r="N152" s="78" t="s">
        <v>66</v>
      </c>
      <c r="O152" s="79"/>
      <c r="P152" s="79"/>
      <c r="Q152" s="79"/>
      <c r="R152" s="79"/>
      <c r="S152" s="79"/>
      <c r="T152" s="80"/>
      <c r="U152" s="52" t="s">
        <v>65</v>
      </c>
      <c r="V152" s="69">
        <f>IFERROR(SUM(V143:V150),"0")</f>
        <v>0</v>
      </c>
      <c r="W152" s="69">
        <f>IFERROR(SUM(W143:W150),"0")</f>
        <v>0</v>
      </c>
      <c r="X152" s="52"/>
      <c r="Y152" s="70"/>
      <c r="Z152" s="70"/>
    </row>
    <row r="153" spans="1:53" ht="16.5" customHeight="1" x14ac:dyDescent="0.25">
      <c r="A153" s="75" t="s">
        <v>263</v>
      </c>
      <c r="B153" s="76"/>
      <c r="C153" s="76"/>
      <c r="D153" s="76"/>
      <c r="E153" s="76"/>
      <c r="F153" s="76"/>
      <c r="G153" s="76"/>
      <c r="H153" s="76"/>
      <c r="I153" s="76"/>
      <c r="J153" s="76"/>
      <c r="K153" s="76"/>
      <c r="L153" s="76"/>
      <c r="M153" s="76"/>
      <c r="N153" s="76"/>
      <c r="O153" s="76"/>
      <c r="P153" s="76"/>
      <c r="Q153" s="76"/>
      <c r="R153" s="76"/>
      <c r="S153" s="76"/>
      <c r="T153" s="76"/>
      <c r="U153" s="76"/>
      <c r="V153" s="76"/>
      <c r="W153" s="76"/>
      <c r="X153" s="76"/>
      <c r="Y153" s="60"/>
      <c r="Z153" s="60"/>
    </row>
    <row r="154" spans="1:53" ht="14.25" customHeight="1" x14ac:dyDescent="0.25">
      <c r="A154" s="77" t="s">
        <v>103</v>
      </c>
      <c r="B154" s="76"/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6"/>
      <c r="U154" s="76"/>
      <c r="V154" s="76"/>
      <c r="W154" s="76"/>
      <c r="X154" s="76"/>
      <c r="Y154" s="61"/>
      <c r="Z154" s="61"/>
    </row>
    <row r="155" spans="1:53" ht="16.5" customHeight="1" x14ac:dyDescent="0.25">
      <c r="A155" s="41" t="s">
        <v>264</v>
      </c>
      <c r="B155" s="41" t="s">
        <v>265</v>
      </c>
      <c r="C155" s="42">
        <v>4301011450</v>
      </c>
      <c r="D155" s="74">
        <v>4680115881402</v>
      </c>
      <c r="E155" s="73"/>
      <c r="F155" s="66">
        <v>1.35</v>
      </c>
      <c r="G155" s="43">
        <v>8</v>
      </c>
      <c r="H155" s="66">
        <v>10.8</v>
      </c>
      <c r="I155" s="66">
        <v>11.28</v>
      </c>
      <c r="J155" s="43">
        <v>56</v>
      </c>
      <c r="K155" s="43" t="s">
        <v>98</v>
      </c>
      <c r="L155" s="44" t="s">
        <v>99</v>
      </c>
      <c r="M155" s="43">
        <v>55</v>
      </c>
      <c r="N155" s="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72"/>
      <c r="P155" s="72"/>
      <c r="Q155" s="72"/>
      <c r="R155" s="73"/>
      <c r="S155" s="45"/>
      <c r="T155" s="45"/>
      <c r="U155" s="46" t="s">
        <v>65</v>
      </c>
      <c r="V155" s="67">
        <v>0</v>
      </c>
      <c r="W155" s="68">
        <f>IFERROR(IF(V155="",0,CEILING((V155/$H155),1)*$H155),"")</f>
        <v>0</v>
      </c>
      <c r="X155" s="47" t="str">
        <f>IFERROR(IF(W155=0,"",ROUNDUP(W155/H155,0)*0.02175),"")</f>
        <v/>
      </c>
      <c r="Y155" s="48"/>
      <c r="Z155" s="49"/>
      <c r="AD155" s="50"/>
      <c r="BA155" s="51" t="s">
        <v>1</v>
      </c>
    </row>
    <row r="156" spans="1:53" ht="27" customHeight="1" x14ac:dyDescent="0.25">
      <c r="A156" s="41" t="s">
        <v>266</v>
      </c>
      <c r="B156" s="41" t="s">
        <v>267</v>
      </c>
      <c r="C156" s="42">
        <v>4301011454</v>
      </c>
      <c r="D156" s="74">
        <v>4680115881396</v>
      </c>
      <c r="E156" s="73"/>
      <c r="F156" s="66">
        <v>0.45</v>
      </c>
      <c r="G156" s="43">
        <v>6</v>
      </c>
      <c r="H156" s="66">
        <v>2.7</v>
      </c>
      <c r="I156" s="66">
        <v>2.9</v>
      </c>
      <c r="J156" s="43">
        <v>156</v>
      </c>
      <c r="K156" s="43" t="s">
        <v>63</v>
      </c>
      <c r="L156" s="44" t="s">
        <v>64</v>
      </c>
      <c r="M156" s="43">
        <v>55</v>
      </c>
      <c r="N156" s="7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72"/>
      <c r="P156" s="72"/>
      <c r="Q156" s="72"/>
      <c r="R156" s="73"/>
      <c r="S156" s="45"/>
      <c r="T156" s="45"/>
      <c r="U156" s="46" t="s">
        <v>65</v>
      </c>
      <c r="V156" s="67">
        <v>0</v>
      </c>
      <c r="W156" s="68">
        <f>IFERROR(IF(V156="",0,CEILING((V156/$H156),1)*$H156),"")</f>
        <v>0</v>
      </c>
      <c r="X156" s="47" t="str">
        <f>IFERROR(IF(W156=0,"",ROUNDUP(W156/H156,0)*0.00753),"")</f>
        <v/>
      </c>
      <c r="Y156" s="48"/>
      <c r="Z156" s="49"/>
      <c r="AD156" s="50"/>
      <c r="BA156" s="51" t="s">
        <v>1</v>
      </c>
    </row>
    <row r="157" spans="1:53" x14ac:dyDescent="0.2">
      <c r="A157" s="81"/>
      <c r="B157" s="76"/>
      <c r="C157" s="76"/>
      <c r="D157" s="76"/>
      <c r="E157" s="76"/>
      <c r="F157" s="76"/>
      <c r="G157" s="76"/>
      <c r="H157" s="76"/>
      <c r="I157" s="76"/>
      <c r="J157" s="76"/>
      <c r="K157" s="76"/>
      <c r="L157" s="76"/>
      <c r="M157" s="82"/>
      <c r="N157" s="78" t="s">
        <v>66</v>
      </c>
      <c r="O157" s="79"/>
      <c r="P157" s="79"/>
      <c r="Q157" s="79"/>
      <c r="R157" s="79"/>
      <c r="S157" s="79"/>
      <c r="T157" s="80"/>
      <c r="U157" s="52" t="s">
        <v>67</v>
      </c>
      <c r="V157" s="69">
        <f>IFERROR(V155/H155,"0")+IFERROR(V156/H156,"0")</f>
        <v>0</v>
      </c>
      <c r="W157" s="69">
        <f>IFERROR(W155/H155,"0")+IFERROR(W156/H156,"0")</f>
        <v>0</v>
      </c>
      <c r="X157" s="69">
        <f>IFERROR(IF(X155="",0,X155),"0")+IFERROR(IF(X156="",0,X156),"0")</f>
        <v>0</v>
      </c>
      <c r="Y157" s="70"/>
      <c r="Z157" s="70"/>
    </row>
    <row r="158" spans="1:53" x14ac:dyDescent="0.2">
      <c r="A158" s="76"/>
      <c r="B158" s="76"/>
      <c r="C158" s="76"/>
      <c r="D158" s="76"/>
      <c r="E158" s="76"/>
      <c r="F158" s="76"/>
      <c r="G158" s="76"/>
      <c r="H158" s="76"/>
      <c r="I158" s="76"/>
      <c r="J158" s="76"/>
      <c r="K158" s="76"/>
      <c r="L158" s="76"/>
      <c r="M158" s="82"/>
      <c r="N158" s="78" t="s">
        <v>66</v>
      </c>
      <c r="O158" s="79"/>
      <c r="P158" s="79"/>
      <c r="Q158" s="79"/>
      <c r="R158" s="79"/>
      <c r="S158" s="79"/>
      <c r="T158" s="80"/>
      <c r="U158" s="52" t="s">
        <v>65</v>
      </c>
      <c r="V158" s="69">
        <f>IFERROR(SUM(V155:V156),"0")</f>
        <v>0</v>
      </c>
      <c r="W158" s="69">
        <f>IFERROR(SUM(W155:W156),"0")</f>
        <v>0</v>
      </c>
      <c r="X158" s="52"/>
      <c r="Y158" s="70"/>
      <c r="Z158" s="70"/>
    </row>
    <row r="159" spans="1:53" ht="14.25" customHeight="1" x14ac:dyDescent="0.25">
      <c r="A159" s="77" t="s">
        <v>95</v>
      </c>
      <c r="B159" s="76"/>
      <c r="C159" s="76"/>
      <c r="D159" s="76"/>
      <c r="E159" s="76"/>
      <c r="F159" s="76"/>
      <c r="G159" s="76"/>
      <c r="H159" s="76"/>
      <c r="I159" s="76"/>
      <c r="J159" s="76"/>
      <c r="K159" s="76"/>
      <c r="L159" s="76"/>
      <c r="M159" s="76"/>
      <c r="N159" s="76"/>
      <c r="O159" s="76"/>
      <c r="P159" s="76"/>
      <c r="Q159" s="76"/>
      <c r="R159" s="76"/>
      <c r="S159" s="76"/>
      <c r="T159" s="76"/>
      <c r="U159" s="76"/>
      <c r="V159" s="76"/>
      <c r="W159" s="76"/>
      <c r="X159" s="76"/>
      <c r="Y159" s="61"/>
      <c r="Z159" s="61"/>
    </row>
    <row r="160" spans="1:53" ht="16.5" customHeight="1" x14ac:dyDescent="0.25">
      <c r="A160" s="41" t="s">
        <v>268</v>
      </c>
      <c r="B160" s="41" t="s">
        <v>269</v>
      </c>
      <c r="C160" s="42">
        <v>4301020262</v>
      </c>
      <c r="D160" s="74">
        <v>4680115882935</v>
      </c>
      <c r="E160" s="73"/>
      <c r="F160" s="66">
        <v>1.35</v>
      </c>
      <c r="G160" s="43">
        <v>8</v>
      </c>
      <c r="H160" s="66">
        <v>10.8</v>
      </c>
      <c r="I160" s="66">
        <v>11.28</v>
      </c>
      <c r="J160" s="43">
        <v>56</v>
      </c>
      <c r="K160" s="43" t="s">
        <v>98</v>
      </c>
      <c r="L160" s="44" t="s">
        <v>128</v>
      </c>
      <c r="M160" s="43">
        <v>50</v>
      </c>
      <c r="N160" s="92" t="s">
        <v>270</v>
      </c>
      <c r="O160" s="72"/>
      <c r="P160" s="72"/>
      <c r="Q160" s="72"/>
      <c r="R160" s="73"/>
      <c r="S160" s="45"/>
      <c r="T160" s="45"/>
      <c r="U160" s="46" t="s">
        <v>65</v>
      </c>
      <c r="V160" s="67">
        <v>0</v>
      </c>
      <c r="W160" s="68">
        <f>IFERROR(IF(V160="",0,CEILING((V160/$H160),1)*$H160),"")</f>
        <v>0</v>
      </c>
      <c r="X160" s="47" t="str">
        <f>IFERROR(IF(W160=0,"",ROUNDUP(W160/H160,0)*0.02175),"")</f>
        <v/>
      </c>
      <c r="Y160" s="48"/>
      <c r="Z160" s="49"/>
      <c r="AD160" s="50"/>
      <c r="BA160" s="51" t="s">
        <v>1</v>
      </c>
    </row>
    <row r="161" spans="1:53" ht="16.5" customHeight="1" x14ac:dyDescent="0.25">
      <c r="A161" s="41" t="s">
        <v>271</v>
      </c>
      <c r="B161" s="41" t="s">
        <v>272</v>
      </c>
      <c r="C161" s="42">
        <v>4301020220</v>
      </c>
      <c r="D161" s="74">
        <v>4680115880764</v>
      </c>
      <c r="E161" s="73"/>
      <c r="F161" s="66">
        <v>0.35</v>
      </c>
      <c r="G161" s="43">
        <v>6</v>
      </c>
      <c r="H161" s="66">
        <v>2.1</v>
      </c>
      <c r="I161" s="66">
        <v>2.2999999999999998</v>
      </c>
      <c r="J161" s="43">
        <v>156</v>
      </c>
      <c r="K161" s="43" t="s">
        <v>63</v>
      </c>
      <c r="L161" s="44" t="s">
        <v>99</v>
      </c>
      <c r="M161" s="43">
        <v>50</v>
      </c>
      <c r="N161" s="7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72"/>
      <c r="P161" s="72"/>
      <c r="Q161" s="72"/>
      <c r="R161" s="73"/>
      <c r="S161" s="45"/>
      <c r="T161" s="45"/>
      <c r="U161" s="46" t="s">
        <v>65</v>
      </c>
      <c r="V161" s="67">
        <v>0</v>
      </c>
      <c r="W161" s="68">
        <f>IFERROR(IF(V161="",0,CEILING((V161/$H161),1)*$H161),"")</f>
        <v>0</v>
      </c>
      <c r="X161" s="47" t="str">
        <f>IFERROR(IF(W161=0,"",ROUNDUP(W161/H161,0)*0.00753),"")</f>
        <v/>
      </c>
      <c r="Y161" s="48"/>
      <c r="Z161" s="49"/>
      <c r="AD161" s="50"/>
      <c r="BA161" s="51" t="s">
        <v>1</v>
      </c>
    </row>
    <row r="162" spans="1:53" x14ac:dyDescent="0.2">
      <c r="A162" s="81"/>
      <c r="B162" s="76"/>
      <c r="C162" s="76"/>
      <c r="D162" s="76"/>
      <c r="E162" s="76"/>
      <c r="F162" s="76"/>
      <c r="G162" s="76"/>
      <c r="H162" s="76"/>
      <c r="I162" s="76"/>
      <c r="J162" s="76"/>
      <c r="K162" s="76"/>
      <c r="L162" s="76"/>
      <c r="M162" s="82"/>
      <c r="N162" s="78" t="s">
        <v>66</v>
      </c>
      <c r="O162" s="79"/>
      <c r="P162" s="79"/>
      <c r="Q162" s="79"/>
      <c r="R162" s="79"/>
      <c r="S162" s="79"/>
      <c r="T162" s="80"/>
      <c r="U162" s="52" t="s">
        <v>67</v>
      </c>
      <c r="V162" s="69">
        <f>IFERROR(V160/H160,"0")+IFERROR(V161/H161,"0")</f>
        <v>0</v>
      </c>
      <c r="W162" s="69">
        <f>IFERROR(W160/H160,"0")+IFERROR(W161/H161,"0")</f>
        <v>0</v>
      </c>
      <c r="X162" s="69">
        <f>IFERROR(IF(X160="",0,X160),"0")+IFERROR(IF(X161="",0,X161),"0")</f>
        <v>0</v>
      </c>
      <c r="Y162" s="70"/>
      <c r="Z162" s="70"/>
    </row>
    <row r="163" spans="1:53" x14ac:dyDescent="0.2">
      <c r="A163" s="76"/>
      <c r="B163" s="76"/>
      <c r="C163" s="76"/>
      <c r="D163" s="76"/>
      <c r="E163" s="76"/>
      <c r="F163" s="76"/>
      <c r="G163" s="76"/>
      <c r="H163" s="76"/>
      <c r="I163" s="76"/>
      <c r="J163" s="76"/>
      <c r="K163" s="76"/>
      <c r="L163" s="76"/>
      <c r="M163" s="82"/>
      <c r="N163" s="78" t="s">
        <v>66</v>
      </c>
      <c r="O163" s="79"/>
      <c r="P163" s="79"/>
      <c r="Q163" s="79"/>
      <c r="R163" s="79"/>
      <c r="S163" s="79"/>
      <c r="T163" s="80"/>
      <c r="U163" s="52" t="s">
        <v>65</v>
      </c>
      <c r="V163" s="69">
        <f>IFERROR(SUM(V160:V161),"0")</f>
        <v>0</v>
      </c>
      <c r="W163" s="69">
        <f>IFERROR(SUM(W160:W161),"0")</f>
        <v>0</v>
      </c>
      <c r="X163" s="52"/>
      <c r="Y163" s="70"/>
      <c r="Z163" s="70"/>
    </row>
    <row r="164" spans="1:53" ht="14.25" customHeight="1" x14ac:dyDescent="0.25">
      <c r="A164" s="77" t="s">
        <v>60</v>
      </c>
      <c r="B164" s="76"/>
      <c r="C164" s="76"/>
      <c r="D164" s="76"/>
      <c r="E164" s="76"/>
      <c r="F164" s="76"/>
      <c r="G164" s="76"/>
      <c r="H164" s="76"/>
      <c r="I164" s="76"/>
      <c r="J164" s="76"/>
      <c r="K164" s="76"/>
      <c r="L164" s="76"/>
      <c r="M164" s="76"/>
      <c r="N164" s="76"/>
      <c r="O164" s="76"/>
      <c r="P164" s="76"/>
      <c r="Q164" s="76"/>
      <c r="R164" s="76"/>
      <c r="S164" s="76"/>
      <c r="T164" s="76"/>
      <c r="U164" s="76"/>
      <c r="V164" s="76"/>
      <c r="W164" s="76"/>
      <c r="X164" s="76"/>
      <c r="Y164" s="61"/>
      <c r="Z164" s="61"/>
    </row>
    <row r="165" spans="1:53" ht="27" customHeight="1" x14ac:dyDescent="0.25">
      <c r="A165" s="41" t="s">
        <v>273</v>
      </c>
      <c r="B165" s="41" t="s">
        <v>274</v>
      </c>
      <c r="C165" s="42">
        <v>4301031224</v>
      </c>
      <c r="D165" s="74">
        <v>4680115882683</v>
      </c>
      <c r="E165" s="73"/>
      <c r="F165" s="66">
        <v>0.9</v>
      </c>
      <c r="G165" s="43">
        <v>6</v>
      </c>
      <c r="H165" s="66">
        <v>5.4</v>
      </c>
      <c r="I165" s="66">
        <v>5.61</v>
      </c>
      <c r="J165" s="43">
        <v>120</v>
      </c>
      <c r="K165" s="43" t="s">
        <v>63</v>
      </c>
      <c r="L165" s="44" t="s">
        <v>64</v>
      </c>
      <c r="M165" s="43">
        <v>40</v>
      </c>
      <c r="N165" s="7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72"/>
      <c r="P165" s="72"/>
      <c r="Q165" s="72"/>
      <c r="R165" s="73"/>
      <c r="S165" s="45"/>
      <c r="T165" s="45"/>
      <c r="U165" s="46" t="s">
        <v>65</v>
      </c>
      <c r="V165" s="67">
        <v>0</v>
      </c>
      <c r="W165" s="68">
        <f>IFERROR(IF(V165="",0,CEILING((V165/$H165),1)*$H165),"")</f>
        <v>0</v>
      </c>
      <c r="X165" s="47" t="str">
        <f>IFERROR(IF(W165=0,"",ROUNDUP(W165/H165,0)*0.00937),"")</f>
        <v/>
      </c>
      <c r="Y165" s="48"/>
      <c r="Z165" s="49"/>
      <c r="AD165" s="50"/>
      <c r="BA165" s="51" t="s">
        <v>1</v>
      </c>
    </row>
    <row r="166" spans="1:53" ht="27" customHeight="1" x14ac:dyDescent="0.25">
      <c r="A166" s="41" t="s">
        <v>275</v>
      </c>
      <c r="B166" s="41" t="s">
        <v>276</v>
      </c>
      <c r="C166" s="42">
        <v>4301031230</v>
      </c>
      <c r="D166" s="74">
        <v>4680115882690</v>
      </c>
      <c r="E166" s="73"/>
      <c r="F166" s="66">
        <v>0.9</v>
      </c>
      <c r="G166" s="43">
        <v>6</v>
      </c>
      <c r="H166" s="66">
        <v>5.4</v>
      </c>
      <c r="I166" s="66">
        <v>5.61</v>
      </c>
      <c r="J166" s="43">
        <v>120</v>
      </c>
      <c r="K166" s="43" t="s">
        <v>63</v>
      </c>
      <c r="L166" s="44" t="s">
        <v>64</v>
      </c>
      <c r="M166" s="43">
        <v>40</v>
      </c>
      <c r="N166" s="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72"/>
      <c r="P166" s="72"/>
      <c r="Q166" s="72"/>
      <c r="R166" s="73"/>
      <c r="S166" s="45"/>
      <c r="T166" s="45"/>
      <c r="U166" s="46" t="s">
        <v>65</v>
      </c>
      <c r="V166" s="67">
        <v>0</v>
      </c>
      <c r="W166" s="68">
        <f>IFERROR(IF(V166="",0,CEILING((V166/$H166),1)*$H166),"")</f>
        <v>0</v>
      </c>
      <c r="X166" s="47" t="str">
        <f>IFERROR(IF(W166=0,"",ROUNDUP(W166/H166,0)*0.00937),"")</f>
        <v/>
      </c>
      <c r="Y166" s="48"/>
      <c r="Z166" s="49"/>
      <c r="AD166" s="50"/>
      <c r="BA166" s="51" t="s">
        <v>1</v>
      </c>
    </row>
    <row r="167" spans="1:53" ht="27" customHeight="1" x14ac:dyDescent="0.25">
      <c r="A167" s="41" t="s">
        <v>277</v>
      </c>
      <c r="B167" s="41" t="s">
        <v>278</v>
      </c>
      <c r="C167" s="42">
        <v>4301031220</v>
      </c>
      <c r="D167" s="74">
        <v>4680115882669</v>
      </c>
      <c r="E167" s="73"/>
      <c r="F167" s="66">
        <v>0.9</v>
      </c>
      <c r="G167" s="43">
        <v>6</v>
      </c>
      <c r="H167" s="66">
        <v>5.4</v>
      </c>
      <c r="I167" s="66">
        <v>5.61</v>
      </c>
      <c r="J167" s="43">
        <v>120</v>
      </c>
      <c r="K167" s="43" t="s">
        <v>63</v>
      </c>
      <c r="L167" s="44" t="s">
        <v>64</v>
      </c>
      <c r="M167" s="43">
        <v>40</v>
      </c>
      <c r="N167" s="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72"/>
      <c r="P167" s="72"/>
      <c r="Q167" s="72"/>
      <c r="R167" s="73"/>
      <c r="S167" s="45"/>
      <c r="T167" s="45"/>
      <c r="U167" s="46" t="s">
        <v>65</v>
      </c>
      <c r="V167" s="67">
        <v>0</v>
      </c>
      <c r="W167" s="68">
        <f>IFERROR(IF(V167="",0,CEILING((V167/$H167),1)*$H167),"")</f>
        <v>0</v>
      </c>
      <c r="X167" s="47" t="str">
        <f>IFERROR(IF(W167=0,"",ROUNDUP(W167/H167,0)*0.00937),"")</f>
        <v/>
      </c>
      <c r="Y167" s="48"/>
      <c r="Z167" s="49"/>
      <c r="AD167" s="50"/>
      <c r="BA167" s="51" t="s">
        <v>1</v>
      </c>
    </row>
    <row r="168" spans="1:53" ht="27" customHeight="1" x14ac:dyDescent="0.25">
      <c r="A168" s="41" t="s">
        <v>279</v>
      </c>
      <c r="B168" s="41" t="s">
        <v>280</v>
      </c>
      <c r="C168" s="42">
        <v>4301031221</v>
      </c>
      <c r="D168" s="74">
        <v>4680115882676</v>
      </c>
      <c r="E168" s="73"/>
      <c r="F168" s="66">
        <v>0.9</v>
      </c>
      <c r="G168" s="43">
        <v>6</v>
      </c>
      <c r="H168" s="66">
        <v>5.4</v>
      </c>
      <c r="I168" s="66">
        <v>5.61</v>
      </c>
      <c r="J168" s="43">
        <v>120</v>
      </c>
      <c r="K168" s="43" t="s">
        <v>63</v>
      </c>
      <c r="L168" s="44" t="s">
        <v>64</v>
      </c>
      <c r="M168" s="43">
        <v>40</v>
      </c>
      <c r="N168" s="7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72"/>
      <c r="P168" s="72"/>
      <c r="Q168" s="72"/>
      <c r="R168" s="73"/>
      <c r="S168" s="45"/>
      <c r="T168" s="45"/>
      <c r="U168" s="46" t="s">
        <v>65</v>
      </c>
      <c r="V168" s="67">
        <v>0</v>
      </c>
      <c r="W168" s="68">
        <f>IFERROR(IF(V168="",0,CEILING((V168/$H168),1)*$H168),"")</f>
        <v>0</v>
      </c>
      <c r="X168" s="47" t="str">
        <f>IFERROR(IF(W168=0,"",ROUNDUP(W168/H168,0)*0.00937),"")</f>
        <v/>
      </c>
      <c r="Y168" s="48"/>
      <c r="Z168" s="49"/>
      <c r="AD168" s="50"/>
      <c r="BA168" s="51" t="s">
        <v>1</v>
      </c>
    </row>
    <row r="169" spans="1:53" x14ac:dyDescent="0.2">
      <c r="A169" s="81"/>
      <c r="B169" s="76"/>
      <c r="C169" s="76"/>
      <c r="D169" s="76"/>
      <c r="E169" s="76"/>
      <c r="F169" s="76"/>
      <c r="G169" s="76"/>
      <c r="H169" s="76"/>
      <c r="I169" s="76"/>
      <c r="J169" s="76"/>
      <c r="K169" s="76"/>
      <c r="L169" s="76"/>
      <c r="M169" s="82"/>
      <c r="N169" s="78" t="s">
        <v>66</v>
      </c>
      <c r="O169" s="79"/>
      <c r="P169" s="79"/>
      <c r="Q169" s="79"/>
      <c r="R169" s="79"/>
      <c r="S169" s="79"/>
      <c r="T169" s="80"/>
      <c r="U169" s="52" t="s">
        <v>67</v>
      </c>
      <c r="V169" s="69">
        <f>IFERROR(V165/H165,"0")+IFERROR(V166/H166,"0")+IFERROR(V167/H167,"0")+IFERROR(V168/H168,"0")</f>
        <v>0</v>
      </c>
      <c r="W169" s="69">
        <f>IFERROR(W165/H165,"0")+IFERROR(W166/H166,"0")+IFERROR(W167/H167,"0")+IFERROR(W168/H168,"0")</f>
        <v>0</v>
      </c>
      <c r="X169" s="69">
        <f>IFERROR(IF(X165="",0,X165),"0")+IFERROR(IF(X166="",0,X166),"0")+IFERROR(IF(X167="",0,X167),"0")+IFERROR(IF(X168="",0,X168),"0")</f>
        <v>0</v>
      </c>
      <c r="Y169" s="70"/>
      <c r="Z169" s="70"/>
    </row>
    <row r="170" spans="1:53" x14ac:dyDescent="0.2">
      <c r="A170" s="76"/>
      <c r="B170" s="76"/>
      <c r="C170" s="76"/>
      <c r="D170" s="76"/>
      <c r="E170" s="76"/>
      <c r="F170" s="76"/>
      <c r="G170" s="76"/>
      <c r="H170" s="76"/>
      <c r="I170" s="76"/>
      <c r="J170" s="76"/>
      <c r="K170" s="76"/>
      <c r="L170" s="76"/>
      <c r="M170" s="82"/>
      <c r="N170" s="78" t="s">
        <v>66</v>
      </c>
      <c r="O170" s="79"/>
      <c r="P170" s="79"/>
      <c r="Q170" s="79"/>
      <c r="R170" s="79"/>
      <c r="S170" s="79"/>
      <c r="T170" s="80"/>
      <c r="U170" s="52" t="s">
        <v>65</v>
      </c>
      <c r="V170" s="69">
        <f>IFERROR(SUM(V165:V168),"0")</f>
        <v>0</v>
      </c>
      <c r="W170" s="69">
        <f>IFERROR(SUM(W165:W168),"0")</f>
        <v>0</v>
      </c>
      <c r="X170" s="52"/>
      <c r="Y170" s="70"/>
      <c r="Z170" s="70"/>
    </row>
    <row r="171" spans="1:53" ht="14.25" customHeight="1" x14ac:dyDescent="0.25">
      <c r="A171" s="77" t="s">
        <v>68</v>
      </c>
      <c r="B171" s="76"/>
      <c r="C171" s="76"/>
      <c r="D171" s="76"/>
      <c r="E171" s="76"/>
      <c r="F171" s="76"/>
      <c r="G171" s="76"/>
      <c r="H171" s="76"/>
      <c r="I171" s="76"/>
      <c r="J171" s="76"/>
      <c r="K171" s="76"/>
      <c r="L171" s="76"/>
      <c r="M171" s="76"/>
      <c r="N171" s="76"/>
      <c r="O171" s="76"/>
      <c r="P171" s="76"/>
      <c r="Q171" s="76"/>
      <c r="R171" s="76"/>
      <c r="S171" s="76"/>
      <c r="T171" s="76"/>
      <c r="U171" s="76"/>
      <c r="V171" s="76"/>
      <c r="W171" s="76"/>
      <c r="X171" s="76"/>
      <c r="Y171" s="61"/>
      <c r="Z171" s="61"/>
    </row>
    <row r="172" spans="1:53" ht="27" customHeight="1" x14ac:dyDescent="0.25">
      <c r="A172" s="41" t="s">
        <v>281</v>
      </c>
      <c r="B172" s="41" t="s">
        <v>282</v>
      </c>
      <c r="C172" s="42">
        <v>4301051409</v>
      </c>
      <c r="D172" s="74">
        <v>4680115881556</v>
      </c>
      <c r="E172" s="73"/>
      <c r="F172" s="66">
        <v>1</v>
      </c>
      <c r="G172" s="43">
        <v>4</v>
      </c>
      <c r="H172" s="66">
        <v>4</v>
      </c>
      <c r="I172" s="66">
        <v>4.4080000000000004</v>
      </c>
      <c r="J172" s="43">
        <v>104</v>
      </c>
      <c r="K172" s="43" t="s">
        <v>98</v>
      </c>
      <c r="L172" s="44" t="s">
        <v>128</v>
      </c>
      <c r="M172" s="43">
        <v>45</v>
      </c>
      <c r="N172" s="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72"/>
      <c r="P172" s="72"/>
      <c r="Q172" s="72"/>
      <c r="R172" s="73"/>
      <c r="S172" s="45"/>
      <c r="T172" s="45"/>
      <c r="U172" s="46" t="s">
        <v>65</v>
      </c>
      <c r="V172" s="67">
        <v>0</v>
      </c>
      <c r="W172" s="68">
        <f t="shared" ref="W172:W188" si="8">IFERROR(IF(V172="",0,CEILING((V172/$H172),1)*$H172),"")</f>
        <v>0</v>
      </c>
      <c r="X172" s="47" t="str">
        <f>IFERROR(IF(W172=0,"",ROUNDUP(W172/H172,0)*0.01196),"")</f>
        <v/>
      </c>
      <c r="Y172" s="48"/>
      <c r="Z172" s="49"/>
      <c r="AD172" s="50"/>
      <c r="BA172" s="51" t="s">
        <v>1</v>
      </c>
    </row>
    <row r="173" spans="1:53" ht="16.5" customHeight="1" x14ac:dyDescent="0.25">
      <c r="A173" s="41" t="s">
        <v>283</v>
      </c>
      <c r="B173" s="41" t="s">
        <v>284</v>
      </c>
      <c r="C173" s="42">
        <v>4301051538</v>
      </c>
      <c r="D173" s="74">
        <v>4680115880573</v>
      </c>
      <c r="E173" s="73"/>
      <c r="F173" s="66">
        <v>1.45</v>
      </c>
      <c r="G173" s="43">
        <v>6</v>
      </c>
      <c r="H173" s="66">
        <v>8.6999999999999993</v>
      </c>
      <c r="I173" s="66">
        <v>9.2639999999999993</v>
      </c>
      <c r="J173" s="43">
        <v>56</v>
      </c>
      <c r="K173" s="43" t="s">
        <v>98</v>
      </c>
      <c r="L173" s="44" t="s">
        <v>64</v>
      </c>
      <c r="M173" s="43">
        <v>45</v>
      </c>
      <c r="N173" s="92" t="s">
        <v>285</v>
      </c>
      <c r="O173" s="72"/>
      <c r="P173" s="72"/>
      <c r="Q173" s="72"/>
      <c r="R173" s="73"/>
      <c r="S173" s="45"/>
      <c r="T173" s="45"/>
      <c r="U173" s="46" t="s">
        <v>65</v>
      </c>
      <c r="V173" s="67">
        <v>0</v>
      </c>
      <c r="W173" s="68">
        <f t="shared" si="8"/>
        <v>0</v>
      </c>
      <c r="X173" s="47" t="str">
        <f>IFERROR(IF(W173=0,"",ROUNDUP(W173/H173,0)*0.02175),"")</f>
        <v/>
      </c>
      <c r="Y173" s="48"/>
      <c r="Z173" s="49"/>
      <c r="AD173" s="50"/>
      <c r="BA173" s="51" t="s">
        <v>1</v>
      </c>
    </row>
    <row r="174" spans="1:53" ht="27" customHeight="1" x14ac:dyDescent="0.25">
      <c r="A174" s="41" t="s">
        <v>286</v>
      </c>
      <c r="B174" s="41" t="s">
        <v>287</v>
      </c>
      <c r="C174" s="42">
        <v>4301051408</v>
      </c>
      <c r="D174" s="74">
        <v>4680115881594</v>
      </c>
      <c r="E174" s="73"/>
      <c r="F174" s="66">
        <v>1.35</v>
      </c>
      <c r="G174" s="43">
        <v>6</v>
      </c>
      <c r="H174" s="66">
        <v>8.1</v>
      </c>
      <c r="I174" s="66">
        <v>8.6639999999999997</v>
      </c>
      <c r="J174" s="43">
        <v>56</v>
      </c>
      <c r="K174" s="43" t="s">
        <v>98</v>
      </c>
      <c r="L174" s="44" t="s">
        <v>128</v>
      </c>
      <c r="M174" s="43">
        <v>40</v>
      </c>
      <c r="N174" s="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72"/>
      <c r="P174" s="72"/>
      <c r="Q174" s="72"/>
      <c r="R174" s="73"/>
      <c r="S174" s="45"/>
      <c r="T174" s="45"/>
      <c r="U174" s="46" t="s">
        <v>65</v>
      </c>
      <c r="V174" s="67">
        <v>0</v>
      </c>
      <c r="W174" s="68">
        <f t="shared" si="8"/>
        <v>0</v>
      </c>
      <c r="X174" s="47" t="str">
        <f>IFERROR(IF(W174=0,"",ROUNDUP(W174/H174,0)*0.02175),"")</f>
        <v/>
      </c>
      <c r="Y174" s="48"/>
      <c r="Z174" s="49"/>
      <c r="AD174" s="50"/>
      <c r="BA174" s="51" t="s">
        <v>1</v>
      </c>
    </row>
    <row r="175" spans="1:53" ht="27" customHeight="1" x14ac:dyDescent="0.25">
      <c r="A175" s="41" t="s">
        <v>288</v>
      </c>
      <c r="B175" s="41" t="s">
        <v>289</v>
      </c>
      <c r="C175" s="42">
        <v>4301051505</v>
      </c>
      <c r="D175" s="74">
        <v>4680115881587</v>
      </c>
      <c r="E175" s="73"/>
      <c r="F175" s="66">
        <v>1</v>
      </c>
      <c r="G175" s="43">
        <v>4</v>
      </c>
      <c r="H175" s="66">
        <v>4</v>
      </c>
      <c r="I175" s="66">
        <v>4.4080000000000004</v>
      </c>
      <c r="J175" s="43">
        <v>104</v>
      </c>
      <c r="K175" s="43" t="s">
        <v>98</v>
      </c>
      <c r="L175" s="44" t="s">
        <v>64</v>
      </c>
      <c r="M175" s="43">
        <v>40</v>
      </c>
      <c r="N175" s="92" t="s">
        <v>290</v>
      </c>
      <c r="O175" s="72"/>
      <c r="P175" s="72"/>
      <c r="Q175" s="72"/>
      <c r="R175" s="73"/>
      <c r="S175" s="45"/>
      <c r="T175" s="45"/>
      <c r="U175" s="46" t="s">
        <v>65</v>
      </c>
      <c r="V175" s="67">
        <v>0</v>
      </c>
      <c r="W175" s="68">
        <f t="shared" si="8"/>
        <v>0</v>
      </c>
      <c r="X175" s="47" t="str">
        <f>IFERROR(IF(W175=0,"",ROUNDUP(W175/H175,0)*0.01196),"")</f>
        <v/>
      </c>
      <c r="Y175" s="48"/>
      <c r="Z175" s="49"/>
      <c r="AD175" s="50"/>
      <c r="BA175" s="51" t="s">
        <v>1</v>
      </c>
    </row>
    <row r="176" spans="1:53" ht="16.5" customHeight="1" x14ac:dyDescent="0.25">
      <c r="A176" s="41" t="s">
        <v>291</v>
      </c>
      <c r="B176" s="41" t="s">
        <v>292</v>
      </c>
      <c r="C176" s="42">
        <v>4301051380</v>
      </c>
      <c r="D176" s="74">
        <v>4680115880962</v>
      </c>
      <c r="E176" s="73"/>
      <c r="F176" s="66">
        <v>1.3</v>
      </c>
      <c r="G176" s="43">
        <v>6</v>
      </c>
      <c r="H176" s="66">
        <v>7.8</v>
      </c>
      <c r="I176" s="66">
        <v>8.3640000000000008</v>
      </c>
      <c r="J176" s="43">
        <v>56</v>
      </c>
      <c r="K176" s="43" t="s">
        <v>98</v>
      </c>
      <c r="L176" s="44" t="s">
        <v>64</v>
      </c>
      <c r="M176" s="43">
        <v>40</v>
      </c>
      <c r="N176" s="7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72"/>
      <c r="P176" s="72"/>
      <c r="Q176" s="72"/>
      <c r="R176" s="73"/>
      <c r="S176" s="45"/>
      <c r="T176" s="45"/>
      <c r="U176" s="46" t="s">
        <v>65</v>
      </c>
      <c r="V176" s="67">
        <v>0</v>
      </c>
      <c r="W176" s="68">
        <f t="shared" si="8"/>
        <v>0</v>
      </c>
      <c r="X176" s="47" t="str">
        <f>IFERROR(IF(W176=0,"",ROUNDUP(W176/H176,0)*0.02175),"")</f>
        <v/>
      </c>
      <c r="Y176" s="48"/>
      <c r="Z176" s="49"/>
      <c r="AD176" s="50"/>
      <c r="BA176" s="51" t="s">
        <v>1</v>
      </c>
    </row>
    <row r="177" spans="1:53" ht="27" customHeight="1" x14ac:dyDescent="0.25">
      <c r="A177" s="41" t="s">
        <v>293</v>
      </c>
      <c r="B177" s="41" t="s">
        <v>294</v>
      </c>
      <c r="C177" s="42">
        <v>4301051411</v>
      </c>
      <c r="D177" s="74">
        <v>4680115881617</v>
      </c>
      <c r="E177" s="73"/>
      <c r="F177" s="66">
        <v>1.35</v>
      </c>
      <c r="G177" s="43">
        <v>6</v>
      </c>
      <c r="H177" s="66">
        <v>8.1</v>
      </c>
      <c r="I177" s="66">
        <v>8.6460000000000008</v>
      </c>
      <c r="J177" s="43">
        <v>56</v>
      </c>
      <c r="K177" s="43" t="s">
        <v>98</v>
      </c>
      <c r="L177" s="44" t="s">
        <v>128</v>
      </c>
      <c r="M177" s="43">
        <v>40</v>
      </c>
      <c r="N177" s="7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72"/>
      <c r="P177" s="72"/>
      <c r="Q177" s="72"/>
      <c r="R177" s="73"/>
      <c r="S177" s="45"/>
      <c r="T177" s="45"/>
      <c r="U177" s="46" t="s">
        <v>65</v>
      </c>
      <c r="V177" s="67">
        <v>0</v>
      </c>
      <c r="W177" s="68">
        <f t="shared" si="8"/>
        <v>0</v>
      </c>
      <c r="X177" s="47" t="str">
        <f>IFERROR(IF(W177=0,"",ROUNDUP(W177/H177,0)*0.02175),"")</f>
        <v/>
      </c>
      <c r="Y177" s="48"/>
      <c r="Z177" s="49"/>
      <c r="AD177" s="50"/>
      <c r="BA177" s="51" t="s">
        <v>1</v>
      </c>
    </row>
    <row r="178" spans="1:53" ht="27" customHeight="1" x14ac:dyDescent="0.25">
      <c r="A178" s="41" t="s">
        <v>295</v>
      </c>
      <c r="B178" s="41" t="s">
        <v>296</v>
      </c>
      <c r="C178" s="42">
        <v>4301051487</v>
      </c>
      <c r="D178" s="74">
        <v>4680115881228</v>
      </c>
      <c r="E178" s="73"/>
      <c r="F178" s="66">
        <v>0.4</v>
      </c>
      <c r="G178" s="43">
        <v>6</v>
      </c>
      <c r="H178" s="66">
        <v>2.4</v>
      </c>
      <c r="I178" s="66">
        <v>2.6720000000000002</v>
      </c>
      <c r="J178" s="43">
        <v>156</v>
      </c>
      <c r="K178" s="43" t="s">
        <v>63</v>
      </c>
      <c r="L178" s="44" t="s">
        <v>64</v>
      </c>
      <c r="M178" s="43">
        <v>40</v>
      </c>
      <c r="N178" s="92" t="s">
        <v>297</v>
      </c>
      <c r="O178" s="72"/>
      <c r="P178" s="72"/>
      <c r="Q178" s="72"/>
      <c r="R178" s="73"/>
      <c r="S178" s="45"/>
      <c r="T178" s="45"/>
      <c r="U178" s="46" t="s">
        <v>65</v>
      </c>
      <c r="V178" s="67">
        <v>0</v>
      </c>
      <c r="W178" s="68">
        <f t="shared" si="8"/>
        <v>0</v>
      </c>
      <c r="X178" s="47" t="str">
        <f>IFERROR(IF(W178=0,"",ROUNDUP(W178/H178,0)*0.00753),"")</f>
        <v/>
      </c>
      <c r="Y178" s="48"/>
      <c r="Z178" s="49"/>
      <c r="AD178" s="50"/>
      <c r="BA178" s="51" t="s">
        <v>1</v>
      </c>
    </row>
    <row r="179" spans="1:53" ht="27" customHeight="1" x14ac:dyDescent="0.25">
      <c r="A179" s="41" t="s">
        <v>298</v>
      </c>
      <c r="B179" s="41" t="s">
        <v>299</v>
      </c>
      <c r="C179" s="42">
        <v>4301051506</v>
      </c>
      <c r="D179" s="74">
        <v>4680115881037</v>
      </c>
      <c r="E179" s="73"/>
      <c r="F179" s="66">
        <v>0.84</v>
      </c>
      <c r="G179" s="43">
        <v>4</v>
      </c>
      <c r="H179" s="66">
        <v>3.36</v>
      </c>
      <c r="I179" s="66">
        <v>3.6179999999999999</v>
      </c>
      <c r="J179" s="43">
        <v>120</v>
      </c>
      <c r="K179" s="43" t="s">
        <v>63</v>
      </c>
      <c r="L179" s="44" t="s">
        <v>64</v>
      </c>
      <c r="M179" s="43">
        <v>40</v>
      </c>
      <c r="N179" s="92" t="s">
        <v>300</v>
      </c>
      <c r="O179" s="72"/>
      <c r="P179" s="72"/>
      <c r="Q179" s="72"/>
      <c r="R179" s="73"/>
      <c r="S179" s="45"/>
      <c r="T179" s="45"/>
      <c r="U179" s="46" t="s">
        <v>65</v>
      </c>
      <c r="V179" s="67">
        <v>0</v>
      </c>
      <c r="W179" s="68">
        <f t="shared" si="8"/>
        <v>0</v>
      </c>
      <c r="X179" s="47" t="str">
        <f>IFERROR(IF(W179=0,"",ROUNDUP(W179/H179,0)*0.00937),"")</f>
        <v/>
      </c>
      <c r="Y179" s="48"/>
      <c r="Z179" s="49"/>
      <c r="AD179" s="50"/>
      <c r="BA179" s="51" t="s">
        <v>1</v>
      </c>
    </row>
    <row r="180" spans="1:53" ht="27" customHeight="1" x14ac:dyDescent="0.25">
      <c r="A180" s="41" t="s">
        <v>301</v>
      </c>
      <c r="B180" s="41" t="s">
        <v>302</v>
      </c>
      <c r="C180" s="42">
        <v>4301051384</v>
      </c>
      <c r="D180" s="74">
        <v>4680115881211</v>
      </c>
      <c r="E180" s="73"/>
      <c r="F180" s="66">
        <v>0.4</v>
      </c>
      <c r="G180" s="43">
        <v>6</v>
      </c>
      <c r="H180" s="66">
        <v>2.4</v>
      </c>
      <c r="I180" s="66">
        <v>2.6</v>
      </c>
      <c r="J180" s="43">
        <v>156</v>
      </c>
      <c r="K180" s="43" t="s">
        <v>63</v>
      </c>
      <c r="L180" s="44" t="s">
        <v>64</v>
      </c>
      <c r="M180" s="43">
        <v>45</v>
      </c>
      <c r="N180" s="7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72"/>
      <c r="P180" s="72"/>
      <c r="Q180" s="72"/>
      <c r="R180" s="73"/>
      <c r="S180" s="45"/>
      <c r="T180" s="45"/>
      <c r="U180" s="46" t="s">
        <v>65</v>
      </c>
      <c r="V180" s="67">
        <v>0</v>
      </c>
      <c r="W180" s="68">
        <f t="shared" si="8"/>
        <v>0</v>
      </c>
      <c r="X180" s="47" t="str">
        <f>IFERROR(IF(W180=0,"",ROUNDUP(W180/H180,0)*0.00753),"")</f>
        <v/>
      </c>
      <c r="Y180" s="48"/>
      <c r="Z180" s="49"/>
      <c r="AD180" s="50"/>
      <c r="BA180" s="51" t="s">
        <v>1</v>
      </c>
    </row>
    <row r="181" spans="1:53" ht="27" customHeight="1" x14ac:dyDescent="0.25">
      <c r="A181" s="41" t="s">
        <v>303</v>
      </c>
      <c r="B181" s="41" t="s">
        <v>304</v>
      </c>
      <c r="C181" s="42">
        <v>4301051378</v>
      </c>
      <c r="D181" s="74">
        <v>4680115881020</v>
      </c>
      <c r="E181" s="73"/>
      <c r="F181" s="66">
        <v>0.84</v>
      </c>
      <c r="G181" s="43">
        <v>4</v>
      </c>
      <c r="H181" s="66">
        <v>3.36</v>
      </c>
      <c r="I181" s="66">
        <v>3.57</v>
      </c>
      <c r="J181" s="43">
        <v>120</v>
      </c>
      <c r="K181" s="43" t="s">
        <v>63</v>
      </c>
      <c r="L181" s="44" t="s">
        <v>64</v>
      </c>
      <c r="M181" s="43">
        <v>45</v>
      </c>
      <c r="N181" s="7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72"/>
      <c r="P181" s="72"/>
      <c r="Q181" s="72"/>
      <c r="R181" s="73"/>
      <c r="S181" s="45"/>
      <c r="T181" s="45"/>
      <c r="U181" s="46" t="s">
        <v>65</v>
      </c>
      <c r="V181" s="67">
        <v>0</v>
      </c>
      <c r="W181" s="68">
        <f t="shared" si="8"/>
        <v>0</v>
      </c>
      <c r="X181" s="47" t="str">
        <f>IFERROR(IF(W181=0,"",ROUNDUP(W181/H181,0)*0.00937),"")</f>
        <v/>
      </c>
      <c r="Y181" s="48"/>
      <c r="Z181" s="49"/>
      <c r="AD181" s="50"/>
      <c r="BA181" s="51" t="s">
        <v>1</v>
      </c>
    </row>
    <row r="182" spans="1:53" ht="27" customHeight="1" x14ac:dyDescent="0.25">
      <c r="A182" s="41" t="s">
        <v>305</v>
      </c>
      <c r="B182" s="41" t="s">
        <v>306</v>
      </c>
      <c r="C182" s="42">
        <v>4301051407</v>
      </c>
      <c r="D182" s="74">
        <v>4680115882195</v>
      </c>
      <c r="E182" s="73"/>
      <c r="F182" s="66">
        <v>0.4</v>
      </c>
      <c r="G182" s="43">
        <v>6</v>
      </c>
      <c r="H182" s="66">
        <v>2.4</v>
      </c>
      <c r="I182" s="66">
        <v>2.69</v>
      </c>
      <c r="J182" s="43">
        <v>156</v>
      </c>
      <c r="K182" s="43" t="s">
        <v>63</v>
      </c>
      <c r="L182" s="44" t="s">
        <v>128</v>
      </c>
      <c r="M182" s="43">
        <v>40</v>
      </c>
      <c r="N182" s="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72"/>
      <c r="P182" s="72"/>
      <c r="Q182" s="72"/>
      <c r="R182" s="73"/>
      <c r="S182" s="45"/>
      <c r="T182" s="45"/>
      <c r="U182" s="46" t="s">
        <v>65</v>
      </c>
      <c r="V182" s="67">
        <v>0</v>
      </c>
      <c r="W182" s="68">
        <f t="shared" si="8"/>
        <v>0</v>
      </c>
      <c r="X182" s="47" t="str">
        <f t="shared" ref="X182:X188" si="9">IFERROR(IF(W182=0,"",ROUNDUP(W182/H182,0)*0.00753),"")</f>
        <v/>
      </c>
      <c r="Y182" s="48"/>
      <c r="Z182" s="49"/>
      <c r="AD182" s="50"/>
      <c r="BA182" s="51" t="s">
        <v>1</v>
      </c>
    </row>
    <row r="183" spans="1:53" ht="27" customHeight="1" x14ac:dyDescent="0.25">
      <c r="A183" s="41" t="s">
        <v>307</v>
      </c>
      <c r="B183" s="41" t="s">
        <v>308</v>
      </c>
      <c r="C183" s="42">
        <v>4301051479</v>
      </c>
      <c r="D183" s="74">
        <v>4680115882607</v>
      </c>
      <c r="E183" s="73"/>
      <c r="F183" s="66">
        <v>0.3</v>
      </c>
      <c r="G183" s="43">
        <v>6</v>
      </c>
      <c r="H183" s="66">
        <v>1.8</v>
      </c>
      <c r="I183" s="66">
        <v>2.0720000000000001</v>
      </c>
      <c r="J183" s="43">
        <v>156</v>
      </c>
      <c r="K183" s="43" t="s">
        <v>63</v>
      </c>
      <c r="L183" s="44" t="s">
        <v>128</v>
      </c>
      <c r="M183" s="43">
        <v>45</v>
      </c>
      <c r="N183" s="7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72"/>
      <c r="P183" s="72"/>
      <c r="Q183" s="72"/>
      <c r="R183" s="73"/>
      <c r="S183" s="45"/>
      <c r="T183" s="45"/>
      <c r="U183" s="46" t="s">
        <v>65</v>
      </c>
      <c r="V183" s="67">
        <v>0</v>
      </c>
      <c r="W183" s="68">
        <f t="shared" si="8"/>
        <v>0</v>
      </c>
      <c r="X183" s="47" t="str">
        <f t="shared" si="9"/>
        <v/>
      </c>
      <c r="Y183" s="48"/>
      <c r="Z183" s="49"/>
      <c r="AD183" s="50"/>
      <c r="BA183" s="51" t="s">
        <v>1</v>
      </c>
    </row>
    <row r="184" spans="1:53" ht="27" customHeight="1" x14ac:dyDescent="0.25">
      <c r="A184" s="41" t="s">
        <v>309</v>
      </c>
      <c r="B184" s="41" t="s">
        <v>310</v>
      </c>
      <c r="C184" s="42">
        <v>4301051468</v>
      </c>
      <c r="D184" s="74">
        <v>4680115880092</v>
      </c>
      <c r="E184" s="73"/>
      <c r="F184" s="66">
        <v>0.4</v>
      </c>
      <c r="G184" s="43">
        <v>6</v>
      </c>
      <c r="H184" s="66">
        <v>2.4</v>
      </c>
      <c r="I184" s="66">
        <v>2.6720000000000002</v>
      </c>
      <c r="J184" s="43">
        <v>156</v>
      </c>
      <c r="K184" s="43" t="s">
        <v>63</v>
      </c>
      <c r="L184" s="44" t="s">
        <v>128</v>
      </c>
      <c r="M184" s="43">
        <v>45</v>
      </c>
      <c r="N184" s="7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72"/>
      <c r="P184" s="72"/>
      <c r="Q184" s="72"/>
      <c r="R184" s="73"/>
      <c r="S184" s="45"/>
      <c r="T184" s="45"/>
      <c r="U184" s="46" t="s">
        <v>65</v>
      </c>
      <c r="V184" s="67">
        <v>0</v>
      </c>
      <c r="W184" s="68">
        <f t="shared" si="8"/>
        <v>0</v>
      </c>
      <c r="X184" s="47" t="str">
        <f t="shared" si="9"/>
        <v/>
      </c>
      <c r="Y184" s="48"/>
      <c r="Z184" s="49"/>
      <c r="AD184" s="50"/>
      <c r="BA184" s="51" t="s">
        <v>1</v>
      </c>
    </row>
    <row r="185" spans="1:53" ht="27" customHeight="1" x14ac:dyDescent="0.25">
      <c r="A185" s="41" t="s">
        <v>311</v>
      </c>
      <c r="B185" s="41" t="s">
        <v>312</v>
      </c>
      <c r="C185" s="42">
        <v>4301051469</v>
      </c>
      <c r="D185" s="74">
        <v>4680115880221</v>
      </c>
      <c r="E185" s="73"/>
      <c r="F185" s="66">
        <v>0.4</v>
      </c>
      <c r="G185" s="43">
        <v>6</v>
      </c>
      <c r="H185" s="66">
        <v>2.4</v>
      </c>
      <c r="I185" s="66">
        <v>2.6720000000000002</v>
      </c>
      <c r="J185" s="43">
        <v>156</v>
      </c>
      <c r="K185" s="43" t="s">
        <v>63</v>
      </c>
      <c r="L185" s="44" t="s">
        <v>128</v>
      </c>
      <c r="M185" s="43">
        <v>45</v>
      </c>
      <c r="N185" s="7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72"/>
      <c r="P185" s="72"/>
      <c r="Q185" s="72"/>
      <c r="R185" s="73"/>
      <c r="S185" s="45"/>
      <c r="T185" s="45"/>
      <c r="U185" s="46" t="s">
        <v>65</v>
      </c>
      <c r="V185" s="67">
        <v>0</v>
      </c>
      <c r="W185" s="68">
        <f t="shared" si="8"/>
        <v>0</v>
      </c>
      <c r="X185" s="47" t="str">
        <f t="shared" si="9"/>
        <v/>
      </c>
      <c r="Y185" s="48"/>
      <c r="Z185" s="49"/>
      <c r="AD185" s="50"/>
      <c r="BA185" s="51" t="s">
        <v>1</v>
      </c>
    </row>
    <row r="186" spans="1:53" ht="16.5" customHeight="1" x14ac:dyDescent="0.25">
      <c r="A186" s="41" t="s">
        <v>313</v>
      </c>
      <c r="B186" s="41" t="s">
        <v>314</v>
      </c>
      <c r="C186" s="42">
        <v>4301051523</v>
      </c>
      <c r="D186" s="74">
        <v>4680115882942</v>
      </c>
      <c r="E186" s="73"/>
      <c r="F186" s="66">
        <v>0.3</v>
      </c>
      <c r="G186" s="43">
        <v>6</v>
      </c>
      <c r="H186" s="66">
        <v>1.8</v>
      </c>
      <c r="I186" s="66">
        <v>2.0720000000000001</v>
      </c>
      <c r="J186" s="43">
        <v>156</v>
      </c>
      <c r="K186" s="43" t="s">
        <v>63</v>
      </c>
      <c r="L186" s="44" t="s">
        <v>64</v>
      </c>
      <c r="M186" s="43">
        <v>40</v>
      </c>
      <c r="N186" s="7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72"/>
      <c r="P186" s="72"/>
      <c r="Q186" s="72"/>
      <c r="R186" s="73"/>
      <c r="S186" s="45"/>
      <c r="T186" s="45"/>
      <c r="U186" s="46" t="s">
        <v>65</v>
      </c>
      <c r="V186" s="67">
        <v>0</v>
      </c>
      <c r="W186" s="68">
        <f t="shared" si="8"/>
        <v>0</v>
      </c>
      <c r="X186" s="47" t="str">
        <f t="shared" si="9"/>
        <v/>
      </c>
      <c r="Y186" s="48"/>
      <c r="Z186" s="49"/>
      <c r="AD186" s="50"/>
      <c r="BA186" s="51" t="s">
        <v>1</v>
      </c>
    </row>
    <row r="187" spans="1:53" ht="16.5" customHeight="1" x14ac:dyDescent="0.25">
      <c r="A187" s="41" t="s">
        <v>315</v>
      </c>
      <c r="B187" s="41" t="s">
        <v>316</v>
      </c>
      <c r="C187" s="42">
        <v>4301051326</v>
      </c>
      <c r="D187" s="74">
        <v>4680115880504</v>
      </c>
      <c r="E187" s="73"/>
      <c r="F187" s="66">
        <v>0.4</v>
      </c>
      <c r="G187" s="43">
        <v>6</v>
      </c>
      <c r="H187" s="66">
        <v>2.4</v>
      </c>
      <c r="I187" s="66">
        <v>2.6720000000000002</v>
      </c>
      <c r="J187" s="43">
        <v>156</v>
      </c>
      <c r="K187" s="43" t="s">
        <v>63</v>
      </c>
      <c r="L187" s="44" t="s">
        <v>64</v>
      </c>
      <c r="M187" s="43">
        <v>40</v>
      </c>
      <c r="N187" s="7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72"/>
      <c r="P187" s="72"/>
      <c r="Q187" s="72"/>
      <c r="R187" s="73"/>
      <c r="S187" s="45"/>
      <c r="T187" s="45"/>
      <c r="U187" s="46" t="s">
        <v>65</v>
      </c>
      <c r="V187" s="67">
        <v>0</v>
      </c>
      <c r="W187" s="68">
        <f t="shared" si="8"/>
        <v>0</v>
      </c>
      <c r="X187" s="47" t="str">
        <f t="shared" si="9"/>
        <v/>
      </c>
      <c r="Y187" s="48"/>
      <c r="Z187" s="49"/>
      <c r="AD187" s="50"/>
      <c r="BA187" s="51" t="s">
        <v>1</v>
      </c>
    </row>
    <row r="188" spans="1:53" ht="27" customHeight="1" x14ac:dyDescent="0.25">
      <c r="A188" s="41" t="s">
        <v>317</v>
      </c>
      <c r="B188" s="41" t="s">
        <v>318</v>
      </c>
      <c r="C188" s="42">
        <v>4301051410</v>
      </c>
      <c r="D188" s="74">
        <v>4680115882164</v>
      </c>
      <c r="E188" s="73"/>
      <c r="F188" s="66">
        <v>0.4</v>
      </c>
      <c r="G188" s="43">
        <v>6</v>
      </c>
      <c r="H188" s="66">
        <v>2.4</v>
      </c>
      <c r="I188" s="66">
        <v>2.6779999999999999</v>
      </c>
      <c r="J188" s="43">
        <v>156</v>
      </c>
      <c r="K188" s="43" t="s">
        <v>63</v>
      </c>
      <c r="L188" s="44" t="s">
        <v>128</v>
      </c>
      <c r="M188" s="43">
        <v>40</v>
      </c>
      <c r="N188" s="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72"/>
      <c r="P188" s="72"/>
      <c r="Q188" s="72"/>
      <c r="R188" s="73"/>
      <c r="S188" s="45"/>
      <c r="T188" s="45"/>
      <c r="U188" s="46" t="s">
        <v>65</v>
      </c>
      <c r="V188" s="67">
        <v>0</v>
      </c>
      <c r="W188" s="68">
        <f t="shared" si="8"/>
        <v>0</v>
      </c>
      <c r="X188" s="47" t="str">
        <f t="shared" si="9"/>
        <v/>
      </c>
      <c r="Y188" s="48"/>
      <c r="Z188" s="49"/>
      <c r="AD188" s="50"/>
      <c r="BA188" s="51" t="s">
        <v>1</v>
      </c>
    </row>
    <row r="189" spans="1:53" x14ac:dyDescent="0.2">
      <c r="A189" s="81"/>
      <c r="B189" s="76"/>
      <c r="C189" s="76"/>
      <c r="D189" s="76"/>
      <c r="E189" s="76"/>
      <c r="F189" s="76"/>
      <c r="G189" s="76"/>
      <c r="H189" s="76"/>
      <c r="I189" s="76"/>
      <c r="J189" s="76"/>
      <c r="K189" s="76"/>
      <c r="L189" s="76"/>
      <c r="M189" s="82"/>
      <c r="N189" s="78" t="s">
        <v>66</v>
      </c>
      <c r="O189" s="79"/>
      <c r="P189" s="79"/>
      <c r="Q189" s="79"/>
      <c r="R189" s="79"/>
      <c r="S189" s="79"/>
      <c r="T189" s="80"/>
      <c r="U189" s="52" t="s">
        <v>67</v>
      </c>
      <c r="V189" s="69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0</v>
      </c>
      <c r="W189" s="69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0</v>
      </c>
      <c r="X189" s="69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0</v>
      </c>
      <c r="Y189" s="70"/>
      <c r="Z189" s="70"/>
    </row>
    <row r="190" spans="1:53" x14ac:dyDescent="0.2">
      <c r="A190" s="76"/>
      <c r="B190" s="76"/>
      <c r="C190" s="76"/>
      <c r="D190" s="76"/>
      <c r="E190" s="76"/>
      <c r="F190" s="76"/>
      <c r="G190" s="76"/>
      <c r="H190" s="76"/>
      <c r="I190" s="76"/>
      <c r="J190" s="76"/>
      <c r="K190" s="76"/>
      <c r="L190" s="76"/>
      <c r="M190" s="82"/>
      <c r="N190" s="78" t="s">
        <v>66</v>
      </c>
      <c r="O190" s="79"/>
      <c r="P190" s="79"/>
      <c r="Q190" s="79"/>
      <c r="R190" s="79"/>
      <c r="S190" s="79"/>
      <c r="T190" s="80"/>
      <c r="U190" s="52" t="s">
        <v>65</v>
      </c>
      <c r="V190" s="69">
        <f>IFERROR(SUM(V172:V188),"0")</f>
        <v>0</v>
      </c>
      <c r="W190" s="69">
        <f>IFERROR(SUM(W172:W188),"0")</f>
        <v>0</v>
      </c>
      <c r="X190" s="52"/>
      <c r="Y190" s="70"/>
      <c r="Z190" s="70"/>
    </row>
    <row r="191" spans="1:53" ht="14.25" customHeight="1" x14ac:dyDescent="0.25">
      <c r="A191" s="77" t="s">
        <v>218</v>
      </c>
      <c r="B191" s="76"/>
      <c r="C191" s="76"/>
      <c r="D191" s="76"/>
      <c r="E191" s="76"/>
      <c r="F191" s="76"/>
      <c r="G191" s="76"/>
      <c r="H191" s="76"/>
      <c r="I191" s="76"/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6"/>
      <c r="W191" s="76"/>
      <c r="X191" s="76"/>
      <c r="Y191" s="61"/>
      <c r="Z191" s="61"/>
    </row>
    <row r="192" spans="1:53" ht="16.5" customHeight="1" x14ac:dyDescent="0.25">
      <c r="A192" s="41" t="s">
        <v>319</v>
      </c>
      <c r="B192" s="41" t="s">
        <v>320</v>
      </c>
      <c r="C192" s="42">
        <v>4301060338</v>
      </c>
      <c r="D192" s="74">
        <v>4680115880801</v>
      </c>
      <c r="E192" s="73"/>
      <c r="F192" s="66">
        <v>0.4</v>
      </c>
      <c r="G192" s="43">
        <v>6</v>
      </c>
      <c r="H192" s="66">
        <v>2.4</v>
      </c>
      <c r="I192" s="66">
        <v>2.6720000000000002</v>
      </c>
      <c r="J192" s="43">
        <v>156</v>
      </c>
      <c r="K192" s="43" t="s">
        <v>63</v>
      </c>
      <c r="L192" s="44" t="s">
        <v>64</v>
      </c>
      <c r="M192" s="43">
        <v>40</v>
      </c>
      <c r="N192" s="7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72"/>
      <c r="P192" s="72"/>
      <c r="Q192" s="72"/>
      <c r="R192" s="73"/>
      <c r="S192" s="45"/>
      <c r="T192" s="45"/>
      <c r="U192" s="46" t="s">
        <v>65</v>
      </c>
      <c r="V192" s="67">
        <v>0</v>
      </c>
      <c r="W192" s="68">
        <f>IFERROR(IF(V192="",0,CEILING((V192/$H192),1)*$H192),"")</f>
        <v>0</v>
      </c>
      <c r="X192" s="47" t="str">
        <f>IFERROR(IF(W192=0,"",ROUNDUP(W192/H192,0)*0.00753),"")</f>
        <v/>
      </c>
      <c r="Y192" s="48"/>
      <c r="Z192" s="49"/>
      <c r="AD192" s="50"/>
      <c r="BA192" s="51" t="s">
        <v>1</v>
      </c>
    </row>
    <row r="193" spans="1:53" ht="27" customHeight="1" x14ac:dyDescent="0.25">
      <c r="A193" s="41" t="s">
        <v>321</v>
      </c>
      <c r="B193" s="41" t="s">
        <v>322</v>
      </c>
      <c r="C193" s="42">
        <v>4301060339</v>
      </c>
      <c r="D193" s="74">
        <v>4680115880818</v>
      </c>
      <c r="E193" s="73"/>
      <c r="F193" s="66">
        <v>0.4</v>
      </c>
      <c r="G193" s="43">
        <v>6</v>
      </c>
      <c r="H193" s="66">
        <v>2.4</v>
      </c>
      <c r="I193" s="66">
        <v>2.6720000000000002</v>
      </c>
      <c r="J193" s="43">
        <v>156</v>
      </c>
      <c r="K193" s="43" t="s">
        <v>63</v>
      </c>
      <c r="L193" s="44" t="s">
        <v>64</v>
      </c>
      <c r="M193" s="43">
        <v>40</v>
      </c>
      <c r="N193" s="7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72"/>
      <c r="P193" s="72"/>
      <c r="Q193" s="72"/>
      <c r="R193" s="73"/>
      <c r="S193" s="45"/>
      <c r="T193" s="45"/>
      <c r="U193" s="46" t="s">
        <v>65</v>
      </c>
      <c r="V193" s="67">
        <v>0</v>
      </c>
      <c r="W193" s="68">
        <f>IFERROR(IF(V193="",0,CEILING((V193/$H193),1)*$H193),"")</f>
        <v>0</v>
      </c>
      <c r="X193" s="47" t="str">
        <f>IFERROR(IF(W193=0,"",ROUNDUP(W193/H193,0)*0.00753),"")</f>
        <v/>
      </c>
      <c r="Y193" s="48"/>
      <c r="Z193" s="49"/>
      <c r="AD193" s="50"/>
      <c r="BA193" s="51" t="s">
        <v>1</v>
      </c>
    </row>
    <row r="194" spans="1:53" x14ac:dyDescent="0.2">
      <c r="A194" s="81"/>
      <c r="B194" s="76"/>
      <c r="C194" s="76"/>
      <c r="D194" s="76"/>
      <c r="E194" s="76"/>
      <c r="F194" s="76"/>
      <c r="G194" s="76"/>
      <c r="H194" s="76"/>
      <c r="I194" s="76"/>
      <c r="J194" s="76"/>
      <c r="K194" s="76"/>
      <c r="L194" s="76"/>
      <c r="M194" s="82"/>
      <c r="N194" s="78" t="s">
        <v>66</v>
      </c>
      <c r="O194" s="79"/>
      <c r="P194" s="79"/>
      <c r="Q194" s="79"/>
      <c r="R194" s="79"/>
      <c r="S194" s="79"/>
      <c r="T194" s="80"/>
      <c r="U194" s="52" t="s">
        <v>67</v>
      </c>
      <c r="V194" s="69">
        <f>IFERROR(V192/H192,"0")+IFERROR(V193/H193,"0")</f>
        <v>0</v>
      </c>
      <c r="W194" s="69">
        <f>IFERROR(W192/H192,"0")+IFERROR(W193/H193,"0")</f>
        <v>0</v>
      </c>
      <c r="X194" s="69">
        <f>IFERROR(IF(X192="",0,X192),"0")+IFERROR(IF(X193="",0,X193),"0")</f>
        <v>0</v>
      </c>
      <c r="Y194" s="70"/>
      <c r="Z194" s="70"/>
    </row>
    <row r="195" spans="1:53" x14ac:dyDescent="0.2">
      <c r="A195" s="76"/>
      <c r="B195" s="76"/>
      <c r="C195" s="76"/>
      <c r="D195" s="76"/>
      <c r="E195" s="76"/>
      <c r="F195" s="76"/>
      <c r="G195" s="76"/>
      <c r="H195" s="76"/>
      <c r="I195" s="76"/>
      <c r="J195" s="76"/>
      <c r="K195" s="76"/>
      <c r="L195" s="76"/>
      <c r="M195" s="82"/>
      <c r="N195" s="78" t="s">
        <v>66</v>
      </c>
      <c r="O195" s="79"/>
      <c r="P195" s="79"/>
      <c r="Q195" s="79"/>
      <c r="R195" s="79"/>
      <c r="S195" s="79"/>
      <c r="T195" s="80"/>
      <c r="U195" s="52" t="s">
        <v>65</v>
      </c>
      <c r="V195" s="69">
        <f>IFERROR(SUM(V192:V193),"0")</f>
        <v>0</v>
      </c>
      <c r="W195" s="69">
        <f>IFERROR(SUM(W192:W193),"0")</f>
        <v>0</v>
      </c>
      <c r="X195" s="52"/>
      <c r="Y195" s="70"/>
      <c r="Z195" s="70"/>
    </row>
    <row r="196" spans="1:53" ht="16.5" customHeight="1" x14ac:dyDescent="0.25">
      <c r="A196" s="75" t="s">
        <v>323</v>
      </c>
      <c r="B196" s="76"/>
      <c r="C196" s="76"/>
      <c r="D196" s="76"/>
      <c r="E196" s="76"/>
      <c r="F196" s="76"/>
      <c r="G196" s="76"/>
      <c r="H196" s="76"/>
      <c r="I196" s="76"/>
      <c r="J196" s="76"/>
      <c r="K196" s="76"/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76"/>
      <c r="W196" s="76"/>
      <c r="X196" s="76"/>
      <c r="Y196" s="60"/>
      <c r="Z196" s="60"/>
    </row>
    <row r="197" spans="1:53" ht="14.25" customHeight="1" x14ac:dyDescent="0.25">
      <c r="A197" s="77" t="s">
        <v>103</v>
      </c>
      <c r="B197" s="76"/>
      <c r="C197" s="76"/>
      <c r="D197" s="76"/>
      <c r="E197" s="76"/>
      <c r="F197" s="76"/>
      <c r="G197" s="76"/>
      <c r="H197" s="76"/>
      <c r="I197" s="76"/>
      <c r="J197" s="76"/>
      <c r="K197" s="76"/>
      <c r="L197" s="76"/>
      <c r="M197" s="76"/>
      <c r="N197" s="76"/>
      <c r="O197" s="76"/>
      <c r="P197" s="76"/>
      <c r="Q197" s="76"/>
      <c r="R197" s="76"/>
      <c r="S197" s="76"/>
      <c r="T197" s="76"/>
      <c r="U197" s="76"/>
      <c r="V197" s="76"/>
      <c r="W197" s="76"/>
      <c r="X197" s="76"/>
      <c r="Y197" s="61"/>
      <c r="Z197" s="61"/>
    </row>
    <row r="198" spans="1:53" ht="27" customHeight="1" x14ac:dyDescent="0.25">
      <c r="A198" s="41" t="s">
        <v>324</v>
      </c>
      <c r="B198" s="41" t="s">
        <v>325</v>
      </c>
      <c r="C198" s="42">
        <v>4301011346</v>
      </c>
      <c r="D198" s="74">
        <v>4607091387445</v>
      </c>
      <c r="E198" s="73"/>
      <c r="F198" s="66">
        <v>0.9</v>
      </c>
      <c r="G198" s="43">
        <v>10</v>
      </c>
      <c r="H198" s="66">
        <v>9</v>
      </c>
      <c r="I198" s="66">
        <v>9.6300000000000008</v>
      </c>
      <c r="J198" s="43">
        <v>56</v>
      </c>
      <c r="K198" s="43" t="s">
        <v>98</v>
      </c>
      <c r="L198" s="44" t="s">
        <v>99</v>
      </c>
      <c r="M198" s="43">
        <v>31</v>
      </c>
      <c r="N198" s="7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72"/>
      <c r="P198" s="72"/>
      <c r="Q198" s="72"/>
      <c r="R198" s="73"/>
      <c r="S198" s="45"/>
      <c r="T198" s="45"/>
      <c r="U198" s="46" t="s">
        <v>65</v>
      </c>
      <c r="V198" s="67">
        <v>0</v>
      </c>
      <c r="W198" s="68">
        <f t="shared" ref="W198:W212" si="10">IFERROR(IF(V198="",0,CEILING((V198/$H198),1)*$H198),"")</f>
        <v>0</v>
      </c>
      <c r="X198" s="47" t="str">
        <f>IFERROR(IF(W198=0,"",ROUNDUP(W198/H198,0)*0.02175),"")</f>
        <v/>
      </c>
      <c r="Y198" s="48"/>
      <c r="Z198" s="49"/>
      <c r="AD198" s="50"/>
      <c r="BA198" s="51" t="s">
        <v>1</v>
      </c>
    </row>
    <row r="199" spans="1:53" ht="27" customHeight="1" x14ac:dyDescent="0.25">
      <c r="A199" s="41" t="s">
        <v>326</v>
      </c>
      <c r="B199" s="41" t="s">
        <v>327</v>
      </c>
      <c r="C199" s="42">
        <v>4301011362</v>
      </c>
      <c r="D199" s="74">
        <v>4607091386004</v>
      </c>
      <c r="E199" s="73"/>
      <c r="F199" s="66">
        <v>1.35</v>
      </c>
      <c r="G199" s="43">
        <v>8</v>
      </c>
      <c r="H199" s="66">
        <v>10.8</v>
      </c>
      <c r="I199" s="66">
        <v>11.28</v>
      </c>
      <c r="J199" s="43">
        <v>48</v>
      </c>
      <c r="K199" s="43" t="s">
        <v>98</v>
      </c>
      <c r="L199" s="44" t="s">
        <v>106</v>
      </c>
      <c r="M199" s="43">
        <v>55</v>
      </c>
      <c r="N199" s="7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72"/>
      <c r="P199" s="72"/>
      <c r="Q199" s="72"/>
      <c r="R199" s="73"/>
      <c r="S199" s="45"/>
      <c r="T199" s="45"/>
      <c r="U199" s="46" t="s">
        <v>65</v>
      </c>
      <c r="V199" s="67">
        <v>0</v>
      </c>
      <c r="W199" s="68">
        <f t="shared" si="10"/>
        <v>0</v>
      </c>
      <c r="X199" s="47" t="str">
        <f>IFERROR(IF(W199=0,"",ROUNDUP(W199/H199,0)*0.02039),"")</f>
        <v/>
      </c>
      <c r="Y199" s="48"/>
      <c r="Z199" s="49"/>
      <c r="AD199" s="50"/>
      <c r="BA199" s="51" t="s">
        <v>1</v>
      </c>
    </row>
    <row r="200" spans="1:53" ht="27" customHeight="1" x14ac:dyDescent="0.25">
      <c r="A200" s="41" t="s">
        <v>326</v>
      </c>
      <c r="B200" s="41" t="s">
        <v>328</v>
      </c>
      <c r="C200" s="42">
        <v>4301011308</v>
      </c>
      <c r="D200" s="74">
        <v>4607091386004</v>
      </c>
      <c r="E200" s="73"/>
      <c r="F200" s="66">
        <v>1.35</v>
      </c>
      <c r="G200" s="43">
        <v>8</v>
      </c>
      <c r="H200" s="66">
        <v>10.8</v>
      </c>
      <c r="I200" s="66">
        <v>11.28</v>
      </c>
      <c r="J200" s="43">
        <v>56</v>
      </c>
      <c r="K200" s="43" t="s">
        <v>98</v>
      </c>
      <c r="L200" s="44" t="s">
        <v>99</v>
      </c>
      <c r="M200" s="43">
        <v>55</v>
      </c>
      <c r="N200" s="7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72"/>
      <c r="P200" s="72"/>
      <c r="Q200" s="72"/>
      <c r="R200" s="73"/>
      <c r="S200" s="45"/>
      <c r="T200" s="45"/>
      <c r="U200" s="46" t="s">
        <v>65</v>
      </c>
      <c r="V200" s="67">
        <v>0</v>
      </c>
      <c r="W200" s="68">
        <f t="shared" si="10"/>
        <v>0</v>
      </c>
      <c r="X200" s="47" t="str">
        <f>IFERROR(IF(W200=0,"",ROUNDUP(W200/H200,0)*0.02175),"")</f>
        <v/>
      </c>
      <c r="Y200" s="48"/>
      <c r="Z200" s="49"/>
      <c r="AD200" s="50"/>
      <c r="BA200" s="51" t="s">
        <v>1</v>
      </c>
    </row>
    <row r="201" spans="1:53" ht="27" customHeight="1" x14ac:dyDescent="0.25">
      <c r="A201" s="41" t="s">
        <v>329</v>
      </c>
      <c r="B201" s="41" t="s">
        <v>330</v>
      </c>
      <c r="C201" s="42">
        <v>4301011347</v>
      </c>
      <c r="D201" s="74">
        <v>4607091386073</v>
      </c>
      <c r="E201" s="73"/>
      <c r="F201" s="66">
        <v>0.9</v>
      </c>
      <c r="G201" s="43">
        <v>10</v>
      </c>
      <c r="H201" s="66">
        <v>9</v>
      </c>
      <c r="I201" s="66">
        <v>9.6300000000000008</v>
      </c>
      <c r="J201" s="43">
        <v>56</v>
      </c>
      <c r="K201" s="43" t="s">
        <v>98</v>
      </c>
      <c r="L201" s="44" t="s">
        <v>99</v>
      </c>
      <c r="M201" s="43">
        <v>31</v>
      </c>
      <c r="N201" s="7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72"/>
      <c r="P201" s="72"/>
      <c r="Q201" s="72"/>
      <c r="R201" s="73"/>
      <c r="S201" s="45"/>
      <c r="T201" s="45"/>
      <c r="U201" s="46" t="s">
        <v>65</v>
      </c>
      <c r="V201" s="67">
        <v>0</v>
      </c>
      <c r="W201" s="68">
        <f t="shared" si="10"/>
        <v>0</v>
      </c>
      <c r="X201" s="47" t="str">
        <f>IFERROR(IF(W201=0,"",ROUNDUP(W201/H201,0)*0.02175),"")</f>
        <v/>
      </c>
      <c r="Y201" s="48"/>
      <c r="Z201" s="49"/>
      <c r="AD201" s="50"/>
      <c r="BA201" s="51" t="s">
        <v>1</v>
      </c>
    </row>
    <row r="202" spans="1:53" ht="27" customHeight="1" x14ac:dyDescent="0.25">
      <c r="A202" s="41" t="s">
        <v>331</v>
      </c>
      <c r="B202" s="41" t="s">
        <v>332</v>
      </c>
      <c r="C202" s="42">
        <v>4301011395</v>
      </c>
      <c r="D202" s="74">
        <v>4607091387322</v>
      </c>
      <c r="E202" s="73"/>
      <c r="F202" s="66">
        <v>1.35</v>
      </c>
      <c r="G202" s="43">
        <v>8</v>
      </c>
      <c r="H202" s="66">
        <v>10.8</v>
      </c>
      <c r="I202" s="66">
        <v>11.28</v>
      </c>
      <c r="J202" s="43">
        <v>48</v>
      </c>
      <c r="K202" s="43" t="s">
        <v>98</v>
      </c>
      <c r="L202" s="44" t="s">
        <v>106</v>
      </c>
      <c r="M202" s="43">
        <v>55</v>
      </c>
      <c r="N202" s="7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72"/>
      <c r="P202" s="72"/>
      <c r="Q202" s="72"/>
      <c r="R202" s="73"/>
      <c r="S202" s="45"/>
      <c r="T202" s="45"/>
      <c r="U202" s="46" t="s">
        <v>65</v>
      </c>
      <c r="V202" s="67">
        <v>0</v>
      </c>
      <c r="W202" s="68">
        <f t="shared" si="10"/>
        <v>0</v>
      </c>
      <c r="X202" s="47" t="str">
        <f>IFERROR(IF(W202=0,"",ROUNDUP(W202/H202,0)*0.02039),"")</f>
        <v/>
      </c>
      <c r="Y202" s="48"/>
      <c r="Z202" s="49"/>
      <c r="AD202" s="50"/>
      <c r="BA202" s="51" t="s">
        <v>1</v>
      </c>
    </row>
    <row r="203" spans="1:53" ht="27" customHeight="1" x14ac:dyDescent="0.25">
      <c r="A203" s="41" t="s">
        <v>331</v>
      </c>
      <c r="B203" s="41" t="s">
        <v>333</v>
      </c>
      <c r="C203" s="42">
        <v>4301010928</v>
      </c>
      <c r="D203" s="74">
        <v>4607091387322</v>
      </c>
      <c r="E203" s="73"/>
      <c r="F203" s="66">
        <v>1.35</v>
      </c>
      <c r="G203" s="43">
        <v>8</v>
      </c>
      <c r="H203" s="66">
        <v>10.8</v>
      </c>
      <c r="I203" s="66">
        <v>11.28</v>
      </c>
      <c r="J203" s="43">
        <v>56</v>
      </c>
      <c r="K203" s="43" t="s">
        <v>98</v>
      </c>
      <c r="L203" s="44" t="s">
        <v>99</v>
      </c>
      <c r="M203" s="43">
        <v>55</v>
      </c>
      <c r="N203" s="7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72"/>
      <c r="P203" s="72"/>
      <c r="Q203" s="72"/>
      <c r="R203" s="73"/>
      <c r="S203" s="45"/>
      <c r="T203" s="45"/>
      <c r="U203" s="46" t="s">
        <v>65</v>
      </c>
      <c r="V203" s="67">
        <v>0</v>
      </c>
      <c r="W203" s="68">
        <f t="shared" si="10"/>
        <v>0</v>
      </c>
      <c r="X203" s="47" t="str">
        <f>IFERROR(IF(W203=0,"",ROUNDUP(W203/H203,0)*0.02175),"")</f>
        <v/>
      </c>
      <c r="Y203" s="48"/>
      <c r="Z203" s="49"/>
      <c r="AD203" s="50"/>
      <c r="BA203" s="51" t="s">
        <v>1</v>
      </c>
    </row>
    <row r="204" spans="1:53" ht="27" customHeight="1" x14ac:dyDescent="0.25">
      <c r="A204" s="41" t="s">
        <v>334</v>
      </c>
      <c r="B204" s="41" t="s">
        <v>335</v>
      </c>
      <c r="C204" s="42">
        <v>4301011311</v>
      </c>
      <c r="D204" s="74">
        <v>4607091387377</v>
      </c>
      <c r="E204" s="73"/>
      <c r="F204" s="66">
        <v>1.35</v>
      </c>
      <c r="G204" s="43">
        <v>8</v>
      </c>
      <c r="H204" s="66">
        <v>10.8</v>
      </c>
      <c r="I204" s="66">
        <v>11.28</v>
      </c>
      <c r="J204" s="43">
        <v>56</v>
      </c>
      <c r="K204" s="43" t="s">
        <v>98</v>
      </c>
      <c r="L204" s="44" t="s">
        <v>99</v>
      </c>
      <c r="M204" s="43">
        <v>55</v>
      </c>
      <c r="N204" s="7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72"/>
      <c r="P204" s="72"/>
      <c r="Q204" s="72"/>
      <c r="R204" s="73"/>
      <c r="S204" s="45"/>
      <c r="T204" s="45"/>
      <c r="U204" s="46" t="s">
        <v>65</v>
      </c>
      <c r="V204" s="67">
        <v>0</v>
      </c>
      <c r="W204" s="68">
        <f t="shared" si="10"/>
        <v>0</v>
      </c>
      <c r="X204" s="47" t="str">
        <f>IFERROR(IF(W204=0,"",ROUNDUP(W204/H204,0)*0.02175),"")</f>
        <v/>
      </c>
      <c r="Y204" s="48"/>
      <c r="Z204" s="49"/>
      <c r="AD204" s="50"/>
      <c r="BA204" s="51" t="s">
        <v>1</v>
      </c>
    </row>
    <row r="205" spans="1:53" ht="27" customHeight="1" x14ac:dyDescent="0.25">
      <c r="A205" s="41" t="s">
        <v>336</v>
      </c>
      <c r="B205" s="41" t="s">
        <v>337</v>
      </c>
      <c r="C205" s="42">
        <v>4301010945</v>
      </c>
      <c r="D205" s="74">
        <v>4607091387353</v>
      </c>
      <c r="E205" s="73"/>
      <c r="F205" s="66">
        <v>1.35</v>
      </c>
      <c r="G205" s="43">
        <v>8</v>
      </c>
      <c r="H205" s="66">
        <v>10.8</v>
      </c>
      <c r="I205" s="66">
        <v>11.28</v>
      </c>
      <c r="J205" s="43">
        <v>56</v>
      </c>
      <c r="K205" s="43" t="s">
        <v>98</v>
      </c>
      <c r="L205" s="44" t="s">
        <v>99</v>
      </c>
      <c r="M205" s="43">
        <v>55</v>
      </c>
      <c r="N205" s="7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72"/>
      <c r="P205" s="72"/>
      <c r="Q205" s="72"/>
      <c r="R205" s="73"/>
      <c r="S205" s="45"/>
      <c r="T205" s="45"/>
      <c r="U205" s="46" t="s">
        <v>65</v>
      </c>
      <c r="V205" s="67">
        <v>0</v>
      </c>
      <c r="W205" s="68">
        <f t="shared" si="10"/>
        <v>0</v>
      </c>
      <c r="X205" s="47" t="str">
        <f>IFERROR(IF(W205=0,"",ROUNDUP(W205/H205,0)*0.02175),"")</f>
        <v/>
      </c>
      <c r="Y205" s="48"/>
      <c r="Z205" s="49"/>
      <c r="AD205" s="50"/>
      <c r="BA205" s="51" t="s">
        <v>1</v>
      </c>
    </row>
    <row r="206" spans="1:53" ht="27" customHeight="1" x14ac:dyDescent="0.25">
      <c r="A206" s="41" t="s">
        <v>338</v>
      </c>
      <c r="B206" s="41" t="s">
        <v>339</v>
      </c>
      <c r="C206" s="42">
        <v>4301011328</v>
      </c>
      <c r="D206" s="74">
        <v>4607091386011</v>
      </c>
      <c r="E206" s="73"/>
      <c r="F206" s="66">
        <v>0.5</v>
      </c>
      <c r="G206" s="43">
        <v>10</v>
      </c>
      <c r="H206" s="66">
        <v>5</v>
      </c>
      <c r="I206" s="66">
        <v>5.21</v>
      </c>
      <c r="J206" s="43">
        <v>120</v>
      </c>
      <c r="K206" s="43" t="s">
        <v>63</v>
      </c>
      <c r="L206" s="44" t="s">
        <v>64</v>
      </c>
      <c r="M206" s="43">
        <v>55</v>
      </c>
      <c r="N206" s="7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72"/>
      <c r="P206" s="72"/>
      <c r="Q206" s="72"/>
      <c r="R206" s="73"/>
      <c r="S206" s="45"/>
      <c r="T206" s="45"/>
      <c r="U206" s="46" t="s">
        <v>65</v>
      </c>
      <c r="V206" s="67">
        <v>0</v>
      </c>
      <c r="W206" s="68">
        <f t="shared" si="10"/>
        <v>0</v>
      </c>
      <c r="X206" s="47" t="str">
        <f t="shared" ref="X206:X212" si="11">IFERROR(IF(W206=0,"",ROUNDUP(W206/H206,0)*0.00937),"")</f>
        <v/>
      </c>
      <c r="Y206" s="48"/>
      <c r="Z206" s="49"/>
      <c r="AD206" s="50"/>
      <c r="BA206" s="51" t="s">
        <v>1</v>
      </c>
    </row>
    <row r="207" spans="1:53" ht="27" customHeight="1" x14ac:dyDescent="0.25">
      <c r="A207" s="41" t="s">
        <v>340</v>
      </c>
      <c r="B207" s="41" t="s">
        <v>341</v>
      </c>
      <c r="C207" s="42">
        <v>4301011329</v>
      </c>
      <c r="D207" s="74">
        <v>4607091387308</v>
      </c>
      <c r="E207" s="73"/>
      <c r="F207" s="66">
        <v>0.5</v>
      </c>
      <c r="G207" s="43">
        <v>10</v>
      </c>
      <c r="H207" s="66">
        <v>5</v>
      </c>
      <c r="I207" s="66">
        <v>5.21</v>
      </c>
      <c r="J207" s="43">
        <v>120</v>
      </c>
      <c r="K207" s="43" t="s">
        <v>63</v>
      </c>
      <c r="L207" s="44" t="s">
        <v>64</v>
      </c>
      <c r="M207" s="43">
        <v>55</v>
      </c>
      <c r="N207" s="7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72"/>
      <c r="P207" s="72"/>
      <c r="Q207" s="72"/>
      <c r="R207" s="73"/>
      <c r="S207" s="45"/>
      <c r="T207" s="45"/>
      <c r="U207" s="46" t="s">
        <v>65</v>
      </c>
      <c r="V207" s="67">
        <v>0</v>
      </c>
      <c r="W207" s="68">
        <f t="shared" si="10"/>
        <v>0</v>
      </c>
      <c r="X207" s="47" t="str">
        <f t="shared" si="11"/>
        <v/>
      </c>
      <c r="Y207" s="48"/>
      <c r="Z207" s="49"/>
      <c r="AD207" s="50"/>
      <c r="BA207" s="51" t="s">
        <v>1</v>
      </c>
    </row>
    <row r="208" spans="1:53" ht="27" customHeight="1" x14ac:dyDescent="0.25">
      <c r="A208" s="41" t="s">
        <v>342</v>
      </c>
      <c r="B208" s="41" t="s">
        <v>343</v>
      </c>
      <c r="C208" s="42">
        <v>4301011049</v>
      </c>
      <c r="D208" s="74">
        <v>4607091387339</v>
      </c>
      <c r="E208" s="73"/>
      <c r="F208" s="66">
        <v>0.5</v>
      </c>
      <c r="G208" s="43">
        <v>10</v>
      </c>
      <c r="H208" s="66">
        <v>5</v>
      </c>
      <c r="I208" s="66">
        <v>5.24</v>
      </c>
      <c r="J208" s="43">
        <v>120</v>
      </c>
      <c r="K208" s="43" t="s">
        <v>63</v>
      </c>
      <c r="L208" s="44" t="s">
        <v>99</v>
      </c>
      <c r="M208" s="43">
        <v>55</v>
      </c>
      <c r="N208" s="7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72"/>
      <c r="P208" s="72"/>
      <c r="Q208" s="72"/>
      <c r="R208" s="73"/>
      <c r="S208" s="45"/>
      <c r="T208" s="45"/>
      <c r="U208" s="46" t="s">
        <v>65</v>
      </c>
      <c r="V208" s="67">
        <v>0</v>
      </c>
      <c r="W208" s="68">
        <f t="shared" si="10"/>
        <v>0</v>
      </c>
      <c r="X208" s="47" t="str">
        <f t="shared" si="11"/>
        <v/>
      </c>
      <c r="Y208" s="48"/>
      <c r="Z208" s="49"/>
      <c r="AD208" s="50"/>
      <c r="BA208" s="51" t="s">
        <v>1</v>
      </c>
    </row>
    <row r="209" spans="1:53" ht="27" customHeight="1" x14ac:dyDescent="0.25">
      <c r="A209" s="41" t="s">
        <v>344</v>
      </c>
      <c r="B209" s="41" t="s">
        <v>345</v>
      </c>
      <c r="C209" s="42">
        <v>4301011433</v>
      </c>
      <c r="D209" s="74">
        <v>4680115882638</v>
      </c>
      <c r="E209" s="73"/>
      <c r="F209" s="66">
        <v>0.4</v>
      </c>
      <c r="G209" s="43">
        <v>10</v>
      </c>
      <c r="H209" s="66">
        <v>4</v>
      </c>
      <c r="I209" s="66">
        <v>4.24</v>
      </c>
      <c r="J209" s="43">
        <v>120</v>
      </c>
      <c r="K209" s="43" t="s">
        <v>63</v>
      </c>
      <c r="L209" s="44" t="s">
        <v>99</v>
      </c>
      <c r="M209" s="43">
        <v>90</v>
      </c>
      <c r="N209" s="7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72"/>
      <c r="P209" s="72"/>
      <c r="Q209" s="72"/>
      <c r="R209" s="73"/>
      <c r="S209" s="45"/>
      <c r="T209" s="45"/>
      <c r="U209" s="46" t="s">
        <v>65</v>
      </c>
      <c r="V209" s="67">
        <v>0</v>
      </c>
      <c r="W209" s="68">
        <f t="shared" si="10"/>
        <v>0</v>
      </c>
      <c r="X209" s="47" t="str">
        <f t="shared" si="11"/>
        <v/>
      </c>
      <c r="Y209" s="48"/>
      <c r="Z209" s="49"/>
      <c r="AD209" s="50"/>
      <c r="BA209" s="51" t="s">
        <v>1</v>
      </c>
    </row>
    <row r="210" spans="1:53" ht="27" customHeight="1" x14ac:dyDescent="0.25">
      <c r="A210" s="41" t="s">
        <v>346</v>
      </c>
      <c r="B210" s="41" t="s">
        <v>347</v>
      </c>
      <c r="C210" s="42">
        <v>4301011573</v>
      </c>
      <c r="D210" s="74">
        <v>4680115881938</v>
      </c>
      <c r="E210" s="73"/>
      <c r="F210" s="66">
        <v>0.4</v>
      </c>
      <c r="G210" s="43">
        <v>10</v>
      </c>
      <c r="H210" s="66">
        <v>4</v>
      </c>
      <c r="I210" s="66">
        <v>4.24</v>
      </c>
      <c r="J210" s="43">
        <v>120</v>
      </c>
      <c r="K210" s="43" t="s">
        <v>63</v>
      </c>
      <c r="L210" s="44" t="s">
        <v>99</v>
      </c>
      <c r="M210" s="43">
        <v>90</v>
      </c>
      <c r="N210" s="7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72"/>
      <c r="P210" s="72"/>
      <c r="Q210" s="72"/>
      <c r="R210" s="73"/>
      <c r="S210" s="45"/>
      <c r="T210" s="45"/>
      <c r="U210" s="46" t="s">
        <v>65</v>
      </c>
      <c r="V210" s="67">
        <v>0</v>
      </c>
      <c r="W210" s="68">
        <f t="shared" si="10"/>
        <v>0</v>
      </c>
      <c r="X210" s="47" t="str">
        <f t="shared" si="11"/>
        <v/>
      </c>
      <c r="Y210" s="48"/>
      <c r="Z210" s="49"/>
      <c r="AD210" s="50"/>
      <c r="BA210" s="51" t="s">
        <v>1</v>
      </c>
    </row>
    <row r="211" spans="1:53" ht="27" customHeight="1" x14ac:dyDescent="0.25">
      <c r="A211" s="41" t="s">
        <v>348</v>
      </c>
      <c r="B211" s="41" t="s">
        <v>349</v>
      </c>
      <c r="C211" s="42">
        <v>4301010944</v>
      </c>
      <c r="D211" s="74">
        <v>4607091387346</v>
      </c>
      <c r="E211" s="73"/>
      <c r="F211" s="66">
        <v>0.4</v>
      </c>
      <c r="G211" s="43">
        <v>10</v>
      </c>
      <c r="H211" s="66">
        <v>4</v>
      </c>
      <c r="I211" s="66">
        <v>4.24</v>
      </c>
      <c r="J211" s="43">
        <v>120</v>
      </c>
      <c r="K211" s="43" t="s">
        <v>63</v>
      </c>
      <c r="L211" s="44" t="s">
        <v>99</v>
      </c>
      <c r="M211" s="43">
        <v>55</v>
      </c>
      <c r="N211" s="7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72"/>
      <c r="P211" s="72"/>
      <c r="Q211" s="72"/>
      <c r="R211" s="73"/>
      <c r="S211" s="45"/>
      <c r="T211" s="45"/>
      <c r="U211" s="46" t="s">
        <v>65</v>
      </c>
      <c r="V211" s="67">
        <v>0</v>
      </c>
      <c r="W211" s="68">
        <f t="shared" si="10"/>
        <v>0</v>
      </c>
      <c r="X211" s="47" t="str">
        <f t="shared" si="11"/>
        <v/>
      </c>
      <c r="Y211" s="48"/>
      <c r="Z211" s="49"/>
      <c r="AD211" s="50"/>
      <c r="BA211" s="51" t="s">
        <v>1</v>
      </c>
    </row>
    <row r="212" spans="1:53" ht="27" customHeight="1" x14ac:dyDescent="0.25">
      <c r="A212" s="41" t="s">
        <v>350</v>
      </c>
      <c r="B212" s="41" t="s">
        <v>351</v>
      </c>
      <c r="C212" s="42">
        <v>4301011353</v>
      </c>
      <c r="D212" s="74">
        <v>4607091389807</v>
      </c>
      <c r="E212" s="73"/>
      <c r="F212" s="66">
        <v>0.4</v>
      </c>
      <c r="G212" s="43">
        <v>10</v>
      </c>
      <c r="H212" s="66">
        <v>4</v>
      </c>
      <c r="I212" s="66">
        <v>4.24</v>
      </c>
      <c r="J212" s="43">
        <v>120</v>
      </c>
      <c r="K212" s="43" t="s">
        <v>63</v>
      </c>
      <c r="L212" s="44" t="s">
        <v>99</v>
      </c>
      <c r="M212" s="43">
        <v>55</v>
      </c>
      <c r="N212" s="7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72"/>
      <c r="P212" s="72"/>
      <c r="Q212" s="72"/>
      <c r="R212" s="73"/>
      <c r="S212" s="45"/>
      <c r="T212" s="45"/>
      <c r="U212" s="46" t="s">
        <v>65</v>
      </c>
      <c r="V212" s="67">
        <v>0</v>
      </c>
      <c r="W212" s="68">
        <f t="shared" si="10"/>
        <v>0</v>
      </c>
      <c r="X212" s="47" t="str">
        <f t="shared" si="11"/>
        <v/>
      </c>
      <c r="Y212" s="48"/>
      <c r="Z212" s="49"/>
      <c r="AD212" s="50"/>
      <c r="BA212" s="51" t="s">
        <v>1</v>
      </c>
    </row>
    <row r="213" spans="1:53" x14ac:dyDescent="0.2">
      <c r="A213" s="81"/>
      <c r="B213" s="76"/>
      <c r="C213" s="76"/>
      <c r="D213" s="76"/>
      <c r="E213" s="76"/>
      <c r="F213" s="76"/>
      <c r="G213" s="76"/>
      <c r="H213" s="76"/>
      <c r="I213" s="76"/>
      <c r="J213" s="76"/>
      <c r="K213" s="76"/>
      <c r="L213" s="76"/>
      <c r="M213" s="82"/>
      <c r="N213" s="78" t="s">
        <v>66</v>
      </c>
      <c r="O213" s="79"/>
      <c r="P213" s="79"/>
      <c r="Q213" s="79"/>
      <c r="R213" s="79"/>
      <c r="S213" s="79"/>
      <c r="T213" s="80"/>
      <c r="U213" s="52" t="s">
        <v>67</v>
      </c>
      <c r="V213" s="69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69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69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70"/>
      <c r="Z213" s="70"/>
    </row>
    <row r="214" spans="1:53" x14ac:dyDescent="0.2">
      <c r="A214" s="76"/>
      <c r="B214" s="76"/>
      <c r="C214" s="76"/>
      <c r="D214" s="76"/>
      <c r="E214" s="76"/>
      <c r="F214" s="76"/>
      <c r="G214" s="76"/>
      <c r="H214" s="76"/>
      <c r="I214" s="76"/>
      <c r="J214" s="76"/>
      <c r="K214" s="76"/>
      <c r="L214" s="76"/>
      <c r="M214" s="82"/>
      <c r="N214" s="78" t="s">
        <v>66</v>
      </c>
      <c r="O214" s="79"/>
      <c r="P214" s="79"/>
      <c r="Q214" s="79"/>
      <c r="R214" s="79"/>
      <c r="S214" s="79"/>
      <c r="T214" s="80"/>
      <c r="U214" s="52" t="s">
        <v>65</v>
      </c>
      <c r="V214" s="69">
        <f>IFERROR(SUM(V198:V212),"0")</f>
        <v>0</v>
      </c>
      <c r="W214" s="69">
        <f>IFERROR(SUM(W198:W212),"0")</f>
        <v>0</v>
      </c>
      <c r="X214" s="52"/>
      <c r="Y214" s="70"/>
      <c r="Z214" s="70"/>
    </row>
    <row r="215" spans="1:53" ht="14.25" customHeight="1" x14ac:dyDescent="0.25">
      <c r="A215" s="77" t="s">
        <v>95</v>
      </c>
      <c r="B215" s="76"/>
      <c r="C215" s="76"/>
      <c r="D215" s="76"/>
      <c r="E215" s="76"/>
      <c r="F215" s="76"/>
      <c r="G215" s="76"/>
      <c r="H215" s="76"/>
      <c r="I215" s="76"/>
      <c r="J215" s="76"/>
      <c r="K215" s="76"/>
      <c r="L215" s="76"/>
      <c r="M215" s="76"/>
      <c r="N215" s="76"/>
      <c r="O215" s="76"/>
      <c r="P215" s="76"/>
      <c r="Q215" s="76"/>
      <c r="R215" s="76"/>
      <c r="S215" s="76"/>
      <c r="T215" s="76"/>
      <c r="U215" s="76"/>
      <c r="V215" s="76"/>
      <c r="W215" s="76"/>
      <c r="X215" s="76"/>
      <c r="Y215" s="61"/>
      <c r="Z215" s="61"/>
    </row>
    <row r="216" spans="1:53" ht="27" customHeight="1" x14ac:dyDescent="0.25">
      <c r="A216" s="41" t="s">
        <v>352</v>
      </c>
      <c r="B216" s="41" t="s">
        <v>353</v>
      </c>
      <c r="C216" s="42">
        <v>4301020254</v>
      </c>
      <c r="D216" s="74">
        <v>4680115881914</v>
      </c>
      <c r="E216" s="73"/>
      <c r="F216" s="66">
        <v>0.4</v>
      </c>
      <c r="G216" s="43">
        <v>10</v>
      </c>
      <c r="H216" s="66">
        <v>4</v>
      </c>
      <c r="I216" s="66">
        <v>4.24</v>
      </c>
      <c r="J216" s="43">
        <v>120</v>
      </c>
      <c r="K216" s="43" t="s">
        <v>63</v>
      </c>
      <c r="L216" s="44" t="s">
        <v>99</v>
      </c>
      <c r="M216" s="43">
        <v>90</v>
      </c>
      <c r="N216" s="7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72"/>
      <c r="P216" s="72"/>
      <c r="Q216" s="72"/>
      <c r="R216" s="73"/>
      <c r="S216" s="45"/>
      <c r="T216" s="45"/>
      <c r="U216" s="46" t="s">
        <v>65</v>
      </c>
      <c r="V216" s="67">
        <v>0</v>
      </c>
      <c r="W216" s="68">
        <f>IFERROR(IF(V216="",0,CEILING((V216/$H216),1)*$H216),"")</f>
        <v>0</v>
      </c>
      <c r="X216" s="47" t="str">
        <f>IFERROR(IF(W216=0,"",ROUNDUP(W216/H216,0)*0.00937),"")</f>
        <v/>
      </c>
      <c r="Y216" s="48"/>
      <c r="Z216" s="49"/>
      <c r="AD216" s="50"/>
      <c r="BA216" s="51" t="s">
        <v>1</v>
      </c>
    </row>
    <row r="217" spans="1:53" x14ac:dyDescent="0.2">
      <c r="A217" s="81"/>
      <c r="B217" s="76"/>
      <c r="C217" s="76"/>
      <c r="D217" s="76"/>
      <c r="E217" s="76"/>
      <c r="F217" s="76"/>
      <c r="G217" s="76"/>
      <c r="H217" s="76"/>
      <c r="I217" s="76"/>
      <c r="J217" s="76"/>
      <c r="K217" s="76"/>
      <c r="L217" s="76"/>
      <c r="M217" s="82"/>
      <c r="N217" s="78" t="s">
        <v>66</v>
      </c>
      <c r="O217" s="79"/>
      <c r="P217" s="79"/>
      <c r="Q217" s="79"/>
      <c r="R217" s="79"/>
      <c r="S217" s="79"/>
      <c r="T217" s="80"/>
      <c r="U217" s="52" t="s">
        <v>67</v>
      </c>
      <c r="V217" s="69">
        <f>IFERROR(V216/H216,"0")</f>
        <v>0</v>
      </c>
      <c r="W217" s="69">
        <f>IFERROR(W216/H216,"0")</f>
        <v>0</v>
      </c>
      <c r="X217" s="69">
        <f>IFERROR(IF(X216="",0,X216),"0")</f>
        <v>0</v>
      </c>
      <c r="Y217" s="70"/>
      <c r="Z217" s="70"/>
    </row>
    <row r="218" spans="1:53" x14ac:dyDescent="0.2">
      <c r="A218" s="76"/>
      <c r="B218" s="76"/>
      <c r="C218" s="76"/>
      <c r="D218" s="76"/>
      <c r="E218" s="76"/>
      <c r="F218" s="76"/>
      <c r="G218" s="76"/>
      <c r="H218" s="76"/>
      <c r="I218" s="76"/>
      <c r="J218" s="76"/>
      <c r="K218" s="76"/>
      <c r="L218" s="76"/>
      <c r="M218" s="82"/>
      <c r="N218" s="78" t="s">
        <v>66</v>
      </c>
      <c r="O218" s="79"/>
      <c r="P218" s="79"/>
      <c r="Q218" s="79"/>
      <c r="R218" s="79"/>
      <c r="S218" s="79"/>
      <c r="T218" s="80"/>
      <c r="U218" s="52" t="s">
        <v>65</v>
      </c>
      <c r="V218" s="69">
        <f>IFERROR(SUM(V216:V216),"0")</f>
        <v>0</v>
      </c>
      <c r="W218" s="69">
        <f>IFERROR(SUM(W216:W216),"0")</f>
        <v>0</v>
      </c>
      <c r="X218" s="52"/>
      <c r="Y218" s="70"/>
      <c r="Z218" s="70"/>
    </row>
    <row r="219" spans="1:53" ht="14.25" customHeight="1" x14ac:dyDescent="0.25">
      <c r="A219" s="77" t="s">
        <v>60</v>
      </c>
      <c r="B219" s="76"/>
      <c r="C219" s="76"/>
      <c r="D219" s="76"/>
      <c r="E219" s="76"/>
      <c r="F219" s="76"/>
      <c r="G219" s="76"/>
      <c r="H219" s="76"/>
      <c r="I219" s="76"/>
      <c r="J219" s="76"/>
      <c r="K219" s="76"/>
      <c r="L219" s="76"/>
      <c r="M219" s="76"/>
      <c r="N219" s="76"/>
      <c r="O219" s="76"/>
      <c r="P219" s="76"/>
      <c r="Q219" s="76"/>
      <c r="R219" s="76"/>
      <c r="S219" s="76"/>
      <c r="T219" s="76"/>
      <c r="U219" s="76"/>
      <c r="V219" s="76"/>
      <c r="W219" s="76"/>
      <c r="X219" s="76"/>
      <c r="Y219" s="61"/>
      <c r="Z219" s="61"/>
    </row>
    <row r="220" spans="1:53" ht="27" customHeight="1" x14ac:dyDescent="0.25">
      <c r="A220" s="41" t="s">
        <v>354</v>
      </c>
      <c r="B220" s="41" t="s">
        <v>355</v>
      </c>
      <c r="C220" s="42">
        <v>4301030878</v>
      </c>
      <c r="D220" s="74">
        <v>4607091387193</v>
      </c>
      <c r="E220" s="73"/>
      <c r="F220" s="66">
        <v>0.7</v>
      </c>
      <c r="G220" s="43">
        <v>6</v>
      </c>
      <c r="H220" s="66">
        <v>4.2</v>
      </c>
      <c r="I220" s="66">
        <v>4.46</v>
      </c>
      <c r="J220" s="43">
        <v>156</v>
      </c>
      <c r="K220" s="43" t="s">
        <v>63</v>
      </c>
      <c r="L220" s="44" t="s">
        <v>64</v>
      </c>
      <c r="M220" s="43">
        <v>35</v>
      </c>
      <c r="N220" s="7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72"/>
      <c r="P220" s="72"/>
      <c r="Q220" s="72"/>
      <c r="R220" s="73"/>
      <c r="S220" s="45"/>
      <c r="T220" s="45"/>
      <c r="U220" s="46" t="s">
        <v>65</v>
      </c>
      <c r="V220" s="67">
        <v>0</v>
      </c>
      <c r="W220" s="68">
        <f>IFERROR(IF(V220="",0,CEILING((V220/$H220),1)*$H220),"")</f>
        <v>0</v>
      </c>
      <c r="X220" s="47" t="str">
        <f>IFERROR(IF(W220=0,"",ROUNDUP(W220/H220,0)*0.00753),"")</f>
        <v/>
      </c>
      <c r="Y220" s="48"/>
      <c r="Z220" s="49"/>
      <c r="AD220" s="50"/>
      <c r="BA220" s="51" t="s">
        <v>1</v>
      </c>
    </row>
    <row r="221" spans="1:53" ht="27" customHeight="1" x14ac:dyDescent="0.25">
      <c r="A221" s="41" t="s">
        <v>356</v>
      </c>
      <c r="B221" s="41" t="s">
        <v>357</v>
      </c>
      <c r="C221" s="42">
        <v>4301031153</v>
      </c>
      <c r="D221" s="74">
        <v>4607091387230</v>
      </c>
      <c r="E221" s="73"/>
      <c r="F221" s="66">
        <v>0.7</v>
      </c>
      <c r="G221" s="43">
        <v>6</v>
      </c>
      <c r="H221" s="66">
        <v>4.2</v>
      </c>
      <c r="I221" s="66">
        <v>4.46</v>
      </c>
      <c r="J221" s="43">
        <v>156</v>
      </c>
      <c r="K221" s="43" t="s">
        <v>63</v>
      </c>
      <c r="L221" s="44" t="s">
        <v>64</v>
      </c>
      <c r="M221" s="43">
        <v>40</v>
      </c>
      <c r="N221" s="7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72"/>
      <c r="P221" s="72"/>
      <c r="Q221" s="72"/>
      <c r="R221" s="73"/>
      <c r="S221" s="45"/>
      <c r="T221" s="45"/>
      <c r="U221" s="46" t="s">
        <v>65</v>
      </c>
      <c r="V221" s="67">
        <v>0</v>
      </c>
      <c r="W221" s="68">
        <f>IFERROR(IF(V221="",0,CEILING((V221/$H221),1)*$H221),"")</f>
        <v>0</v>
      </c>
      <c r="X221" s="47" t="str">
        <f>IFERROR(IF(W221=0,"",ROUNDUP(W221/H221,0)*0.00753),"")</f>
        <v/>
      </c>
      <c r="Y221" s="48"/>
      <c r="Z221" s="49"/>
      <c r="AD221" s="50"/>
      <c r="BA221" s="51" t="s">
        <v>1</v>
      </c>
    </row>
    <row r="222" spans="1:53" ht="27" customHeight="1" x14ac:dyDescent="0.25">
      <c r="A222" s="41" t="s">
        <v>358</v>
      </c>
      <c r="B222" s="41" t="s">
        <v>359</v>
      </c>
      <c r="C222" s="42">
        <v>4301031152</v>
      </c>
      <c r="D222" s="74">
        <v>4607091387285</v>
      </c>
      <c r="E222" s="73"/>
      <c r="F222" s="66">
        <v>0.35</v>
      </c>
      <c r="G222" s="43">
        <v>6</v>
      </c>
      <c r="H222" s="66">
        <v>2.1</v>
      </c>
      <c r="I222" s="66">
        <v>2.23</v>
      </c>
      <c r="J222" s="43">
        <v>234</v>
      </c>
      <c r="K222" s="43" t="s">
        <v>166</v>
      </c>
      <c r="L222" s="44" t="s">
        <v>64</v>
      </c>
      <c r="M222" s="43">
        <v>40</v>
      </c>
      <c r="N222" s="7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72"/>
      <c r="P222" s="72"/>
      <c r="Q222" s="72"/>
      <c r="R222" s="73"/>
      <c r="S222" s="45"/>
      <c r="T222" s="45"/>
      <c r="U222" s="46" t="s">
        <v>65</v>
      </c>
      <c r="V222" s="67">
        <v>0</v>
      </c>
      <c r="W222" s="68">
        <f>IFERROR(IF(V222="",0,CEILING((V222/$H222),1)*$H222),"")</f>
        <v>0</v>
      </c>
      <c r="X222" s="47" t="str">
        <f>IFERROR(IF(W222=0,"",ROUNDUP(W222/H222,0)*0.00502),"")</f>
        <v/>
      </c>
      <c r="Y222" s="48"/>
      <c r="Z222" s="49"/>
      <c r="AD222" s="50"/>
      <c r="BA222" s="51" t="s">
        <v>1</v>
      </c>
    </row>
    <row r="223" spans="1:53" ht="27" customHeight="1" x14ac:dyDescent="0.25">
      <c r="A223" s="41" t="s">
        <v>360</v>
      </c>
      <c r="B223" s="41" t="s">
        <v>361</v>
      </c>
      <c r="C223" s="42">
        <v>4301031151</v>
      </c>
      <c r="D223" s="74">
        <v>4607091389845</v>
      </c>
      <c r="E223" s="73"/>
      <c r="F223" s="66">
        <v>0.35</v>
      </c>
      <c r="G223" s="43">
        <v>6</v>
      </c>
      <c r="H223" s="66">
        <v>2.1</v>
      </c>
      <c r="I223" s="66">
        <v>2.2000000000000002</v>
      </c>
      <c r="J223" s="43">
        <v>234</v>
      </c>
      <c r="K223" s="43" t="s">
        <v>166</v>
      </c>
      <c r="L223" s="44" t="s">
        <v>64</v>
      </c>
      <c r="M223" s="43">
        <v>40</v>
      </c>
      <c r="N223" s="7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72"/>
      <c r="P223" s="72"/>
      <c r="Q223" s="72"/>
      <c r="R223" s="73"/>
      <c r="S223" s="45"/>
      <c r="T223" s="45"/>
      <c r="U223" s="46" t="s">
        <v>65</v>
      </c>
      <c r="V223" s="67">
        <v>0</v>
      </c>
      <c r="W223" s="68">
        <f>IFERROR(IF(V223="",0,CEILING((V223/$H223),1)*$H223),"")</f>
        <v>0</v>
      </c>
      <c r="X223" s="47" t="str">
        <f>IFERROR(IF(W223=0,"",ROUNDUP(W223/H223,0)*0.00502),"")</f>
        <v/>
      </c>
      <c r="Y223" s="48"/>
      <c r="Z223" s="49"/>
      <c r="AD223" s="50"/>
      <c r="BA223" s="51" t="s">
        <v>1</v>
      </c>
    </row>
    <row r="224" spans="1:53" x14ac:dyDescent="0.2">
      <c r="A224" s="81"/>
      <c r="B224" s="76"/>
      <c r="C224" s="76"/>
      <c r="D224" s="76"/>
      <c r="E224" s="76"/>
      <c r="F224" s="76"/>
      <c r="G224" s="76"/>
      <c r="H224" s="76"/>
      <c r="I224" s="76"/>
      <c r="J224" s="76"/>
      <c r="K224" s="76"/>
      <c r="L224" s="76"/>
      <c r="M224" s="82"/>
      <c r="N224" s="78" t="s">
        <v>66</v>
      </c>
      <c r="O224" s="79"/>
      <c r="P224" s="79"/>
      <c r="Q224" s="79"/>
      <c r="R224" s="79"/>
      <c r="S224" s="79"/>
      <c r="T224" s="80"/>
      <c r="U224" s="52" t="s">
        <v>67</v>
      </c>
      <c r="V224" s="69">
        <f>IFERROR(V220/H220,"0")+IFERROR(V221/H221,"0")+IFERROR(V222/H222,"0")+IFERROR(V223/H223,"0")</f>
        <v>0</v>
      </c>
      <c r="W224" s="69">
        <f>IFERROR(W220/H220,"0")+IFERROR(W221/H221,"0")+IFERROR(W222/H222,"0")+IFERROR(W223/H223,"0")</f>
        <v>0</v>
      </c>
      <c r="X224" s="69">
        <f>IFERROR(IF(X220="",0,X220),"0")+IFERROR(IF(X221="",0,X221),"0")+IFERROR(IF(X222="",0,X222),"0")+IFERROR(IF(X223="",0,X223),"0")</f>
        <v>0</v>
      </c>
      <c r="Y224" s="70"/>
      <c r="Z224" s="70"/>
    </row>
    <row r="225" spans="1:53" x14ac:dyDescent="0.2">
      <c r="A225" s="76"/>
      <c r="B225" s="76"/>
      <c r="C225" s="76"/>
      <c r="D225" s="76"/>
      <c r="E225" s="76"/>
      <c r="F225" s="76"/>
      <c r="G225" s="76"/>
      <c r="H225" s="76"/>
      <c r="I225" s="76"/>
      <c r="J225" s="76"/>
      <c r="K225" s="76"/>
      <c r="L225" s="76"/>
      <c r="M225" s="82"/>
      <c r="N225" s="78" t="s">
        <v>66</v>
      </c>
      <c r="O225" s="79"/>
      <c r="P225" s="79"/>
      <c r="Q225" s="79"/>
      <c r="R225" s="79"/>
      <c r="S225" s="79"/>
      <c r="T225" s="80"/>
      <c r="U225" s="52" t="s">
        <v>65</v>
      </c>
      <c r="V225" s="69">
        <f>IFERROR(SUM(V220:V223),"0")</f>
        <v>0</v>
      </c>
      <c r="W225" s="69">
        <f>IFERROR(SUM(W220:W223),"0")</f>
        <v>0</v>
      </c>
      <c r="X225" s="52"/>
      <c r="Y225" s="70"/>
      <c r="Z225" s="70"/>
    </row>
    <row r="226" spans="1:53" ht="14.25" customHeight="1" x14ac:dyDescent="0.25">
      <c r="A226" s="77" t="s">
        <v>68</v>
      </c>
      <c r="B226" s="76"/>
      <c r="C226" s="76"/>
      <c r="D226" s="76"/>
      <c r="E226" s="76"/>
      <c r="F226" s="76"/>
      <c r="G226" s="76"/>
      <c r="H226" s="76"/>
      <c r="I226" s="76"/>
      <c r="J226" s="76"/>
      <c r="K226" s="76"/>
      <c r="L226" s="76"/>
      <c r="M226" s="76"/>
      <c r="N226" s="76"/>
      <c r="O226" s="76"/>
      <c r="P226" s="76"/>
      <c r="Q226" s="76"/>
      <c r="R226" s="76"/>
      <c r="S226" s="76"/>
      <c r="T226" s="76"/>
      <c r="U226" s="76"/>
      <c r="V226" s="76"/>
      <c r="W226" s="76"/>
      <c r="X226" s="76"/>
      <c r="Y226" s="61"/>
      <c r="Z226" s="61"/>
    </row>
    <row r="227" spans="1:53" ht="16.5" customHeight="1" x14ac:dyDescent="0.25">
      <c r="A227" s="41" t="s">
        <v>362</v>
      </c>
      <c r="B227" s="41" t="s">
        <v>363</v>
      </c>
      <c r="C227" s="42">
        <v>4301051100</v>
      </c>
      <c r="D227" s="74">
        <v>4607091387766</v>
      </c>
      <c r="E227" s="73"/>
      <c r="F227" s="66">
        <v>1.35</v>
      </c>
      <c r="G227" s="43">
        <v>6</v>
      </c>
      <c r="H227" s="66">
        <v>8.1</v>
      </c>
      <c r="I227" s="66">
        <v>8.6579999999999995</v>
      </c>
      <c r="J227" s="43">
        <v>56</v>
      </c>
      <c r="K227" s="43" t="s">
        <v>98</v>
      </c>
      <c r="L227" s="44" t="s">
        <v>128</v>
      </c>
      <c r="M227" s="43">
        <v>40</v>
      </c>
      <c r="N227" s="7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72"/>
      <c r="P227" s="72"/>
      <c r="Q227" s="72"/>
      <c r="R227" s="73"/>
      <c r="S227" s="45"/>
      <c r="T227" s="45"/>
      <c r="U227" s="46" t="s">
        <v>65</v>
      </c>
      <c r="V227" s="67">
        <v>0</v>
      </c>
      <c r="W227" s="68">
        <f t="shared" ref="W227:W234" si="12">IFERROR(IF(V227="",0,CEILING((V227/$H227),1)*$H227),"")</f>
        <v>0</v>
      </c>
      <c r="X227" s="47" t="str">
        <f>IFERROR(IF(W227=0,"",ROUNDUP(W227/H227,0)*0.02175),"")</f>
        <v/>
      </c>
      <c r="Y227" s="48"/>
      <c r="Z227" s="49"/>
      <c r="AD227" s="50"/>
      <c r="BA227" s="51" t="s">
        <v>1</v>
      </c>
    </row>
    <row r="228" spans="1:53" ht="27" customHeight="1" x14ac:dyDescent="0.25">
      <c r="A228" s="41" t="s">
        <v>364</v>
      </c>
      <c r="B228" s="41" t="s">
        <v>365</v>
      </c>
      <c r="C228" s="42">
        <v>4301051116</v>
      </c>
      <c r="D228" s="74">
        <v>4607091387957</v>
      </c>
      <c r="E228" s="73"/>
      <c r="F228" s="66">
        <v>1.3</v>
      </c>
      <c r="G228" s="43">
        <v>6</v>
      </c>
      <c r="H228" s="66">
        <v>7.8</v>
      </c>
      <c r="I228" s="66">
        <v>8.3640000000000008</v>
      </c>
      <c r="J228" s="43">
        <v>56</v>
      </c>
      <c r="K228" s="43" t="s">
        <v>98</v>
      </c>
      <c r="L228" s="44" t="s">
        <v>64</v>
      </c>
      <c r="M228" s="43">
        <v>40</v>
      </c>
      <c r="N228" s="7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72"/>
      <c r="P228" s="72"/>
      <c r="Q228" s="72"/>
      <c r="R228" s="73"/>
      <c r="S228" s="45"/>
      <c r="T228" s="45"/>
      <c r="U228" s="46" t="s">
        <v>65</v>
      </c>
      <c r="V228" s="67">
        <v>0</v>
      </c>
      <c r="W228" s="68">
        <f t="shared" si="12"/>
        <v>0</v>
      </c>
      <c r="X228" s="47" t="str">
        <f>IFERROR(IF(W228=0,"",ROUNDUP(W228/H228,0)*0.02175),"")</f>
        <v/>
      </c>
      <c r="Y228" s="48"/>
      <c r="Z228" s="49"/>
      <c r="AD228" s="50"/>
      <c r="BA228" s="51" t="s">
        <v>1</v>
      </c>
    </row>
    <row r="229" spans="1:53" ht="27" customHeight="1" x14ac:dyDescent="0.25">
      <c r="A229" s="41" t="s">
        <v>366</v>
      </c>
      <c r="B229" s="41" t="s">
        <v>367</v>
      </c>
      <c r="C229" s="42">
        <v>4301051115</v>
      </c>
      <c r="D229" s="74">
        <v>4607091387964</v>
      </c>
      <c r="E229" s="73"/>
      <c r="F229" s="66">
        <v>1.35</v>
      </c>
      <c r="G229" s="43">
        <v>6</v>
      </c>
      <c r="H229" s="66">
        <v>8.1</v>
      </c>
      <c r="I229" s="66">
        <v>8.6460000000000008</v>
      </c>
      <c r="J229" s="43">
        <v>56</v>
      </c>
      <c r="K229" s="43" t="s">
        <v>98</v>
      </c>
      <c r="L229" s="44" t="s">
        <v>64</v>
      </c>
      <c r="M229" s="43">
        <v>40</v>
      </c>
      <c r="N229" s="7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72"/>
      <c r="P229" s="72"/>
      <c r="Q229" s="72"/>
      <c r="R229" s="73"/>
      <c r="S229" s="45"/>
      <c r="T229" s="45"/>
      <c r="U229" s="46" t="s">
        <v>65</v>
      </c>
      <c r="V229" s="67">
        <v>0</v>
      </c>
      <c r="W229" s="68">
        <f t="shared" si="12"/>
        <v>0</v>
      </c>
      <c r="X229" s="47" t="str">
        <f>IFERROR(IF(W229=0,"",ROUNDUP(W229/H229,0)*0.02175),"")</f>
        <v/>
      </c>
      <c r="Y229" s="48"/>
      <c r="Z229" s="49"/>
      <c r="AD229" s="50"/>
      <c r="BA229" s="51" t="s">
        <v>1</v>
      </c>
    </row>
    <row r="230" spans="1:53" ht="27" customHeight="1" x14ac:dyDescent="0.25">
      <c r="A230" s="41" t="s">
        <v>368</v>
      </c>
      <c r="B230" s="41" t="s">
        <v>369</v>
      </c>
      <c r="C230" s="42">
        <v>4301051485</v>
      </c>
      <c r="D230" s="74">
        <v>4680115883567</v>
      </c>
      <c r="E230" s="73"/>
      <c r="F230" s="66">
        <v>0.35</v>
      </c>
      <c r="G230" s="43">
        <v>6</v>
      </c>
      <c r="H230" s="66">
        <v>2.1</v>
      </c>
      <c r="I230" s="66">
        <v>2.36</v>
      </c>
      <c r="J230" s="43">
        <v>156</v>
      </c>
      <c r="K230" s="43" t="s">
        <v>63</v>
      </c>
      <c r="L230" s="44" t="s">
        <v>64</v>
      </c>
      <c r="M230" s="43">
        <v>40</v>
      </c>
      <c r="N230" s="92" t="s">
        <v>370</v>
      </c>
      <c r="O230" s="72"/>
      <c r="P230" s="72"/>
      <c r="Q230" s="72"/>
      <c r="R230" s="73"/>
      <c r="S230" s="45"/>
      <c r="T230" s="45"/>
      <c r="U230" s="46" t="s">
        <v>65</v>
      </c>
      <c r="V230" s="67">
        <v>0</v>
      </c>
      <c r="W230" s="68">
        <f t="shared" si="12"/>
        <v>0</v>
      </c>
      <c r="X230" s="47" t="str">
        <f>IFERROR(IF(W230=0,"",ROUNDUP(W230/H230,0)*0.00753),"")</f>
        <v/>
      </c>
      <c r="Y230" s="48"/>
      <c r="Z230" s="49"/>
      <c r="AD230" s="50"/>
      <c r="BA230" s="51" t="s">
        <v>1</v>
      </c>
    </row>
    <row r="231" spans="1:53" ht="16.5" customHeight="1" x14ac:dyDescent="0.25">
      <c r="A231" s="41" t="s">
        <v>371</v>
      </c>
      <c r="B231" s="41" t="s">
        <v>372</v>
      </c>
      <c r="C231" s="42">
        <v>4301051134</v>
      </c>
      <c r="D231" s="74">
        <v>4607091381672</v>
      </c>
      <c r="E231" s="73"/>
      <c r="F231" s="66">
        <v>0.6</v>
      </c>
      <c r="G231" s="43">
        <v>6</v>
      </c>
      <c r="H231" s="66">
        <v>3.6</v>
      </c>
      <c r="I231" s="66">
        <v>3.8759999999999999</v>
      </c>
      <c r="J231" s="43">
        <v>120</v>
      </c>
      <c r="K231" s="43" t="s">
        <v>63</v>
      </c>
      <c r="L231" s="44" t="s">
        <v>64</v>
      </c>
      <c r="M231" s="43">
        <v>40</v>
      </c>
      <c r="N231" s="7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1" s="72"/>
      <c r="P231" s="72"/>
      <c r="Q231" s="72"/>
      <c r="R231" s="73"/>
      <c r="S231" s="45"/>
      <c r="T231" s="45"/>
      <c r="U231" s="46" t="s">
        <v>65</v>
      </c>
      <c r="V231" s="67">
        <v>0</v>
      </c>
      <c r="W231" s="68">
        <f t="shared" si="12"/>
        <v>0</v>
      </c>
      <c r="X231" s="47" t="str">
        <f>IFERROR(IF(W231=0,"",ROUNDUP(W231/H231,0)*0.00937),"")</f>
        <v/>
      </c>
      <c r="Y231" s="48"/>
      <c r="Z231" s="49"/>
      <c r="AD231" s="50"/>
      <c r="BA231" s="51" t="s">
        <v>1</v>
      </c>
    </row>
    <row r="232" spans="1:53" ht="27" customHeight="1" x14ac:dyDescent="0.25">
      <c r="A232" s="41" t="s">
        <v>373</v>
      </c>
      <c r="B232" s="41" t="s">
        <v>374</v>
      </c>
      <c r="C232" s="42">
        <v>4301051130</v>
      </c>
      <c r="D232" s="74">
        <v>4607091387537</v>
      </c>
      <c r="E232" s="73"/>
      <c r="F232" s="66">
        <v>0.45</v>
      </c>
      <c r="G232" s="43">
        <v>6</v>
      </c>
      <c r="H232" s="66">
        <v>2.7</v>
      </c>
      <c r="I232" s="66">
        <v>2.99</v>
      </c>
      <c r="J232" s="43">
        <v>156</v>
      </c>
      <c r="K232" s="43" t="s">
        <v>63</v>
      </c>
      <c r="L232" s="44" t="s">
        <v>64</v>
      </c>
      <c r="M232" s="43">
        <v>40</v>
      </c>
      <c r="N232" s="7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2" s="72"/>
      <c r="P232" s="72"/>
      <c r="Q232" s="72"/>
      <c r="R232" s="73"/>
      <c r="S232" s="45"/>
      <c r="T232" s="45"/>
      <c r="U232" s="46" t="s">
        <v>65</v>
      </c>
      <c r="V232" s="67">
        <v>0</v>
      </c>
      <c r="W232" s="68">
        <f t="shared" si="12"/>
        <v>0</v>
      </c>
      <c r="X232" s="47" t="str">
        <f>IFERROR(IF(W232=0,"",ROUNDUP(W232/H232,0)*0.00753),"")</f>
        <v/>
      </c>
      <c r="Y232" s="48"/>
      <c r="Z232" s="49"/>
      <c r="AD232" s="50"/>
      <c r="BA232" s="51" t="s">
        <v>1</v>
      </c>
    </row>
    <row r="233" spans="1:53" ht="27" customHeight="1" x14ac:dyDescent="0.25">
      <c r="A233" s="41" t="s">
        <v>375</v>
      </c>
      <c r="B233" s="41" t="s">
        <v>376</v>
      </c>
      <c r="C233" s="42">
        <v>4301051132</v>
      </c>
      <c r="D233" s="74">
        <v>4607091387513</v>
      </c>
      <c r="E233" s="73"/>
      <c r="F233" s="66">
        <v>0.45</v>
      </c>
      <c r="G233" s="43">
        <v>6</v>
      </c>
      <c r="H233" s="66">
        <v>2.7</v>
      </c>
      <c r="I233" s="66">
        <v>2.9780000000000002</v>
      </c>
      <c r="J233" s="43">
        <v>156</v>
      </c>
      <c r="K233" s="43" t="s">
        <v>63</v>
      </c>
      <c r="L233" s="44" t="s">
        <v>64</v>
      </c>
      <c r="M233" s="43">
        <v>40</v>
      </c>
      <c r="N233" s="7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3" s="72"/>
      <c r="P233" s="72"/>
      <c r="Q233" s="72"/>
      <c r="R233" s="73"/>
      <c r="S233" s="45"/>
      <c r="T233" s="45"/>
      <c r="U233" s="46" t="s">
        <v>65</v>
      </c>
      <c r="V233" s="67">
        <v>0</v>
      </c>
      <c r="W233" s="68">
        <f t="shared" si="12"/>
        <v>0</v>
      </c>
      <c r="X233" s="47" t="str">
        <f>IFERROR(IF(W233=0,"",ROUNDUP(W233/H233,0)*0.00753),"")</f>
        <v/>
      </c>
      <c r="Y233" s="48"/>
      <c r="Z233" s="49"/>
      <c r="AD233" s="50"/>
      <c r="BA233" s="51" t="s">
        <v>1</v>
      </c>
    </row>
    <row r="234" spans="1:53" ht="27" customHeight="1" x14ac:dyDescent="0.25">
      <c r="A234" s="41" t="s">
        <v>377</v>
      </c>
      <c r="B234" s="41" t="s">
        <v>378</v>
      </c>
      <c r="C234" s="42">
        <v>4301051277</v>
      </c>
      <c r="D234" s="74">
        <v>4680115880511</v>
      </c>
      <c r="E234" s="73"/>
      <c r="F234" s="66">
        <v>0.33</v>
      </c>
      <c r="G234" s="43">
        <v>6</v>
      </c>
      <c r="H234" s="66">
        <v>1.98</v>
      </c>
      <c r="I234" s="66">
        <v>2.1800000000000002</v>
      </c>
      <c r="J234" s="43">
        <v>156</v>
      </c>
      <c r="K234" s="43" t="s">
        <v>63</v>
      </c>
      <c r="L234" s="44" t="s">
        <v>128</v>
      </c>
      <c r="M234" s="43">
        <v>40</v>
      </c>
      <c r="N234" s="7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4" s="72"/>
      <c r="P234" s="72"/>
      <c r="Q234" s="72"/>
      <c r="R234" s="73"/>
      <c r="S234" s="45"/>
      <c r="T234" s="45"/>
      <c r="U234" s="46" t="s">
        <v>65</v>
      </c>
      <c r="V234" s="67">
        <v>0</v>
      </c>
      <c r="W234" s="68">
        <f t="shared" si="12"/>
        <v>0</v>
      </c>
      <c r="X234" s="47" t="str">
        <f>IFERROR(IF(W234=0,"",ROUNDUP(W234/H234,0)*0.00753),"")</f>
        <v/>
      </c>
      <c r="Y234" s="48"/>
      <c r="Z234" s="49"/>
      <c r="AD234" s="50"/>
      <c r="BA234" s="51" t="s">
        <v>1</v>
      </c>
    </row>
    <row r="235" spans="1:53" x14ac:dyDescent="0.2">
      <c r="A235" s="81"/>
      <c r="B235" s="76"/>
      <c r="C235" s="76"/>
      <c r="D235" s="76"/>
      <c r="E235" s="76"/>
      <c r="F235" s="76"/>
      <c r="G235" s="76"/>
      <c r="H235" s="76"/>
      <c r="I235" s="76"/>
      <c r="J235" s="76"/>
      <c r="K235" s="76"/>
      <c r="L235" s="76"/>
      <c r="M235" s="82"/>
      <c r="N235" s="78" t="s">
        <v>66</v>
      </c>
      <c r="O235" s="79"/>
      <c r="P235" s="79"/>
      <c r="Q235" s="79"/>
      <c r="R235" s="79"/>
      <c r="S235" s="79"/>
      <c r="T235" s="80"/>
      <c r="U235" s="52" t="s">
        <v>67</v>
      </c>
      <c r="V235" s="69">
        <f>IFERROR(V227/H227,"0")+IFERROR(V228/H228,"0")+IFERROR(V229/H229,"0")+IFERROR(V230/H230,"0")+IFERROR(V231/H231,"0")+IFERROR(V232/H232,"0")+IFERROR(V233/H233,"0")+IFERROR(V234/H234,"0")</f>
        <v>0</v>
      </c>
      <c r="W235" s="69">
        <f>IFERROR(W227/H227,"0")+IFERROR(W228/H228,"0")+IFERROR(W229/H229,"0")+IFERROR(W230/H230,"0")+IFERROR(W231/H231,"0")+IFERROR(W232/H232,"0")+IFERROR(W233/H233,"0")+IFERROR(W234/H234,"0")</f>
        <v>0</v>
      </c>
      <c r="X235" s="69">
        <f>IFERROR(IF(X227="",0,X227),"0")+IFERROR(IF(X228="",0,X228),"0")+IFERROR(IF(X229="",0,X229),"0")+IFERROR(IF(X230="",0,X230),"0")+IFERROR(IF(X231="",0,X231),"0")+IFERROR(IF(X232="",0,X232),"0")+IFERROR(IF(X233="",0,X233),"0")+IFERROR(IF(X234="",0,X234),"0")</f>
        <v>0</v>
      </c>
      <c r="Y235" s="70"/>
      <c r="Z235" s="70"/>
    </row>
    <row r="236" spans="1:53" x14ac:dyDescent="0.2">
      <c r="A236" s="76"/>
      <c r="B236" s="76"/>
      <c r="C236" s="76"/>
      <c r="D236" s="76"/>
      <c r="E236" s="76"/>
      <c r="F236" s="76"/>
      <c r="G236" s="76"/>
      <c r="H236" s="76"/>
      <c r="I236" s="76"/>
      <c r="J236" s="76"/>
      <c r="K236" s="76"/>
      <c r="L236" s="76"/>
      <c r="M236" s="82"/>
      <c r="N236" s="78" t="s">
        <v>66</v>
      </c>
      <c r="O236" s="79"/>
      <c r="P236" s="79"/>
      <c r="Q236" s="79"/>
      <c r="R236" s="79"/>
      <c r="S236" s="79"/>
      <c r="T236" s="80"/>
      <c r="U236" s="52" t="s">
        <v>65</v>
      </c>
      <c r="V236" s="69">
        <f>IFERROR(SUM(V227:V234),"0")</f>
        <v>0</v>
      </c>
      <c r="W236" s="69">
        <f>IFERROR(SUM(W227:W234),"0")</f>
        <v>0</v>
      </c>
      <c r="X236" s="52"/>
      <c r="Y236" s="70"/>
      <c r="Z236" s="70"/>
    </row>
    <row r="237" spans="1:53" ht="14.25" customHeight="1" x14ac:dyDescent="0.25">
      <c r="A237" s="77" t="s">
        <v>218</v>
      </c>
      <c r="B237" s="76"/>
      <c r="C237" s="76"/>
      <c r="D237" s="76"/>
      <c r="E237" s="76"/>
      <c r="F237" s="76"/>
      <c r="G237" s="76"/>
      <c r="H237" s="76"/>
      <c r="I237" s="76"/>
      <c r="J237" s="76"/>
      <c r="K237" s="76"/>
      <c r="L237" s="76"/>
      <c r="M237" s="76"/>
      <c r="N237" s="76"/>
      <c r="O237" s="76"/>
      <c r="P237" s="76"/>
      <c r="Q237" s="76"/>
      <c r="R237" s="76"/>
      <c r="S237" s="76"/>
      <c r="T237" s="76"/>
      <c r="U237" s="76"/>
      <c r="V237" s="76"/>
      <c r="W237" s="76"/>
      <c r="X237" s="76"/>
      <c r="Y237" s="61"/>
      <c r="Z237" s="61"/>
    </row>
    <row r="238" spans="1:53" ht="16.5" customHeight="1" x14ac:dyDescent="0.25">
      <c r="A238" s="41" t="s">
        <v>379</v>
      </c>
      <c r="B238" s="41" t="s">
        <v>380</v>
      </c>
      <c r="C238" s="42">
        <v>4301060326</v>
      </c>
      <c r="D238" s="74">
        <v>4607091380880</v>
      </c>
      <c r="E238" s="73"/>
      <c r="F238" s="66">
        <v>1.4</v>
      </c>
      <c r="G238" s="43">
        <v>6</v>
      </c>
      <c r="H238" s="66">
        <v>8.4</v>
      </c>
      <c r="I238" s="66">
        <v>8.9640000000000004</v>
      </c>
      <c r="J238" s="43">
        <v>56</v>
      </c>
      <c r="K238" s="43" t="s">
        <v>98</v>
      </c>
      <c r="L238" s="44" t="s">
        <v>64</v>
      </c>
      <c r="M238" s="43">
        <v>30</v>
      </c>
      <c r="N238" s="7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8" s="72"/>
      <c r="P238" s="72"/>
      <c r="Q238" s="72"/>
      <c r="R238" s="73"/>
      <c r="S238" s="45"/>
      <c r="T238" s="45"/>
      <c r="U238" s="46" t="s">
        <v>65</v>
      </c>
      <c r="V238" s="67">
        <v>0</v>
      </c>
      <c r="W238" s="68">
        <f>IFERROR(IF(V238="",0,CEILING((V238/$H238),1)*$H238),"")</f>
        <v>0</v>
      </c>
      <c r="X238" s="47" t="str">
        <f>IFERROR(IF(W238=0,"",ROUNDUP(W238/H238,0)*0.02175),"")</f>
        <v/>
      </c>
      <c r="Y238" s="48"/>
      <c r="Z238" s="49"/>
      <c r="AD238" s="50"/>
      <c r="BA238" s="51" t="s">
        <v>1</v>
      </c>
    </row>
    <row r="239" spans="1:53" ht="27" customHeight="1" x14ac:dyDescent="0.25">
      <c r="A239" s="41" t="s">
        <v>381</v>
      </c>
      <c r="B239" s="41" t="s">
        <v>382</v>
      </c>
      <c r="C239" s="42">
        <v>4301060308</v>
      </c>
      <c r="D239" s="74">
        <v>4607091384482</v>
      </c>
      <c r="E239" s="73"/>
      <c r="F239" s="66">
        <v>1.3</v>
      </c>
      <c r="G239" s="43">
        <v>6</v>
      </c>
      <c r="H239" s="66">
        <v>7.8</v>
      </c>
      <c r="I239" s="66">
        <v>8.3640000000000008</v>
      </c>
      <c r="J239" s="43">
        <v>56</v>
      </c>
      <c r="K239" s="43" t="s">
        <v>98</v>
      </c>
      <c r="L239" s="44" t="s">
        <v>64</v>
      </c>
      <c r="M239" s="43">
        <v>30</v>
      </c>
      <c r="N239" s="7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9" s="72"/>
      <c r="P239" s="72"/>
      <c r="Q239" s="72"/>
      <c r="R239" s="73"/>
      <c r="S239" s="45"/>
      <c r="T239" s="45"/>
      <c r="U239" s="46" t="s">
        <v>65</v>
      </c>
      <c r="V239" s="67">
        <v>0</v>
      </c>
      <c r="W239" s="68">
        <f>IFERROR(IF(V239="",0,CEILING((V239/$H239),1)*$H239),"")</f>
        <v>0</v>
      </c>
      <c r="X239" s="47" t="str">
        <f>IFERROR(IF(W239=0,"",ROUNDUP(W239/H239,0)*0.02175),"")</f>
        <v/>
      </c>
      <c r="Y239" s="48"/>
      <c r="Z239" s="49"/>
      <c r="AD239" s="50"/>
      <c r="BA239" s="51" t="s">
        <v>1</v>
      </c>
    </row>
    <row r="240" spans="1:53" ht="16.5" customHeight="1" x14ac:dyDescent="0.25">
      <c r="A240" s="41" t="s">
        <v>383</v>
      </c>
      <c r="B240" s="41" t="s">
        <v>384</v>
      </c>
      <c r="C240" s="42">
        <v>4301060325</v>
      </c>
      <c r="D240" s="74">
        <v>4607091380897</v>
      </c>
      <c r="E240" s="73"/>
      <c r="F240" s="66">
        <v>1.4</v>
      </c>
      <c r="G240" s="43">
        <v>6</v>
      </c>
      <c r="H240" s="66">
        <v>8.4</v>
      </c>
      <c r="I240" s="66">
        <v>8.9640000000000004</v>
      </c>
      <c r="J240" s="43">
        <v>56</v>
      </c>
      <c r="K240" s="43" t="s">
        <v>98</v>
      </c>
      <c r="L240" s="44" t="s">
        <v>64</v>
      </c>
      <c r="M240" s="43">
        <v>30</v>
      </c>
      <c r="N240" s="7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0" s="72"/>
      <c r="P240" s="72"/>
      <c r="Q240" s="72"/>
      <c r="R240" s="73"/>
      <c r="S240" s="45"/>
      <c r="T240" s="45"/>
      <c r="U240" s="46" t="s">
        <v>65</v>
      </c>
      <c r="V240" s="67">
        <v>0</v>
      </c>
      <c r="W240" s="68">
        <f>IFERROR(IF(V240="",0,CEILING((V240/$H240),1)*$H240),"")</f>
        <v>0</v>
      </c>
      <c r="X240" s="47" t="str">
        <f>IFERROR(IF(W240=0,"",ROUNDUP(W240/H240,0)*0.02175),"")</f>
        <v/>
      </c>
      <c r="Y240" s="48"/>
      <c r="Z240" s="49"/>
      <c r="AD240" s="50"/>
      <c r="BA240" s="51" t="s">
        <v>1</v>
      </c>
    </row>
    <row r="241" spans="1:53" x14ac:dyDescent="0.2">
      <c r="A241" s="81"/>
      <c r="B241" s="76"/>
      <c r="C241" s="76"/>
      <c r="D241" s="76"/>
      <c r="E241" s="76"/>
      <c r="F241" s="76"/>
      <c r="G241" s="76"/>
      <c r="H241" s="76"/>
      <c r="I241" s="76"/>
      <c r="J241" s="76"/>
      <c r="K241" s="76"/>
      <c r="L241" s="76"/>
      <c r="M241" s="82"/>
      <c r="N241" s="78" t="s">
        <v>66</v>
      </c>
      <c r="O241" s="79"/>
      <c r="P241" s="79"/>
      <c r="Q241" s="79"/>
      <c r="R241" s="79"/>
      <c r="S241" s="79"/>
      <c r="T241" s="80"/>
      <c r="U241" s="52" t="s">
        <v>67</v>
      </c>
      <c r="V241" s="69">
        <f>IFERROR(V238/H238,"0")+IFERROR(V239/H239,"0")+IFERROR(V240/H240,"0")</f>
        <v>0</v>
      </c>
      <c r="W241" s="69">
        <f>IFERROR(W238/H238,"0")+IFERROR(W239/H239,"0")+IFERROR(W240/H240,"0")</f>
        <v>0</v>
      </c>
      <c r="X241" s="69">
        <f>IFERROR(IF(X238="",0,X238),"0")+IFERROR(IF(X239="",0,X239),"0")+IFERROR(IF(X240="",0,X240),"0")</f>
        <v>0</v>
      </c>
      <c r="Y241" s="70"/>
      <c r="Z241" s="70"/>
    </row>
    <row r="242" spans="1:53" x14ac:dyDescent="0.2">
      <c r="A242" s="76"/>
      <c r="B242" s="76"/>
      <c r="C242" s="76"/>
      <c r="D242" s="76"/>
      <c r="E242" s="76"/>
      <c r="F242" s="76"/>
      <c r="G242" s="76"/>
      <c r="H242" s="76"/>
      <c r="I242" s="76"/>
      <c r="J242" s="76"/>
      <c r="K242" s="76"/>
      <c r="L242" s="76"/>
      <c r="M242" s="82"/>
      <c r="N242" s="78" t="s">
        <v>66</v>
      </c>
      <c r="O242" s="79"/>
      <c r="P242" s="79"/>
      <c r="Q242" s="79"/>
      <c r="R242" s="79"/>
      <c r="S242" s="79"/>
      <c r="T242" s="80"/>
      <c r="U242" s="52" t="s">
        <v>65</v>
      </c>
      <c r="V242" s="69">
        <f>IFERROR(SUM(V238:V240),"0")</f>
        <v>0</v>
      </c>
      <c r="W242" s="69">
        <f>IFERROR(SUM(W238:W240),"0")</f>
        <v>0</v>
      </c>
      <c r="X242" s="52"/>
      <c r="Y242" s="70"/>
      <c r="Z242" s="70"/>
    </row>
    <row r="243" spans="1:53" ht="14.25" customHeight="1" x14ac:dyDescent="0.25">
      <c r="A243" s="77" t="s">
        <v>81</v>
      </c>
      <c r="B243" s="76"/>
      <c r="C243" s="76"/>
      <c r="D243" s="76"/>
      <c r="E243" s="76"/>
      <c r="F243" s="76"/>
      <c r="G243" s="76"/>
      <c r="H243" s="76"/>
      <c r="I243" s="76"/>
      <c r="J243" s="76"/>
      <c r="K243" s="76"/>
      <c r="L243" s="76"/>
      <c r="M243" s="76"/>
      <c r="N243" s="76"/>
      <c r="O243" s="76"/>
      <c r="P243" s="76"/>
      <c r="Q243" s="76"/>
      <c r="R243" s="76"/>
      <c r="S243" s="76"/>
      <c r="T243" s="76"/>
      <c r="U243" s="76"/>
      <c r="V243" s="76"/>
      <c r="W243" s="76"/>
      <c r="X243" s="76"/>
      <c r="Y243" s="61"/>
      <c r="Z243" s="61"/>
    </row>
    <row r="244" spans="1:53" ht="16.5" customHeight="1" x14ac:dyDescent="0.25">
      <c r="A244" s="41" t="s">
        <v>385</v>
      </c>
      <c r="B244" s="41" t="s">
        <v>386</v>
      </c>
      <c r="C244" s="42">
        <v>4301030232</v>
      </c>
      <c r="D244" s="74">
        <v>4607091388374</v>
      </c>
      <c r="E244" s="73"/>
      <c r="F244" s="66">
        <v>0.38</v>
      </c>
      <c r="G244" s="43">
        <v>8</v>
      </c>
      <c r="H244" s="66">
        <v>3.04</v>
      </c>
      <c r="I244" s="66">
        <v>3.28</v>
      </c>
      <c r="J244" s="43">
        <v>156</v>
      </c>
      <c r="K244" s="43" t="s">
        <v>63</v>
      </c>
      <c r="L244" s="44" t="s">
        <v>84</v>
      </c>
      <c r="M244" s="43">
        <v>180</v>
      </c>
      <c r="N244" s="92" t="s">
        <v>387</v>
      </c>
      <c r="O244" s="72"/>
      <c r="P244" s="72"/>
      <c r="Q244" s="72"/>
      <c r="R244" s="73"/>
      <c r="S244" s="45"/>
      <c r="T244" s="45"/>
      <c r="U244" s="46" t="s">
        <v>65</v>
      </c>
      <c r="V244" s="67">
        <v>0</v>
      </c>
      <c r="W244" s="68">
        <f>IFERROR(IF(V244="",0,CEILING((V244/$H244),1)*$H244),"")</f>
        <v>0</v>
      </c>
      <c r="X244" s="47" t="str">
        <f>IFERROR(IF(W244=0,"",ROUNDUP(W244/H244,0)*0.00753),"")</f>
        <v/>
      </c>
      <c r="Y244" s="48"/>
      <c r="Z244" s="49"/>
      <c r="AD244" s="50"/>
      <c r="BA244" s="51" t="s">
        <v>1</v>
      </c>
    </row>
    <row r="245" spans="1:53" ht="27" customHeight="1" x14ac:dyDescent="0.25">
      <c r="A245" s="41" t="s">
        <v>388</v>
      </c>
      <c r="B245" s="41" t="s">
        <v>389</v>
      </c>
      <c r="C245" s="42">
        <v>4301030235</v>
      </c>
      <c r="D245" s="74">
        <v>4607091388381</v>
      </c>
      <c r="E245" s="73"/>
      <c r="F245" s="66">
        <v>0.38</v>
      </c>
      <c r="G245" s="43">
        <v>8</v>
      </c>
      <c r="H245" s="66">
        <v>3.04</v>
      </c>
      <c r="I245" s="66">
        <v>3.32</v>
      </c>
      <c r="J245" s="43">
        <v>156</v>
      </c>
      <c r="K245" s="43" t="s">
        <v>63</v>
      </c>
      <c r="L245" s="44" t="s">
        <v>84</v>
      </c>
      <c r="M245" s="43">
        <v>180</v>
      </c>
      <c r="N245" s="92" t="s">
        <v>390</v>
      </c>
      <c r="O245" s="72"/>
      <c r="P245" s="72"/>
      <c r="Q245" s="72"/>
      <c r="R245" s="73"/>
      <c r="S245" s="45"/>
      <c r="T245" s="45"/>
      <c r="U245" s="46" t="s">
        <v>65</v>
      </c>
      <c r="V245" s="67">
        <v>0</v>
      </c>
      <c r="W245" s="68">
        <f>IFERROR(IF(V245="",0,CEILING((V245/$H245),1)*$H245),"")</f>
        <v>0</v>
      </c>
      <c r="X245" s="47" t="str">
        <f>IFERROR(IF(W245=0,"",ROUNDUP(W245/H245,0)*0.00753),"")</f>
        <v/>
      </c>
      <c r="Y245" s="48"/>
      <c r="Z245" s="49"/>
      <c r="AD245" s="50"/>
      <c r="BA245" s="51" t="s">
        <v>1</v>
      </c>
    </row>
    <row r="246" spans="1:53" ht="27" customHeight="1" x14ac:dyDescent="0.25">
      <c r="A246" s="41" t="s">
        <v>391</v>
      </c>
      <c r="B246" s="41" t="s">
        <v>392</v>
      </c>
      <c r="C246" s="42">
        <v>4301032040</v>
      </c>
      <c r="D246" s="74">
        <v>4680115881860</v>
      </c>
      <c r="E246" s="73"/>
      <c r="F246" s="66">
        <v>0.17</v>
      </c>
      <c r="G246" s="43">
        <v>10</v>
      </c>
      <c r="H246" s="66">
        <v>1.7</v>
      </c>
      <c r="I246" s="66">
        <v>1.9</v>
      </c>
      <c r="J246" s="43">
        <v>234</v>
      </c>
      <c r="K246" s="43" t="s">
        <v>166</v>
      </c>
      <c r="L246" s="44" t="s">
        <v>393</v>
      </c>
      <c r="M246" s="43">
        <v>120</v>
      </c>
      <c r="N246" s="92" t="s">
        <v>394</v>
      </c>
      <c r="O246" s="72"/>
      <c r="P246" s="72"/>
      <c r="Q246" s="72"/>
      <c r="R246" s="73"/>
      <c r="S246" s="45"/>
      <c r="T246" s="45"/>
      <c r="U246" s="46" t="s">
        <v>65</v>
      </c>
      <c r="V246" s="67">
        <v>0</v>
      </c>
      <c r="W246" s="68">
        <f>IFERROR(IF(V246="",0,CEILING((V246/$H246),1)*$H246),"")</f>
        <v>0</v>
      </c>
      <c r="X246" s="47" t="str">
        <f>IFERROR(IF(W246=0,"",ROUNDUP(W246/H246,0)*0.00502),"")</f>
        <v/>
      </c>
      <c r="Y246" s="48"/>
      <c r="Z246" s="49"/>
      <c r="AD246" s="50"/>
      <c r="BA246" s="51" t="s">
        <v>1</v>
      </c>
    </row>
    <row r="247" spans="1:53" x14ac:dyDescent="0.2">
      <c r="A247" s="81"/>
      <c r="B247" s="76"/>
      <c r="C247" s="76"/>
      <c r="D247" s="76"/>
      <c r="E247" s="76"/>
      <c r="F247" s="76"/>
      <c r="G247" s="76"/>
      <c r="H247" s="76"/>
      <c r="I247" s="76"/>
      <c r="J247" s="76"/>
      <c r="K247" s="76"/>
      <c r="L247" s="76"/>
      <c r="M247" s="82"/>
      <c r="N247" s="78" t="s">
        <v>66</v>
      </c>
      <c r="O247" s="79"/>
      <c r="P247" s="79"/>
      <c r="Q247" s="79"/>
      <c r="R247" s="79"/>
      <c r="S247" s="79"/>
      <c r="T247" s="80"/>
      <c r="U247" s="52" t="s">
        <v>67</v>
      </c>
      <c r="V247" s="69">
        <f>IFERROR(V244/H244,"0")+IFERROR(V245/H245,"0")+IFERROR(V246/H246,"0")</f>
        <v>0</v>
      </c>
      <c r="W247" s="69">
        <f>IFERROR(W244/H244,"0")+IFERROR(W245/H245,"0")+IFERROR(W246/H246,"0")</f>
        <v>0</v>
      </c>
      <c r="X247" s="69">
        <f>IFERROR(IF(X244="",0,X244),"0")+IFERROR(IF(X245="",0,X245),"0")+IFERROR(IF(X246="",0,X246),"0")</f>
        <v>0</v>
      </c>
      <c r="Y247" s="70"/>
      <c r="Z247" s="70"/>
    </row>
    <row r="248" spans="1:53" x14ac:dyDescent="0.2">
      <c r="A248" s="76"/>
      <c r="B248" s="76"/>
      <c r="C248" s="76"/>
      <c r="D248" s="76"/>
      <c r="E248" s="76"/>
      <c r="F248" s="76"/>
      <c r="G248" s="76"/>
      <c r="H248" s="76"/>
      <c r="I248" s="76"/>
      <c r="J248" s="76"/>
      <c r="K248" s="76"/>
      <c r="L248" s="76"/>
      <c r="M248" s="82"/>
      <c r="N248" s="78" t="s">
        <v>66</v>
      </c>
      <c r="O248" s="79"/>
      <c r="P248" s="79"/>
      <c r="Q248" s="79"/>
      <c r="R248" s="79"/>
      <c r="S248" s="79"/>
      <c r="T248" s="80"/>
      <c r="U248" s="52" t="s">
        <v>65</v>
      </c>
      <c r="V248" s="69">
        <f>IFERROR(SUM(V244:V246),"0")</f>
        <v>0</v>
      </c>
      <c r="W248" s="69">
        <f>IFERROR(SUM(W244:W246),"0")</f>
        <v>0</v>
      </c>
      <c r="X248" s="52"/>
      <c r="Y248" s="70"/>
      <c r="Z248" s="70"/>
    </row>
    <row r="249" spans="1:53" ht="14.25" customHeight="1" x14ac:dyDescent="0.25">
      <c r="A249" s="77" t="s">
        <v>395</v>
      </c>
      <c r="B249" s="76"/>
      <c r="C249" s="76"/>
      <c r="D249" s="76"/>
      <c r="E249" s="76"/>
      <c r="F249" s="76"/>
      <c r="G249" s="76"/>
      <c r="H249" s="76"/>
      <c r="I249" s="76"/>
      <c r="J249" s="76"/>
      <c r="K249" s="76"/>
      <c r="L249" s="76"/>
      <c r="M249" s="76"/>
      <c r="N249" s="76"/>
      <c r="O249" s="76"/>
      <c r="P249" s="76"/>
      <c r="Q249" s="76"/>
      <c r="R249" s="76"/>
      <c r="S249" s="76"/>
      <c r="T249" s="76"/>
      <c r="U249" s="76"/>
      <c r="V249" s="76"/>
      <c r="W249" s="76"/>
      <c r="X249" s="76"/>
      <c r="Y249" s="61"/>
      <c r="Z249" s="61"/>
    </row>
    <row r="250" spans="1:53" ht="16.5" customHeight="1" x14ac:dyDescent="0.25">
      <c r="A250" s="41" t="s">
        <v>396</v>
      </c>
      <c r="B250" s="41" t="s">
        <v>397</v>
      </c>
      <c r="C250" s="42">
        <v>4301180007</v>
      </c>
      <c r="D250" s="74">
        <v>4680115881808</v>
      </c>
      <c r="E250" s="73"/>
      <c r="F250" s="66">
        <v>0.1</v>
      </c>
      <c r="G250" s="43">
        <v>20</v>
      </c>
      <c r="H250" s="66">
        <v>2</v>
      </c>
      <c r="I250" s="66">
        <v>2.2400000000000002</v>
      </c>
      <c r="J250" s="43">
        <v>238</v>
      </c>
      <c r="K250" s="43" t="s">
        <v>398</v>
      </c>
      <c r="L250" s="44" t="s">
        <v>399</v>
      </c>
      <c r="M250" s="43">
        <v>730</v>
      </c>
      <c r="N250" s="7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0" s="72"/>
      <c r="P250" s="72"/>
      <c r="Q250" s="72"/>
      <c r="R250" s="73"/>
      <c r="S250" s="45"/>
      <c r="T250" s="45"/>
      <c r="U250" s="46" t="s">
        <v>65</v>
      </c>
      <c r="V250" s="67">
        <v>0</v>
      </c>
      <c r="W250" s="68">
        <f>IFERROR(IF(V250="",0,CEILING((V250/$H250),1)*$H250),"")</f>
        <v>0</v>
      </c>
      <c r="X250" s="47" t="str">
        <f>IFERROR(IF(W250=0,"",ROUNDUP(W250/H250,0)*0.00474),"")</f>
        <v/>
      </c>
      <c r="Y250" s="48"/>
      <c r="Z250" s="49"/>
      <c r="AD250" s="50"/>
      <c r="BA250" s="51" t="s">
        <v>1</v>
      </c>
    </row>
    <row r="251" spans="1:53" ht="27" customHeight="1" x14ac:dyDescent="0.25">
      <c r="A251" s="41" t="s">
        <v>400</v>
      </c>
      <c r="B251" s="41" t="s">
        <v>401</v>
      </c>
      <c r="C251" s="42">
        <v>4301180006</v>
      </c>
      <c r="D251" s="74">
        <v>4680115881822</v>
      </c>
      <c r="E251" s="73"/>
      <c r="F251" s="66">
        <v>0.1</v>
      </c>
      <c r="G251" s="43">
        <v>20</v>
      </c>
      <c r="H251" s="66">
        <v>2</v>
      </c>
      <c r="I251" s="66">
        <v>2.2400000000000002</v>
      </c>
      <c r="J251" s="43">
        <v>238</v>
      </c>
      <c r="K251" s="43" t="s">
        <v>398</v>
      </c>
      <c r="L251" s="44" t="s">
        <v>399</v>
      </c>
      <c r="M251" s="43">
        <v>730</v>
      </c>
      <c r="N251" s="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1" s="72"/>
      <c r="P251" s="72"/>
      <c r="Q251" s="72"/>
      <c r="R251" s="73"/>
      <c r="S251" s="45"/>
      <c r="T251" s="45"/>
      <c r="U251" s="46" t="s">
        <v>65</v>
      </c>
      <c r="V251" s="67">
        <v>0</v>
      </c>
      <c r="W251" s="68">
        <f>IFERROR(IF(V251="",0,CEILING((V251/$H251),1)*$H251),"")</f>
        <v>0</v>
      </c>
      <c r="X251" s="47" t="str">
        <f>IFERROR(IF(W251=0,"",ROUNDUP(W251/H251,0)*0.00474),"")</f>
        <v/>
      </c>
      <c r="Y251" s="48"/>
      <c r="Z251" s="49"/>
      <c r="AD251" s="50"/>
      <c r="BA251" s="51" t="s">
        <v>1</v>
      </c>
    </row>
    <row r="252" spans="1:53" ht="27" customHeight="1" x14ac:dyDescent="0.25">
      <c r="A252" s="41" t="s">
        <v>402</v>
      </c>
      <c r="B252" s="41" t="s">
        <v>403</v>
      </c>
      <c r="C252" s="42">
        <v>4301180001</v>
      </c>
      <c r="D252" s="74">
        <v>4680115880016</v>
      </c>
      <c r="E252" s="73"/>
      <c r="F252" s="66">
        <v>0.1</v>
      </c>
      <c r="G252" s="43">
        <v>20</v>
      </c>
      <c r="H252" s="66">
        <v>2</v>
      </c>
      <c r="I252" s="66">
        <v>2.2400000000000002</v>
      </c>
      <c r="J252" s="43">
        <v>238</v>
      </c>
      <c r="K252" s="43" t="s">
        <v>398</v>
      </c>
      <c r="L252" s="44" t="s">
        <v>399</v>
      </c>
      <c r="M252" s="43">
        <v>730</v>
      </c>
      <c r="N252" s="7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2" s="72"/>
      <c r="P252" s="72"/>
      <c r="Q252" s="72"/>
      <c r="R252" s="73"/>
      <c r="S252" s="45"/>
      <c r="T252" s="45"/>
      <c r="U252" s="46" t="s">
        <v>65</v>
      </c>
      <c r="V252" s="67">
        <v>0</v>
      </c>
      <c r="W252" s="68">
        <f>IFERROR(IF(V252="",0,CEILING((V252/$H252),1)*$H252),"")</f>
        <v>0</v>
      </c>
      <c r="X252" s="47" t="str">
        <f>IFERROR(IF(W252=0,"",ROUNDUP(W252/H252,0)*0.00474),"")</f>
        <v/>
      </c>
      <c r="Y252" s="48"/>
      <c r="Z252" s="49"/>
      <c r="AD252" s="50"/>
      <c r="BA252" s="51" t="s">
        <v>1</v>
      </c>
    </row>
    <row r="253" spans="1:53" x14ac:dyDescent="0.2">
      <c r="A253" s="81"/>
      <c r="B253" s="76"/>
      <c r="C253" s="76"/>
      <c r="D253" s="76"/>
      <c r="E253" s="76"/>
      <c r="F253" s="76"/>
      <c r="G253" s="76"/>
      <c r="H253" s="76"/>
      <c r="I253" s="76"/>
      <c r="J253" s="76"/>
      <c r="K253" s="76"/>
      <c r="L253" s="76"/>
      <c r="M253" s="82"/>
      <c r="N253" s="78" t="s">
        <v>66</v>
      </c>
      <c r="O253" s="79"/>
      <c r="P253" s="79"/>
      <c r="Q253" s="79"/>
      <c r="R253" s="79"/>
      <c r="S253" s="79"/>
      <c r="T253" s="80"/>
      <c r="U253" s="52" t="s">
        <v>67</v>
      </c>
      <c r="V253" s="69">
        <f>IFERROR(V250/H250,"0")+IFERROR(V251/H251,"0")+IFERROR(V252/H252,"0")</f>
        <v>0</v>
      </c>
      <c r="W253" s="69">
        <f>IFERROR(W250/H250,"0")+IFERROR(W251/H251,"0")+IFERROR(W252/H252,"0")</f>
        <v>0</v>
      </c>
      <c r="X253" s="69">
        <f>IFERROR(IF(X250="",0,X250),"0")+IFERROR(IF(X251="",0,X251),"0")+IFERROR(IF(X252="",0,X252),"0")</f>
        <v>0</v>
      </c>
      <c r="Y253" s="70"/>
      <c r="Z253" s="70"/>
    </row>
    <row r="254" spans="1:53" x14ac:dyDescent="0.2">
      <c r="A254" s="76"/>
      <c r="B254" s="76"/>
      <c r="C254" s="76"/>
      <c r="D254" s="76"/>
      <c r="E254" s="76"/>
      <c r="F254" s="76"/>
      <c r="G254" s="76"/>
      <c r="H254" s="76"/>
      <c r="I254" s="76"/>
      <c r="J254" s="76"/>
      <c r="K254" s="76"/>
      <c r="L254" s="76"/>
      <c r="M254" s="82"/>
      <c r="N254" s="78" t="s">
        <v>66</v>
      </c>
      <c r="O254" s="79"/>
      <c r="P254" s="79"/>
      <c r="Q254" s="79"/>
      <c r="R254" s="79"/>
      <c r="S254" s="79"/>
      <c r="T254" s="80"/>
      <c r="U254" s="52" t="s">
        <v>65</v>
      </c>
      <c r="V254" s="69">
        <f>IFERROR(SUM(V250:V252),"0")</f>
        <v>0</v>
      </c>
      <c r="W254" s="69">
        <f>IFERROR(SUM(W250:W252),"0")</f>
        <v>0</v>
      </c>
      <c r="X254" s="52"/>
      <c r="Y254" s="70"/>
      <c r="Z254" s="70"/>
    </row>
    <row r="255" spans="1:53" ht="16.5" customHeight="1" x14ac:dyDescent="0.25">
      <c r="A255" s="75" t="s">
        <v>404</v>
      </c>
      <c r="B255" s="76"/>
      <c r="C255" s="76"/>
      <c r="D255" s="76"/>
      <c r="E255" s="76"/>
      <c r="F255" s="76"/>
      <c r="G255" s="76"/>
      <c r="H255" s="76"/>
      <c r="I255" s="76"/>
      <c r="J255" s="76"/>
      <c r="K255" s="76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76"/>
      <c r="W255" s="76"/>
      <c r="X255" s="76"/>
      <c r="Y255" s="60"/>
      <c r="Z255" s="60"/>
    </row>
    <row r="256" spans="1:53" ht="14.25" customHeight="1" x14ac:dyDescent="0.25">
      <c r="A256" s="77" t="s">
        <v>103</v>
      </c>
      <c r="B256" s="76"/>
      <c r="C256" s="76"/>
      <c r="D256" s="76"/>
      <c r="E256" s="76"/>
      <c r="F256" s="76"/>
      <c r="G256" s="76"/>
      <c r="H256" s="76"/>
      <c r="I256" s="76"/>
      <c r="J256" s="76"/>
      <c r="K256" s="76"/>
      <c r="L256" s="76"/>
      <c r="M256" s="76"/>
      <c r="N256" s="76"/>
      <c r="O256" s="76"/>
      <c r="P256" s="76"/>
      <c r="Q256" s="76"/>
      <c r="R256" s="76"/>
      <c r="S256" s="76"/>
      <c r="T256" s="76"/>
      <c r="U256" s="76"/>
      <c r="V256" s="76"/>
      <c r="W256" s="76"/>
      <c r="X256" s="76"/>
      <c r="Y256" s="61"/>
      <c r="Z256" s="61"/>
    </row>
    <row r="257" spans="1:53" ht="27" customHeight="1" x14ac:dyDescent="0.25">
      <c r="A257" s="41" t="s">
        <v>405</v>
      </c>
      <c r="B257" s="41" t="s">
        <v>406</v>
      </c>
      <c r="C257" s="42">
        <v>4301011315</v>
      </c>
      <c r="D257" s="74">
        <v>4607091387421</v>
      </c>
      <c r="E257" s="73"/>
      <c r="F257" s="66">
        <v>1.35</v>
      </c>
      <c r="G257" s="43">
        <v>8</v>
      </c>
      <c r="H257" s="66">
        <v>10.8</v>
      </c>
      <c r="I257" s="66">
        <v>11.28</v>
      </c>
      <c r="J257" s="43">
        <v>56</v>
      </c>
      <c r="K257" s="43" t="s">
        <v>98</v>
      </c>
      <c r="L257" s="44" t="s">
        <v>99</v>
      </c>
      <c r="M257" s="43">
        <v>55</v>
      </c>
      <c r="N257" s="7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72"/>
      <c r="P257" s="72"/>
      <c r="Q257" s="72"/>
      <c r="R257" s="73"/>
      <c r="S257" s="45"/>
      <c r="T257" s="45"/>
      <c r="U257" s="46" t="s">
        <v>65</v>
      </c>
      <c r="V257" s="67">
        <v>0</v>
      </c>
      <c r="W257" s="68">
        <f t="shared" ref="W257:W263" si="13">IFERROR(IF(V257="",0,CEILING((V257/$H257),1)*$H257),"")</f>
        <v>0</v>
      </c>
      <c r="X257" s="47" t="str">
        <f>IFERROR(IF(W257=0,"",ROUNDUP(W257/H257,0)*0.02175),"")</f>
        <v/>
      </c>
      <c r="Y257" s="48"/>
      <c r="Z257" s="49"/>
      <c r="AD257" s="50"/>
      <c r="BA257" s="51" t="s">
        <v>1</v>
      </c>
    </row>
    <row r="258" spans="1:53" ht="27" customHeight="1" x14ac:dyDescent="0.25">
      <c r="A258" s="41" t="s">
        <v>405</v>
      </c>
      <c r="B258" s="41" t="s">
        <v>407</v>
      </c>
      <c r="C258" s="42">
        <v>4301011121</v>
      </c>
      <c r="D258" s="74">
        <v>4607091387421</v>
      </c>
      <c r="E258" s="73"/>
      <c r="F258" s="66">
        <v>1.35</v>
      </c>
      <c r="G258" s="43">
        <v>8</v>
      </c>
      <c r="H258" s="66">
        <v>10.8</v>
      </c>
      <c r="I258" s="66">
        <v>11.28</v>
      </c>
      <c r="J258" s="43">
        <v>48</v>
      </c>
      <c r="K258" s="43" t="s">
        <v>98</v>
      </c>
      <c r="L258" s="44" t="s">
        <v>106</v>
      </c>
      <c r="M258" s="43">
        <v>55</v>
      </c>
      <c r="N258" s="7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72"/>
      <c r="P258" s="72"/>
      <c r="Q258" s="72"/>
      <c r="R258" s="73"/>
      <c r="S258" s="45"/>
      <c r="T258" s="45"/>
      <c r="U258" s="46" t="s">
        <v>65</v>
      </c>
      <c r="V258" s="67">
        <v>0</v>
      </c>
      <c r="W258" s="68">
        <f t="shared" si="13"/>
        <v>0</v>
      </c>
      <c r="X258" s="47" t="str">
        <f>IFERROR(IF(W258=0,"",ROUNDUP(W258/H258,0)*0.02039),"")</f>
        <v/>
      </c>
      <c r="Y258" s="48"/>
      <c r="Z258" s="49"/>
      <c r="AD258" s="50"/>
      <c r="BA258" s="51" t="s">
        <v>1</v>
      </c>
    </row>
    <row r="259" spans="1:53" ht="27" customHeight="1" x14ac:dyDescent="0.25">
      <c r="A259" s="41" t="s">
        <v>408</v>
      </c>
      <c r="B259" s="41" t="s">
        <v>409</v>
      </c>
      <c r="C259" s="42">
        <v>4301011619</v>
      </c>
      <c r="D259" s="74">
        <v>4607091387452</v>
      </c>
      <c r="E259" s="73"/>
      <c r="F259" s="66">
        <v>1.45</v>
      </c>
      <c r="G259" s="43">
        <v>8</v>
      </c>
      <c r="H259" s="66">
        <v>11.6</v>
      </c>
      <c r="I259" s="66">
        <v>12.08</v>
      </c>
      <c r="J259" s="43">
        <v>56</v>
      </c>
      <c r="K259" s="43" t="s">
        <v>98</v>
      </c>
      <c r="L259" s="44" t="s">
        <v>99</v>
      </c>
      <c r="M259" s="43">
        <v>55</v>
      </c>
      <c r="N259" s="92" t="s">
        <v>410</v>
      </c>
      <c r="O259" s="72"/>
      <c r="P259" s="72"/>
      <c r="Q259" s="72"/>
      <c r="R259" s="73"/>
      <c r="S259" s="45"/>
      <c r="T259" s="45"/>
      <c r="U259" s="46" t="s">
        <v>65</v>
      </c>
      <c r="V259" s="67">
        <v>0</v>
      </c>
      <c r="W259" s="68">
        <f t="shared" si="13"/>
        <v>0</v>
      </c>
      <c r="X259" s="47" t="str">
        <f>IFERROR(IF(W259=0,"",ROUNDUP(W259/H259,0)*0.02175),"")</f>
        <v/>
      </c>
      <c r="Y259" s="48"/>
      <c r="Z259" s="49"/>
      <c r="AD259" s="50"/>
      <c r="BA259" s="51" t="s">
        <v>1</v>
      </c>
    </row>
    <row r="260" spans="1:53" ht="27" customHeight="1" x14ac:dyDescent="0.25">
      <c r="A260" s="41" t="s">
        <v>408</v>
      </c>
      <c r="B260" s="41" t="s">
        <v>411</v>
      </c>
      <c r="C260" s="42">
        <v>4301011396</v>
      </c>
      <c r="D260" s="74">
        <v>4607091387452</v>
      </c>
      <c r="E260" s="73"/>
      <c r="F260" s="66">
        <v>1.35</v>
      </c>
      <c r="G260" s="43">
        <v>8</v>
      </c>
      <c r="H260" s="66">
        <v>10.8</v>
      </c>
      <c r="I260" s="66">
        <v>11.28</v>
      </c>
      <c r="J260" s="43">
        <v>48</v>
      </c>
      <c r="K260" s="43" t="s">
        <v>98</v>
      </c>
      <c r="L260" s="44" t="s">
        <v>106</v>
      </c>
      <c r="M260" s="43">
        <v>55</v>
      </c>
      <c r="N260" s="7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72"/>
      <c r="P260" s="72"/>
      <c r="Q260" s="72"/>
      <c r="R260" s="73"/>
      <c r="S260" s="45"/>
      <c r="T260" s="45"/>
      <c r="U260" s="46" t="s">
        <v>65</v>
      </c>
      <c r="V260" s="67">
        <v>0</v>
      </c>
      <c r="W260" s="68">
        <f t="shared" si="13"/>
        <v>0</v>
      </c>
      <c r="X260" s="47" t="str">
        <f>IFERROR(IF(W260=0,"",ROUNDUP(W260/H260,0)*0.02039),"")</f>
        <v/>
      </c>
      <c r="Y260" s="48"/>
      <c r="Z260" s="49"/>
      <c r="AD260" s="50"/>
      <c r="BA260" s="51" t="s">
        <v>1</v>
      </c>
    </row>
    <row r="261" spans="1:53" ht="27" customHeight="1" x14ac:dyDescent="0.25">
      <c r="A261" s="41" t="s">
        <v>412</v>
      </c>
      <c r="B261" s="41" t="s">
        <v>413</v>
      </c>
      <c r="C261" s="42">
        <v>4301011313</v>
      </c>
      <c r="D261" s="74">
        <v>4607091385984</v>
      </c>
      <c r="E261" s="73"/>
      <c r="F261" s="66">
        <v>1.35</v>
      </c>
      <c r="G261" s="43">
        <v>8</v>
      </c>
      <c r="H261" s="66">
        <v>10.8</v>
      </c>
      <c r="I261" s="66">
        <v>11.28</v>
      </c>
      <c r="J261" s="43">
        <v>56</v>
      </c>
      <c r="K261" s="43" t="s">
        <v>98</v>
      </c>
      <c r="L261" s="44" t="s">
        <v>99</v>
      </c>
      <c r="M261" s="43">
        <v>55</v>
      </c>
      <c r="N261" s="7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1" s="72"/>
      <c r="P261" s="72"/>
      <c r="Q261" s="72"/>
      <c r="R261" s="73"/>
      <c r="S261" s="45"/>
      <c r="T261" s="45"/>
      <c r="U261" s="46" t="s">
        <v>65</v>
      </c>
      <c r="V261" s="67">
        <v>0</v>
      </c>
      <c r="W261" s="68">
        <f t="shared" si="13"/>
        <v>0</v>
      </c>
      <c r="X261" s="47" t="str">
        <f>IFERROR(IF(W261=0,"",ROUNDUP(W261/H261,0)*0.02175),"")</f>
        <v/>
      </c>
      <c r="Y261" s="48"/>
      <c r="Z261" s="49"/>
      <c r="AD261" s="50"/>
      <c r="BA261" s="51" t="s">
        <v>1</v>
      </c>
    </row>
    <row r="262" spans="1:53" ht="27" customHeight="1" x14ac:dyDescent="0.25">
      <c r="A262" s="41" t="s">
        <v>414</v>
      </c>
      <c r="B262" s="41" t="s">
        <v>415</v>
      </c>
      <c r="C262" s="42">
        <v>4301011316</v>
      </c>
      <c r="D262" s="74">
        <v>4607091387438</v>
      </c>
      <c r="E262" s="73"/>
      <c r="F262" s="66">
        <v>0.5</v>
      </c>
      <c r="G262" s="43">
        <v>10</v>
      </c>
      <c r="H262" s="66">
        <v>5</v>
      </c>
      <c r="I262" s="66">
        <v>5.24</v>
      </c>
      <c r="J262" s="43">
        <v>120</v>
      </c>
      <c r="K262" s="43" t="s">
        <v>63</v>
      </c>
      <c r="L262" s="44" t="s">
        <v>99</v>
      </c>
      <c r="M262" s="43">
        <v>55</v>
      </c>
      <c r="N262" s="7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2" s="72"/>
      <c r="P262" s="72"/>
      <c r="Q262" s="72"/>
      <c r="R262" s="73"/>
      <c r="S262" s="45"/>
      <c r="T262" s="45"/>
      <c r="U262" s="46" t="s">
        <v>65</v>
      </c>
      <c r="V262" s="67">
        <v>0</v>
      </c>
      <c r="W262" s="68">
        <f t="shared" si="13"/>
        <v>0</v>
      </c>
      <c r="X262" s="47" t="str">
        <f>IFERROR(IF(W262=0,"",ROUNDUP(W262/H262,0)*0.00937),"")</f>
        <v/>
      </c>
      <c r="Y262" s="48"/>
      <c r="Z262" s="49"/>
      <c r="AD262" s="50"/>
      <c r="BA262" s="51" t="s">
        <v>1</v>
      </c>
    </row>
    <row r="263" spans="1:53" ht="27" customHeight="1" x14ac:dyDescent="0.25">
      <c r="A263" s="41" t="s">
        <v>416</v>
      </c>
      <c r="B263" s="41" t="s">
        <v>417</v>
      </c>
      <c r="C263" s="42">
        <v>4301011318</v>
      </c>
      <c r="D263" s="74">
        <v>4607091387469</v>
      </c>
      <c r="E263" s="73"/>
      <c r="F263" s="66">
        <v>0.5</v>
      </c>
      <c r="G263" s="43">
        <v>10</v>
      </c>
      <c r="H263" s="66">
        <v>5</v>
      </c>
      <c r="I263" s="66">
        <v>5.21</v>
      </c>
      <c r="J263" s="43">
        <v>120</v>
      </c>
      <c r="K263" s="43" t="s">
        <v>63</v>
      </c>
      <c r="L263" s="44" t="s">
        <v>64</v>
      </c>
      <c r="M263" s="43">
        <v>55</v>
      </c>
      <c r="N263" s="7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3" s="72"/>
      <c r="P263" s="72"/>
      <c r="Q263" s="72"/>
      <c r="R263" s="73"/>
      <c r="S263" s="45"/>
      <c r="T263" s="45"/>
      <c r="U263" s="46" t="s">
        <v>65</v>
      </c>
      <c r="V263" s="67">
        <v>0</v>
      </c>
      <c r="W263" s="68">
        <f t="shared" si="13"/>
        <v>0</v>
      </c>
      <c r="X263" s="47" t="str">
        <f>IFERROR(IF(W263=0,"",ROUNDUP(W263/H263,0)*0.00937),"")</f>
        <v/>
      </c>
      <c r="Y263" s="48"/>
      <c r="Z263" s="49"/>
      <c r="AD263" s="50"/>
      <c r="BA263" s="51" t="s">
        <v>1</v>
      </c>
    </row>
    <row r="264" spans="1:53" x14ac:dyDescent="0.2">
      <c r="A264" s="81"/>
      <c r="B264" s="76"/>
      <c r="C264" s="76"/>
      <c r="D264" s="76"/>
      <c r="E264" s="76"/>
      <c r="F264" s="76"/>
      <c r="G264" s="76"/>
      <c r="H264" s="76"/>
      <c r="I264" s="76"/>
      <c r="J264" s="76"/>
      <c r="K264" s="76"/>
      <c r="L264" s="76"/>
      <c r="M264" s="82"/>
      <c r="N264" s="78" t="s">
        <v>66</v>
      </c>
      <c r="O264" s="79"/>
      <c r="P264" s="79"/>
      <c r="Q264" s="79"/>
      <c r="R264" s="79"/>
      <c r="S264" s="79"/>
      <c r="T264" s="80"/>
      <c r="U264" s="52" t="s">
        <v>67</v>
      </c>
      <c r="V264" s="69">
        <f>IFERROR(V257/H257,"0")+IFERROR(V258/H258,"0")+IFERROR(V259/H259,"0")+IFERROR(V260/H260,"0")+IFERROR(V261/H261,"0")+IFERROR(V262/H262,"0")+IFERROR(V263/H263,"0")</f>
        <v>0</v>
      </c>
      <c r="W264" s="69">
        <f>IFERROR(W257/H257,"0")+IFERROR(W258/H258,"0")+IFERROR(W259/H259,"0")+IFERROR(W260/H260,"0")+IFERROR(W261/H261,"0")+IFERROR(W262/H262,"0")+IFERROR(W263/H263,"0")</f>
        <v>0</v>
      </c>
      <c r="X264" s="69">
        <f>IFERROR(IF(X257="",0,X257),"0")+IFERROR(IF(X258="",0,X258),"0")+IFERROR(IF(X259="",0,X259),"0")+IFERROR(IF(X260="",0,X260),"0")+IFERROR(IF(X261="",0,X261),"0")+IFERROR(IF(X262="",0,X262),"0")+IFERROR(IF(X263="",0,X263),"0")</f>
        <v>0</v>
      </c>
      <c r="Y264" s="70"/>
      <c r="Z264" s="70"/>
    </row>
    <row r="265" spans="1:53" x14ac:dyDescent="0.2">
      <c r="A265" s="76"/>
      <c r="B265" s="76"/>
      <c r="C265" s="76"/>
      <c r="D265" s="76"/>
      <c r="E265" s="76"/>
      <c r="F265" s="76"/>
      <c r="G265" s="76"/>
      <c r="H265" s="76"/>
      <c r="I265" s="76"/>
      <c r="J265" s="76"/>
      <c r="K265" s="76"/>
      <c r="L265" s="76"/>
      <c r="M265" s="82"/>
      <c r="N265" s="78" t="s">
        <v>66</v>
      </c>
      <c r="O265" s="79"/>
      <c r="P265" s="79"/>
      <c r="Q265" s="79"/>
      <c r="R265" s="79"/>
      <c r="S265" s="79"/>
      <c r="T265" s="80"/>
      <c r="U265" s="52" t="s">
        <v>65</v>
      </c>
      <c r="V265" s="69">
        <f>IFERROR(SUM(V257:V263),"0")</f>
        <v>0</v>
      </c>
      <c r="W265" s="69">
        <f>IFERROR(SUM(W257:W263),"0")</f>
        <v>0</v>
      </c>
      <c r="X265" s="52"/>
      <c r="Y265" s="70"/>
      <c r="Z265" s="70"/>
    </row>
    <row r="266" spans="1:53" ht="14.25" customHeight="1" x14ac:dyDescent="0.25">
      <c r="A266" s="77" t="s">
        <v>60</v>
      </c>
      <c r="B266" s="76"/>
      <c r="C266" s="76"/>
      <c r="D266" s="76"/>
      <c r="E266" s="76"/>
      <c r="F266" s="76"/>
      <c r="G266" s="76"/>
      <c r="H266" s="76"/>
      <c r="I266" s="76"/>
      <c r="J266" s="76"/>
      <c r="K266" s="76"/>
      <c r="L266" s="76"/>
      <c r="M266" s="76"/>
      <c r="N266" s="76"/>
      <c r="O266" s="76"/>
      <c r="P266" s="76"/>
      <c r="Q266" s="76"/>
      <c r="R266" s="76"/>
      <c r="S266" s="76"/>
      <c r="T266" s="76"/>
      <c r="U266" s="76"/>
      <c r="V266" s="76"/>
      <c r="W266" s="76"/>
      <c r="X266" s="76"/>
      <c r="Y266" s="61"/>
      <c r="Z266" s="61"/>
    </row>
    <row r="267" spans="1:53" ht="27" customHeight="1" x14ac:dyDescent="0.25">
      <c r="A267" s="41" t="s">
        <v>418</v>
      </c>
      <c r="B267" s="41" t="s">
        <v>419</v>
      </c>
      <c r="C267" s="42">
        <v>4301031154</v>
      </c>
      <c r="D267" s="74">
        <v>4607091387292</v>
      </c>
      <c r="E267" s="73"/>
      <c r="F267" s="66">
        <v>0.73</v>
      </c>
      <c r="G267" s="43">
        <v>6</v>
      </c>
      <c r="H267" s="66">
        <v>4.38</v>
      </c>
      <c r="I267" s="66">
        <v>4.6399999999999997</v>
      </c>
      <c r="J267" s="43">
        <v>156</v>
      </c>
      <c r="K267" s="43" t="s">
        <v>63</v>
      </c>
      <c r="L267" s="44" t="s">
        <v>64</v>
      </c>
      <c r="M267" s="43">
        <v>45</v>
      </c>
      <c r="N267" s="7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7" s="72"/>
      <c r="P267" s="72"/>
      <c r="Q267" s="72"/>
      <c r="R267" s="73"/>
      <c r="S267" s="45"/>
      <c r="T267" s="45"/>
      <c r="U267" s="46" t="s">
        <v>65</v>
      </c>
      <c r="V267" s="67">
        <v>0</v>
      </c>
      <c r="W267" s="68">
        <f>IFERROR(IF(V267="",0,CEILING((V267/$H267),1)*$H267),"")</f>
        <v>0</v>
      </c>
      <c r="X267" s="47" t="str">
        <f>IFERROR(IF(W267=0,"",ROUNDUP(W267/H267,0)*0.00753),"")</f>
        <v/>
      </c>
      <c r="Y267" s="48"/>
      <c r="Z267" s="49"/>
      <c r="AD267" s="50"/>
      <c r="BA267" s="51" t="s">
        <v>1</v>
      </c>
    </row>
    <row r="268" spans="1:53" ht="27" customHeight="1" x14ac:dyDescent="0.25">
      <c r="A268" s="41" t="s">
        <v>420</v>
      </c>
      <c r="B268" s="41" t="s">
        <v>421</v>
      </c>
      <c r="C268" s="42">
        <v>4301031155</v>
      </c>
      <c r="D268" s="74">
        <v>4607091387315</v>
      </c>
      <c r="E268" s="73"/>
      <c r="F268" s="66">
        <v>0.7</v>
      </c>
      <c r="G268" s="43">
        <v>4</v>
      </c>
      <c r="H268" s="66">
        <v>2.8</v>
      </c>
      <c r="I268" s="66">
        <v>3.048</v>
      </c>
      <c r="J268" s="43">
        <v>156</v>
      </c>
      <c r="K268" s="43" t="s">
        <v>63</v>
      </c>
      <c r="L268" s="44" t="s">
        <v>64</v>
      </c>
      <c r="M268" s="43">
        <v>45</v>
      </c>
      <c r="N268" s="7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8" s="72"/>
      <c r="P268" s="72"/>
      <c r="Q268" s="72"/>
      <c r="R268" s="73"/>
      <c r="S268" s="45"/>
      <c r="T268" s="45"/>
      <c r="U268" s="46" t="s">
        <v>65</v>
      </c>
      <c r="V268" s="67">
        <v>0</v>
      </c>
      <c r="W268" s="68">
        <f>IFERROR(IF(V268="",0,CEILING((V268/$H268),1)*$H268),"")</f>
        <v>0</v>
      </c>
      <c r="X268" s="47" t="str">
        <f>IFERROR(IF(W268=0,"",ROUNDUP(W268/H268,0)*0.00753),"")</f>
        <v/>
      </c>
      <c r="Y268" s="48"/>
      <c r="Z268" s="49"/>
      <c r="AD268" s="50"/>
      <c r="BA268" s="51" t="s">
        <v>1</v>
      </c>
    </row>
    <row r="269" spans="1:53" x14ac:dyDescent="0.2">
      <c r="A269" s="81"/>
      <c r="B269" s="76"/>
      <c r="C269" s="76"/>
      <c r="D269" s="76"/>
      <c r="E269" s="76"/>
      <c r="F269" s="76"/>
      <c r="G269" s="76"/>
      <c r="H269" s="76"/>
      <c r="I269" s="76"/>
      <c r="J269" s="76"/>
      <c r="K269" s="76"/>
      <c r="L269" s="76"/>
      <c r="M269" s="82"/>
      <c r="N269" s="78" t="s">
        <v>66</v>
      </c>
      <c r="O269" s="79"/>
      <c r="P269" s="79"/>
      <c r="Q269" s="79"/>
      <c r="R269" s="79"/>
      <c r="S269" s="79"/>
      <c r="T269" s="80"/>
      <c r="U269" s="52" t="s">
        <v>67</v>
      </c>
      <c r="V269" s="69">
        <f>IFERROR(V267/H267,"0")+IFERROR(V268/H268,"0")</f>
        <v>0</v>
      </c>
      <c r="W269" s="69">
        <f>IFERROR(W267/H267,"0")+IFERROR(W268/H268,"0")</f>
        <v>0</v>
      </c>
      <c r="X269" s="69">
        <f>IFERROR(IF(X267="",0,X267),"0")+IFERROR(IF(X268="",0,X268),"0")</f>
        <v>0</v>
      </c>
      <c r="Y269" s="70"/>
      <c r="Z269" s="70"/>
    </row>
    <row r="270" spans="1:53" x14ac:dyDescent="0.2">
      <c r="A270" s="76"/>
      <c r="B270" s="76"/>
      <c r="C270" s="76"/>
      <c r="D270" s="76"/>
      <c r="E270" s="76"/>
      <c r="F270" s="76"/>
      <c r="G270" s="76"/>
      <c r="H270" s="76"/>
      <c r="I270" s="76"/>
      <c r="J270" s="76"/>
      <c r="K270" s="76"/>
      <c r="L270" s="76"/>
      <c r="M270" s="82"/>
      <c r="N270" s="78" t="s">
        <v>66</v>
      </c>
      <c r="O270" s="79"/>
      <c r="P270" s="79"/>
      <c r="Q270" s="79"/>
      <c r="R270" s="79"/>
      <c r="S270" s="79"/>
      <c r="T270" s="80"/>
      <c r="U270" s="52" t="s">
        <v>65</v>
      </c>
      <c r="V270" s="69">
        <f>IFERROR(SUM(V267:V268),"0")</f>
        <v>0</v>
      </c>
      <c r="W270" s="69">
        <f>IFERROR(SUM(W267:W268),"0")</f>
        <v>0</v>
      </c>
      <c r="X270" s="52"/>
      <c r="Y270" s="70"/>
      <c r="Z270" s="70"/>
    </row>
    <row r="271" spans="1:53" ht="16.5" customHeight="1" x14ac:dyDescent="0.25">
      <c r="A271" s="75" t="s">
        <v>422</v>
      </c>
      <c r="B271" s="76"/>
      <c r="C271" s="76"/>
      <c r="D271" s="76"/>
      <c r="E271" s="76"/>
      <c r="F271" s="76"/>
      <c r="G271" s="76"/>
      <c r="H271" s="76"/>
      <c r="I271" s="76"/>
      <c r="J271" s="76"/>
      <c r="K271" s="76"/>
      <c r="L271" s="76"/>
      <c r="M271" s="76"/>
      <c r="N271" s="76"/>
      <c r="O271" s="76"/>
      <c r="P271" s="76"/>
      <c r="Q271" s="76"/>
      <c r="R271" s="76"/>
      <c r="S271" s="76"/>
      <c r="T271" s="76"/>
      <c r="U271" s="76"/>
      <c r="V271" s="76"/>
      <c r="W271" s="76"/>
      <c r="X271" s="76"/>
      <c r="Y271" s="60"/>
      <c r="Z271" s="60"/>
    </row>
    <row r="272" spans="1:53" ht="14.25" customHeight="1" x14ac:dyDescent="0.25">
      <c r="A272" s="77" t="s">
        <v>60</v>
      </c>
      <c r="B272" s="76"/>
      <c r="C272" s="76"/>
      <c r="D272" s="76"/>
      <c r="E272" s="76"/>
      <c r="F272" s="76"/>
      <c r="G272" s="76"/>
      <c r="H272" s="76"/>
      <c r="I272" s="76"/>
      <c r="J272" s="76"/>
      <c r="K272" s="76"/>
      <c r="L272" s="76"/>
      <c r="M272" s="76"/>
      <c r="N272" s="76"/>
      <c r="O272" s="76"/>
      <c r="P272" s="76"/>
      <c r="Q272" s="76"/>
      <c r="R272" s="76"/>
      <c r="S272" s="76"/>
      <c r="T272" s="76"/>
      <c r="U272" s="76"/>
      <c r="V272" s="76"/>
      <c r="W272" s="76"/>
      <c r="X272" s="76"/>
      <c r="Y272" s="61"/>
      <c r="Z272" s="61"/>
    </row>
    <row r="273" spans="1:53" ht="27" customHeight="1" x14ac:dyDescent="0.25">
      <c r="A273" s="41" t="s">
        <v>423</v>
      </c>
      <c r="B273" s="41" t="s">
        <v>424</v>
      </c>
      <c r="C273" s="42">
        <v>4301031066</v>
      </c>
      <c r="D273" s="74">
        <v>4607091383836</v>
      </c>
      <c r="E273" s="73"/>
      <c r="F273" s="66">
        <v>0.3</v>
      </c>
      <c r="G273" s="43">
        <v>6</v>
      </c>
      <c r="H273" s="66">
        <v>1.8</v>
      </c>
      <c r="I273" s="66">
        <v>2.048</v>
      </c>
      <c r="J273" s="43">
        <v>156</v>
      </c>
      <c r="K273" s="43" t="s">
        <v>63</v>
      </c>
      <c r="L273" s="44" t="s">
        <v>64</v>
      </c>
      <c r="M273" s="43">
        <v>40</v>
      </c>
      <c r="N273" s="7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3" s="72"/>
      <c r="P273" s="72"/>
      <c r="Q273" s="72"/>
      <c r="R273" s="73"/>
      <c r="S273" s="45"/>
      <c r="T273" s="45"/>
      <c r="U273" s="46" t="s">
        <v>65</v>
      </c>
      <c r="V273" s="67">
        <v>0</v>
      </c>
      <c r="W273" s="68">
        <f>IFERROR(IF(V273="",0,CEILING((V273/$H273),1)*$H273),"")</f>
        <v>0</v>
      </c>
      <c r="X273" s="47" t="str">
        <f>IFERROR(IF(W273=0,"",ROUNDUP(W273/H273,0)*0.00753),"")</f>
        <v/>
      </c>
      <c r="Y273" s="48"/>
      <c r="Z273" s="49"/>
      <c r="AD273" s="50"/>
      <c r="BA273" s="51" t="s">
        <v>1</v>
      </c>
    </row>
    <row r="274" spans="1:53" x14ac:dyDescent="0.2">
      <c r="A274" s="81"/>
      <c r="B274" s="76"/>
      <c r="C274" s="76"/>
      <c r="D274" s="76"/>
      <c r="E274" s="76"/>
      <c r="F274" s="76"/>
      <c r="G274" s="76"/>
      <c r="H274" s="76"/>
      <c r="I274" s="76"/>
      <c r="J274" s="76"/>
      <c r="K274" s="76"/>
      <c r="L274" s="76"/>
      <c r="M274" s="82"/>
      <c r="N274" s="78" t="s">
        <v>66</v>
      </c>
      <c r="O274" s="79"/>
      <c r="P274" s="79"/>
      <c r="Q274" s="79"/>
      <c r="R274" s="79"/>
      <c r="S274" s="79"/>
      <c r="T274" s="80"/>
      <c r="U274" s="52" t="s">
        <v>67</v>
      </c>
      <c r="V274" s="69">
        <f>IFERROR(V273/H273,"0")</f>
        <v>0</v>
      </c>
      <c r="W274" s="69">
        <f>IFERROR(W273/H273,"0")</f>
        <v>0</v>
      </c>
      <c r="X274" s="69">
        <f>IFERROR(IF(X273="",0,X273),"0")</f>
        <v>0</v>
      </c>
      <c r="Y274" s="70"/>
      <c r="Z274" s="70"/>
    </row>
    <row r="275" spans="1:53" x14ac:dyDescent="0.2">
      <c r="A275" s="76"/>
      <c r="B275" s="76"/>
      <c r="C275" s="76"/>
      <c r="D275" s="76"/>
      <c r="E275" s="76"/>
      <c r="F275" s="76"/>
      <c r="G275" s="76"/>
      <c r="H275" s="76"/>
      <c r="I275" s="76"/>
      <c r="J275" s="76"/>
      <c r="K275" s="76"/>
      <c r="L275" s="76"/>
      <c r="M275" s="82"/>
      <c r="N275" s="78" t="s">
        <v>66</v>
      </c>
      <c r="O275" s="79"/>
      <c r="P275" s="79"/>
      <c r="Q275" s="79"/>
      <c r="R275" s="79"/>
      <c r="S275" s="79"/>
      <c r="T275" s="80"/>
      <c r="U275" s="52" t="s">
        <v>65</v>
      </c>
      <c r="V275" s="69">
        <f>IFERROR(SUM(V273:V273),"0")</f>
        <v>0</v>
      </c>
      <c r="W275" s="69">
        <f>IFERROR(SUM(W273:W273),"0")</f>
        <v>0</v>
      </c>
      <c r="X275" s="52"/>
      <c r="Y275" s="70"/>
      <c r="Z275" s="70"/>
    </row>
    <row r="276" spans="1:53" ht="14.25" customHeight="1" x14ac:dyDescent="0.25">
      <c r="A276" s="77" t="s">
        <v>68</v>
      </c>
      <c r="B276" s="76"/>
      <c r="C276" s="76"/>
      <c r="D276" s="76"/>
      <c r="E276" s="76"/>
      <c r="F276" s="76"/>
      <c r="G276" s="76"/>
      <c r="H276" s="76"/>
      <c r="I276" s="76"/>
      <c r="J276" s="76"/>
      <c r="K276" s="76"/>
      <c r="L276" s="76"/>
      <c r="M276" s="76"/>
      <c r="N276" s="76"/>
      <c r="O276" s="76"/>
      <c r="P276" s="76"/>
      <c r="Q276" s="76"/>
      <c r="R276" s="76"/>
      <c r="S276" s="76"/>
      <c r="T276" s="76"/>
      <c r="U276" s="76"/>
      <c r="V276" s="76"/>
      <c r="W276" s="76"/>
      <c r="X276" s="76"/>
      <c r="Y276" s="61"/>
      <c r="Z276" s="61"/>
    </row>
    <row r="277" spans="1:53" ht="27" customHeight="1" x14ac:dyDescent="0.25">
      <c r="A277" s="41" t="s">
        <v>425</v>
      </c>
      <c r="B277" s="41" t="s">
        <v>426</v>
      </c>
      <c r="C277" s="42">
        <v>4301051142</v>
      </c>
      <c r="D277" s="74">
        <v>4607091387919</v>
      </c>
      <c r="E277" s="73"/>
      <c r="F277" s="66">
        <v>1.35</v>
      </c>
      <c r="G277" s="43">
        <v>6</v>
      </c>
      <c r="H277" s="66">
        <v>8.1</v>
      </c>
      <c r="I277" s="66">
        <v>8.6639999999999997</v>
      </c>
      <c r="J277" s="43">
        <v>56</v>
      </c>
      <c r="K277" s="43" t="s">
        <v>98</v>
      </c>
      <c r="L277" s="44" t="s">
        <v>64</v>
      </c>
      <c r="M277" s="43">
        <v>45</v>
      </c>
      <c r="N277" s="7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7" s="72"/>
      <c r="P277" s="72"/>
      <c r="Q277" s="72"/>
      <c r="R277" s="73"/>
      <c r="S277" s="45"/>
      <c r="T277" s="45"/>
      <c r="U277" s="46" t="s">
        <v>65</v>
      </c>
      <c r="V277" s="67">
        <v>0</v>
      </c>
      <c r="W277" s="68">
        <f>IFERROR(IF(V277="",0,CEILING((V277/$H277),1)*$H277),"")</f>
        <v>0</v>
      </c>
      <c r="X277" s="47" t="str">
        <f>IFERROR(IF(W277=0,"",ROUNDUP(W277/H277,0)*0.02175),"")</f>
        <v/>
      </c>
      <c r="Y277" s="48"/>
      <c r="Z277" s="49"/>
      <c r="AD277" s="50"/>
      <c r="BA277" s="51" t="s">
        <v>1</v>
      </c>
    </row>
    <row r="278" spans="1:53" ht="27" customHeight="1" x14ac:dyDescent="0.25">
      <c r="A278" s="41" t="s">
        <v>427</v>
      </c>
      <c r="B278" s="41" t="s">
        <v>428</v>
      </c>
      <c r="C278" s="42">
        <v>4301051109</v>
      </c>
      <c r="D278" s="74">
        <v>4607091383942</v>
      </c>
      <c r="E278" s="73"/>
      <c r="F278" s="66">
        <v>0.42</v>
      </c>
      <c r="G278" s="43">
        <v>6</v>
      </c>
      <c r="H278" s="66">
        <v>2.52</v>
      </c>
      <c r="I278" s="66">
        <v>2.7919999999999998</v>
      </c>
      <c r="J278" s="43">
        <v>156</v>
      </c>
      <c r="K278" s="43" t="s">
        <v>63</v>
      </c>
      <c r="L278" s="44" t="s">
        <v>128</v>
      </c>
      <c r="M278" s="43">
        <v>45</v>
      </c>
      <c r="N278" s="71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8" s="72"/>
      <c r="P278" s="72"/>
      <c r="Q278" s="72"/>
      <c r="R278" s="73"/>
      <c r="S278" s="45"/>
      <c r="T278" s="45"/>
      <c r="U278" s="46" t="s">
        <v>65</v>
      </c>
      <c r="V278" s="67">
        <v>0</v>
      </c>
      <c r="W278" s="68">
        <f>IFERROR(IF(V278="",0,CEILING((V278/$H278),1)*$H278),"")</f>
        <v>0</v>
      </c>
      <c r="X278" s="47" t="str">
        <f>IFERROR(IF(W278=0,"",ROUNDUP(W278/H278,0)*0.00753),"")</f>
        <v/>
      </c>
      <c r="Y278" s="48"/>
      <c r="Z278" s="49"/>
      <c r="AD278" s="50"/>
      <c r="BA278" s="51" t="s">
        <v>1</v>
      </c>
    </row>
    <row r="279" spans="1:53" ht="27" customHeight="1" x14ac:dyDescent="0.25">
      <c r="A279" s="41" t="s">
        <v>429</v>
      </c>
      <c r="B279" s="41" t="s">
        <v>430</v>
      </c>
      <c r="C279" s="42">
        <v>4301051518</v>
      </c>
      <c r="D279" s="74">
        <v>4607091383959</v>
      </c>
      <c r="E279" s="73"/>
      <c r="F279" s="66">
        <v>0.42</v>
      </c>
      <c r="G279" s="43">
        <v>6</v>
      </c>
      <c r="H279" s="66">
        <v>2.52</v>
      </c>
      <c r="I279" s="66">
        <v>2.78</v>
      </c>
      <c r="J279" s="43">
        <v>156</v>
      </c>
      <c r="K279" s="43" t="s">
        <v>63</v>
      </c>
      <c r="L279" s="44" t="s">
        <v>64</v>
      </c>
      <c r="M279" s="43">
        <v>40</v>
      </c>
      <c r="N279" s="92" t="s">
        <v>431</v>
      </c>
      <c r="O279" s="72"/>
      <c r="P279" s="72"/>
      <c r="Q279" s="72"/>
      <c r="R279" s="73"/>
      <c r="S279" s="45"/>
      <c r="T279" s="45"/>
      <c r="U279" s="46" t="s">
        <v>65</v>
      </c>
      <c r="V279" s="67">
        <v>0</v>
      </c>
      <c r="W279" s="68">
        <f>IFERROR(IF(V279="",0,CEILING((V279/$H279),1)*$H279),"")</f>
        <v>0</v>
      </c>
      <c r="X279" s="47" t="str">
        <f>IFERROR(IF(W279=0,"",ROUNDUP(W279/H279,0)*0.00753),"")</f>
        <v/>
      </c>
      <c r="Y279" s="48"/>
      <c r="Z279" s="49"/>
      <c r="AD279" s="50"/>
      <c r="BA279" s="51" t="s">
        <v>1</v>
      </c>
    </row>
    <row r="280" spans="1:53" x14ac:dyDescent="0.2">
      <c r="A280" s="81"/>
      <c r="B280" s="76"/>
      <c r="C280" s="76"/>
      <c r="D280" s="76"/>
      <c r="E280" s="76"/>
      <c r="F280" s="76"/>
      <c r="G280" s="76"/>
      <c r="H280" s="76"/>
      <c r="I280" s="76"/>
      <c r="J280" s="76"/>
      <c r="K280" s="76"/>
      <c r="L280" s="76"/>
      <c r="M280" s="82"/>
      <c r="N280" s="78" t="s">
        <v>66</v>
      </c>
      <c r="O280" s="79"/>
      <c r="P280" s="79"/>
      <c r="Q280" s="79"/>
      <c r="R280" s="79"/>
      <c r="S280" s="79"/>
      <c r="T280" s="80"/>
      <c r="U280" s="52" t="s">
        <v>67</v>
      </c>
      <c r="V280" s="69">
        <f>IFERROR(V277/H277,"0")+IFERROR(V278/H278,"0")+IFERROR(V279/H279,"0")</f>
        <v>0</v>
      </c>
      <c r="W280" s="69">
        <f>IFERROR(W277/H277,"0")+IFERROR(W278/H278,"0")+IFERROR(W279/H279,"0")</f>
        <v>0</v>
      </c>
      <c r="X280" s="69">
        <f>IFERROR(IF(X277="",0,X277),"0")+IFERROR(IF(X278="",0,X278),"0")+IFERROR(IF(X279="",0,X279),"0")</f>
        <v>0</v>
      </c>
      <c r="Y280" s="70"/>
      <c r="Z280" s="70"/>
    </row>
    <row r="281" spans="1:53" x14ac:dyDescent="0.2">
      <c r="A281" s="76"/>
      <c r="B281" s="76"/>
      <c r="C281" s="76"/>
      <c r="D281" s="76"/>
      <c r="E281" s="76"/>
      <c r="F281" s="76"/>
      <c r="G281" s="76"/>
      <c r="H281" s="76"/>
      <c r="I281" s="76"/>
      <c r="J281" s="76"/>
      <c r="K281" s="76"/>
      <c r="L281" s="76"/>
      <c r="M281" s="82"/>
      <c r="N281" s="78" t="s">
        <v>66</v>
      </c>
      <c r="O281" s="79"/>
      <c r="P281" s="79"/>
      <c r="Q281" s="79"/>
      <c r="R281" s="79"/>
      <c r="S281" s="79"/>
      <c r="T281" s="80"/>
      <c r="U281" s="52" t="s">
        <v>65</v>
      </c>
      <c r="V281" s="69">
        <f>IFERROR(SUM(V277:V279),"0")</f>
        <v>0</v>
      </c>
      <c r="W281" s="69">
        <f>IFERROR(SUM(W277:W279),"0")</f>
        <v>0</v>
      </c>
      <c r="X281" s="52"/>
      <c r="Y281" s="70"/>
      <c r="Z281" s="70"/>
    </row>
    <row r="282" spans="1:53" ht="14.25" customHeight="1" x14ac:dyDescent="0.25">
      <c r="A282" s="77" t="s">
        <v>218</v>
      </c>
      <c r="B282" s="76"/>
      <c r="C282" s="76"/>
      <c r="D282" s="76"/>
      <c r="E282" s="76"/>
      <c r="F282" s="76"/>
      <c r="G282" s="76"/>
      <c r="H282" s="76"/>
      <c r="I282" s="76"/>
      <c r="J282" s="76"/>
      <c r="K282" s="76"/>
      <c r="L282" s="76"/>
      <c r="M282" s="76"/>
      <c r="N282" s="76"/>
      <c r="O282" s="76"/>
      <c r="P282" s="76"/>
      <c r="Q282" s="76"/>
      <c r="R282" s="76"/>
      <c r="S282" s="76"/>
      <c r="T282" s="76"/>
      <c r="U282" s="76"/>
      <c r="V282" s="76"/>
      <c r="W282" s="76"/>
      <c r="X282" s="76"/>
      <c r="Y282" s="61"/>
      <c r="Z282" s="61"/>
    </row>
    <row r="283" spans="1:53" ht="27" customHeight="1" x14ac:dyDescent="0.25">
      <c r="A283" s="41" t="s">
        <v>432</v>
      </c>
      <c r="B283" s="41" t="s">
        <v>433</v>
      </c>
      <c r="C283" s="42">
        <v>4301060324</v>
      </c>
      <c r="D283" s="74">
        <v>4607091388831</v>
      </c>
      <c r="E283" s="73"/>
      <c r="F283" s="66">
        <v>0.38</v>
      </c>
      <c r="G283" s="43">
        <v>6</v>
      </c>
      <c r="H283" s="66">
        <v>2.2799999999999998</v>
      </c>
      <c r="I283" s="66">
        <v>2.552</v>
      </c>
      <c r="J283" s="43">
        <v>156</v>
      </c>
      <c r="K283" s="43" t="s">
        <v>63</v>
      </c>
      <c r="L283" s="44" t="s">
        <v>64</v>
      </c>
      <c r="M283" s="43">
        <v>40</v>
      </c>
      <c r="N283" s="7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3" s="72"/>
      <c r="P283" s="72"/>
      <c r="Q283" s="72"/>
      <c r="R283" s="73"/>
      <c r="S283" s="45"/>
      <c r="T283" s="45"/>
      <c r="U283" s="46" t="s">
        <v>65</v>
      </c>
      <c r="V283" s="67">
        <v>0</v>
      </c>
      <c r="W283" s="68">
        <f>IFERROR(IF(V283="",0,CEILING((V283/$H283),1)*$H283),"")</f>
        <v>0</v>
      </c>
      <c r="X283" s="47" t="str">
        <f>IFERROR(IF(W283=0,"",ROUNDUP(W283/H283,0)*0.00753),"")</f>
        <v/>
      </c>
      <c r="Y283" s="48"/>
      <c r="Z283" s="49"/>
      <c r="AD283" s="50"/>
      <c r="BA283" s="51" t="s">
        <v>1</v>
      </c>
    </row>
    <row r="284" spans="1:53" x14ac:dyDescent="0.2">
      <c r="A284" s="81"/>
      <c r="B284" s="76"/>
      <c r="C284" s="76"/>
      <c r="D284" s="76"/>
      <c r="E284" s="76"/>
      <c r="F284" s="76"/>
      <c r="G284" s="76"/>
      <c r="H284" s="76"/>
      <c r="I284" s="76"/>
      <c r="J284" s="76"/>
      <c r="K284" s="76"/>
      <c r="L284" s="76"/>
      <c r="M284" s="82"/>
      <c r="N284" s="78" t="s">
        <v>66</v>
      </c>
      <c r="O284" s="79"/>
      <c r="P284" s="79"/>
      <c r="Q284" s="79"/>
      <c r="R284" s="79"/>
      <c r="S284" s="79"/>
      <c r="T284" s="80"/>
      <c r="U284" s="52" t="s">
        <v>67</v>
      </c>
      <c r="V284" s="69">
        <f>IFERROR(V283/H283,"0")</f>
        <v>0</v>
      </c>
      <c r="W284" s="69">
        <f>IFERROR(W283/H283,"0")</f>
        <v>0</v>
      </c>
      <c r="X284" s="69">
        <f>IFERROR(IF(X283="",0,X283),"0")</f>
        <v>0</v>
      </c>
      <c r="Y284" s="70"/>
      <c r="Z284" s="70"/>
    </row>
    <row r="285" spans="1:53" x14ac:dyDescent="0.2">
      <c r="A285" s="76"/>
      <c r="B285" s="76"/>
      <c r="C285" s="76"/>
      <c r="D285" s="76"/>
      <c r="E285" s="76"/>
      <c r="F285" s="76"/>
      <c r="G285" s="76"/>
      <c r="H285" s="76"/>
      <c r="I285" s="76"/>
      <c r="J285" s="76"/>
      <c r="K285" s="76"/>
      <c r="L285" s="76"/>
      <c r="M285" s="82"/>
      <c r="N285" s="78" t="s">
        <v>66</v>
      </c>
      <c r="O285" s="79"/>
      <c r="P285" s="79"/>
      <c r="Q285" s="79"/>
      <c r="R285" s="79"/>
      <c r="S285" s="79"/>
      <c r="T285" s="80"/>
      <c r="U285" s="52" t="s">
        <v>65</v>
      </c>
      <c r="V285" s="69">
        <f>IFERROR(SUM(V283:V283),"0")</f>
        <v>0</v>
      </c>
      <c r="W285" s="69">
        <f>IFERROR(SUM(W283:W283),"0")</f>
        <v>0</v>
      </c>
      <c r="X285" s="52"/>
      <c r="Y285" s="70"/>
      <c r="Z285" s="70"/>
    </row>
    <row r="286" spans="1:53" ht="14.25" customHeight="1" x14ac:dyDescent="0.25">
      <c r="A286" s="77" t="s">
        <v>81</v>
      </c>
      <c r="B286" s="76"/>
      <c r="C286" s="76"/>
      <c r="D286" s="76"/>
      <c r="E286" s="76"/>
      <c r="F286" s="76"/>
      <c r="G286" s="76"/>
      <c r="H286" s="76"/>
      <c r="I286" s="76"/>
      <c r="J286" s="76"/>
      <c r="K286" s="76"/>
      <c r="L286" s="76"/>
      <c r="M286" s="76"/>
      <c r="N286" s="76"/>
      <c r="O286" s="76"/>
      <c r="P286" s="76"/>
      <c r="Q286" s="76"/>
      <c r="R286" s="76"/>
      <c r="S286" s="76"/>
      <c r="T286" s="76"/>
      <c r="U286" s="76"/>
      <c r="V286" s="76"/>
      <c r="W286" s="76"/>
      <c r="X286" s="76"/>
      <c r="Y286" s="61"/>
      <c r="Z286" s="61"/>
    </row>
    <row r="287" spans="1:53" ht="27" customHeight="1" x14ac:dyDescent="0.25">
      <c r="A287" s="41" t="s">
        <v>434</v>
      </c>
      <c r="B287" s="41" t="s">
        <v>435</v>
      </c>
      <c r="C287" s="42">
        <v>4301032015</v>
      </c>
      <c r="D287" s="74">
        <v>4607091383102</v>
      </c>
      <c r="E287" s="73"/>
      <c r="F287" s="66">
        <v>0.17</v>
      </c>
      <c r="G287" s="43">
        <v>15</v>
      </c>
      <c r="H287" s="66">
        <v>2.5499999999999998</v>
      </c>
      <c r="I287" s="66">
        <v>2.9750000000000001</v>
      </c>
      <c r="J287" s="43">
        <v>156</v>
      </c>
      <c r="K287" s="43" t="s">
        <v>63</v>
      </c>
      <c r="L287" s="44" t="s">
        <v>84</v>
      </c>
      <c r="M287" s="43">
        <v>180</v>
      </c>
      <c r="N287" s="7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7" s="72"/>
      <c r="P287" s="72"/>
      <c r="Q287" s="72"/>
      <c r="R287" s="73"/>
      <c r="S287" s="45"/>
      <c r="T287" s="45"/>
      <c r="U287" s="46" t="s">
        <v>65</v>
      </c>
      <c r="V287" s="67">
        <v>0</v>
      </c>
      <c r="W287" s="68">
        <f>IFERROR(IF(V287="",0,CEILING((V287/$H287),1)*$H287),"")</f>
        <v>0</v>
      </c>
      <c r="X287" s="47" t="str">
        <f>IFERROR(IF(W287=0,"",ROUNDUP(W287/H287,0)*0.00753),"")</f>
        <v/>
      </c>
      <c r="Y287" s="48"/>
      <c r="Z287" s="49"/>
      <c r="AD287" s="50"/>
      <c r="BA287" s="51" t="s">
        <v>1</v>
      </c>
    </row>
    <row r="288" spans="1:53" x14ac:dyDescent="0.2">
      <c r="A288" s="81"/>
      <c r="B288" s="76"/>
      <c r="C288" s="76"/>
      <c r="D288" s="76"/>
      <c r="E288" s="76"/>
      <c r="F288" s="76"/>
      <c r="G288" s="76"/>
      <c r="H288" s="76"/>
      <c r="I288" s="76"/>
      <c r="J288" s="76"/>
      <c r="K288" s="76"/>
      <c r="L288" s="76"/>
      <c r="M288" s="82"/>
      <c r="N288" s="78" t="s">
        <v>66</v>
      </c>
      <c r="O288" s="79"/>
      <c r="P288" s="79"/>
      <c r="Q288" s="79"/>
      <c r="R288" s="79"/>
      <c r="S288" s="79"/>
      <c r="T288" s="80"/>
      <c r="U288" s="52" t="s">
        <v>67</v>
      </c>
      <c r="V288" s="69">
        <f>IFERROR(V287/H287,"0")</f>
        <v>0</v>
      </c>
      <c r="W288" s="69">
        <f>IFERROR(W287/H287,"0")</f>
        <v>0</v>
      </c>
      <c r="X288" s="69">
        <f>IFERROR(IF(X287="",0,X287),"0")</f>
        <v>0</v>
      </c>
      <c r="Y288" s="70"/>
      <c r="Z288" s="70"/>
    </row>
    <row r="289" spans="1:53" x14ac:dyDescent="0.2">
      <c r="A289" s="76"/>
      <c r="B289" s="76"/>
      <c r="C289" s="76"/>
      <c r="D289" s="76"/>
      <c r="E289" s="76"/>
      <c r="F289" s="76"/>
      <c r="G289" s="76"/>
      <c r="H289" s="76"/>
      <c r="I289" s="76"/>
      <c r="J289" s="76"/>
      <c r="K289" s="76"/>
      <c r="L289" s="76"/>
      <c r="M289" s="82"/>
      <c r="N289" s="78" t="s">
        <v>66</v>
      </c>
      <c r="O289" s="79"/>
      <c r="P289" s="79"/>
      <c r="Q289" s="79"/>
      <c r="R289" s="79"/>
      <c r="S289" s="79"/>
      <c r="T289" s="80"/>
      <c r="U289" s="52" t="s">
        <v>65</v>
      </c>
      <c r="V289" s="69">
        <f>IFERROR(SUM(V287:V287),"0")</f>
        <v>0</v>
      </c>
      <c r="W289" s="69">
        <f>IFERROR(SUM(W287:W287),"0")</f>
        <v>0</v>
      </c>
      <c r="X289" s="52"/>
      <c r="Y289" s="70"/>
      <c r="Z289" s="70"/>
    </row>
    <row r="290" spans="1:53" ht="27.75" customHeight="1" x14ac:dyDescent="0.2">
      <c r="A290" s="83" t="s">
        <v>436</v>
      </c>
      <c r="B290" s="84"/>
      <c r="C290" s="84"/>
      <c r="D290" s="84"/>
      <c r="E290" s="84"/>
      <c r="F290" s="84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40"/>
      <c r="Z290" s="40"/>
    </row>
    <row r="291" spans="1:53" ht="16.5" customHeight="1" x14ac:dyDescent="0.25">
      <c r="A291" s="75" t="s">
        <v>437</v>
      </c>
      <c r="B291" s="76"/>
      <c r="C291" s="76"/>
      <c r="D291" s="76"/>
      <c r="E291" s="76"/>
      <c r="F291" s="76"/>
      <c r="G291" s="76"/>
      <c r="H291" s="76"/>
      <c r="I291" s="76"/>
      <c r="J291" s="76"/>
      <c r="K291" s="76"/>
      <c r="L291" s="76"/>
      <c r="M291" s="76"/>
      <c r="N291" s="76"/>
      <c r="O291" s="76"/>
      <c r="P291" s="76"/>
      <c r="Q291" s="76"/>
      <c r="R291" s="76"/>
      <c r="S291" s="76"/>
      <c r="T291" s="76"/>
      <c r="U291" s="76"/>
      <c r="V291" s="76"/>
      <c r="W291" s="76"/>
      <c r="X291" s="76"/>
      <c r="Y291" s="60"/>
      <c r="Z291" s="60"/>
    </row>
    <row r="292" spans="1:53" ht="14.25" customHeight="1" x14ac:dyDescent="0.25">
      <c r="A292" s="77" t="s">
        <v>103</v>
      </c>
      <c r="B292" s="76"/>
      <c r="C292" s="76"/>
      <c r="D292" s="76"/>
      <c r="E292" s="76"/>
      <c r="F292" s="76"/>
      <c r="G292" s="76"/>
      <c r="H292" s="76"/>
      <c r="I292" s="76"/>
      <c r="J292" s="76"/>
      <c r="K292" s="76"/>
      <c r="L292" s="76"/>
      <c r="M292" s="76"/>
      <c r="N292" s="76"/>
      <c r="O292" s="76"/>
      <c r="P292" s="76"/>
      <c r="Q292" s="76"/>
      <c r="R292" s="76"/>
      <c r="S292" s="76"/>
      <c r="T292" s="76"/>
      <c r="U292" s="76"/>
      <c r="V292" s="76"/>
      <c r="W292" s="76"/>
      <c r="X292" s="76"/>
      <c r="Y292" s="61"/>
      <c r="Z292" s="61"/>
    </row>
    <row r="293" spans="1:53" ht="27" customHeight="1" x14ac:dyDescent="0.25">
      <c r="A293" s="41" t="s">
        <v>438</v>
      </c>
      <c r="B293" s="41" t="s">
        <v>439</v>
      </c>
      <c r="C293" s="42">
        <v>4301011339</v>
      </c>
      <c r="D293" s="74">
        <v>4607091383997</v>
      </c>
      <c r="E293" s="73"/>
      <c r="F293" s="66">
        <v>2.5</v>
      </c>
      <c r="G293" s="43">
        <v>6</v>
      </c>
      <c r="H293" s="66">
        <v>15</v>
      </c>
      <c r="I293" s="66">
        <v>15.48</v>
      </c>
      <c r="J293" s="43">
        <v>48</v>
      </c>
      <c r="K293" s="43" t="s">
        <v>98</v>
      </c>
      <c r="L293" s="44" t="s">
        <v>64</v>
      </c>
      <c r="M293" s="43">
        <v>60</v>
      </c>
      <c r="N293" s="7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72"/>
      <c r="P293" s="72"/>
      <c r="Q293" s="72"/>
      <c r="R293" s="73"/>
      <c r="S293" s="45"/>
      <c r="T293" s="45"/>
      <c r="U293" s="46" t="s">
        <v>65</v>
      </c>
      <c r="V293" s="67">
        <v>0</v>
      </c>
      <c r="W293" s="68">
        <f t="shared" ref="W293:W300" si="14">IFERROR(IF(V293="",0,CEILING((V293/$H293),1)*$H293),"")</f>
        <v>0</v>
      </c>
      <c r="X293" s="47" t="str">
        <f>IFERROR(IF(W293=0,"",ROUNDUP(W293/H293,0)*0.02175),"")</f>
        <v/>
      </c>
      <c r="Y293" s="48"/>
      <c r="Z293" s="49"/>
      <c r="AD293" s="50"/>
      <c r="BA293" s="51" t="s">
        <v>1</v>
      </c>
    </row>
    <row r="294" spans="1:53" ht="27" customHeight="1" x14ac:dyDescent="0.25">
      <c r="A294" s="41" t="s">
        <v>438</v>
      </c>
      <c r="B294" s="41" t="s">
        <v>440</v>
      </c>
      <c r="C294" s="42">
        <v>4301011239</v>
      </c>
      <c r="D294" s="74">
        <v>4607091383997</v>
      </c>
      <c r="E294" s="73"/>
      <c r="F294" s="66">
        <v>2.5</v>
      </c>
      <c r="G294" s="43">
        <v>6</v>
      </c>
      <c r="H294" s="66">
        <v>15</v>
      </c>
      <c r="I294" s="66">
        <v>15.48</v>
      </c>
      <c r="J294" s="43">
        <v>48</v>
      </c>
      <c r="K294" s="43" t="s">
        <v>98</v>
      </c>
      <c r="L294" s="44" t="s">
        <v>106</v>
      </c>
      <c r="M294" s="43">
        <v>60</v>
      </c>
      <c r="N294" s="7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4" s="72"/>
      <c r="P294" s="72"/>
      <c r="Q294" s="72"/>
      <c r="R294" s="73"/>
      <c r="S294" s="45"/>
      <c r="T294" s="45"/>
      <c r="U294" s="46" t="s">
        <v>65</v>
      </c>
      <c r="V294" s="67">
        <v>0</v>
      </c>
      <c r="W294" s="68">
        <f t="shared" si="14"/>
        <v>0</v>
      </c>
      <c r="X294" s="47" t="str">
        <f>IFERROR(IF(W294=0,"",ROUNDUP(W294/H294,0)*0.02039),"")</f>
        <v/>
      </c>
      <c r="Y294" s="48"/>
      <c r="Z294" s="49"/>
      <c r="AD294" s="50"/>
      <c r="BA294" s="51" t="s">
        <v>1</v>
      </c>
    </row>
    <row r="295" spans="1:53" ht="27" customHeight="1" x14ac:dyDescent="0.25">
      <c r="A295" s="41" t="s">
        <v>441</v>
      </c>
      <c r="B295" s="41" t="s">
        <v>442</v>
      </c>
      <c r="C295" s="42">
        <v>4301011326</v>
      </c>
      <c r="D295" s="74">
        <v>4607091384130</v>
      </c>
      <c r="E295" s="73"/>
      <c r="F295" s="66">
        <v>2.5</v>
      </c>
      <c r="G295" s="43">
        <v>6</v>
      </c>
      <c r="H295" s="66">
        <v>15</v>
      </c>
      <c r="I295" s="66">
        <v>15.48</v>
      </c>
      <c r="J295" s="43">
        <v>48</v>
      </c>
      <c r="K295" s="43" t="s">
        <v>98</v>
      </c>
      <c r="L295" s="44" t="s">
        <v>64</v>
      </c>
      <c r="M295" s="43">
        <v>60</v>
      </c>
      <c r="N295" s="7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72"/>
      <c r="P295" s="72"/>
      <c r="Q295" s="72"/>
      <c r="R295" s="73"/>
      <c r="S295" s="45"/>
      <c r="T295" s="45"/>
      <c r="U295" s="46" t="s">
        <v>65</v>
      </c>
      <c r="V295" s="67">
        <v>0</v>
      </c>
      <c r="W295" s="68">
        <f t="shared" si="14"/>
        <v>0</v>
      </c>
      <c r="X295" s="47" t="str">
        <f>IFERROR(IF(W295=0,"",ROUNDUP(W295/H295,0)*0.02175),"")</f>
        <v/>
      </c>
      <c r="Y295" s="48"/>
      <c r="Z295" s="49"/>
      <c r="AD295" s="50"/>
      <c r="BA295" s="51" t="s">
        <v>1</v>
      </c>
    </row>
    <row r="296" spans="1:53" ht="27" customHeight="1" x14ac:dyDescent="0.25">
      <c r="A296" s="41" t="s">
        <v>441</v>
      </c>
      <c r="B296" s="41" t="s">
        <v>443</v>
      </c>
      <c r="C296" s="42">
        <v>4301011240</v>
      </c>
      <c r="D296" s="74">
        <v>4607091384130</v>
      </c>
      <c r="E296" s="73"/>
      <c r="F296" s="66">
        <v>2.5</v>
      </c>
      <c r="G296" s="43">
        <v>6</v>
      </c>
      <c r="H296" s="66">
        <v>15</v>
      </c>
      <c r="I296" s="66">
        <v>15.48</v>
      </c>
      <c r="J296" s="43">
        <v>48</v>
      </c>
      <c r="K296" s="43" t="s">
        <v>98</v>
      </c>
      <c r="L296" s="44" t="s">
        <v>106</v>
      </c>
      <c r="M296" s="43">
        <v>60</v>
      </c>
      <c r="N296" s="7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6" s="72"/>
      <c r="P296" s="72"/>
      <c r="Q296" s="72"/>
      <c r="R296" s="73"/>
      <c r="S296" s="45"/>
      <c r="T296" s="45"/>
      <c r="U296" s="46" t="s">
        <v>65</v>
      </c>
      <c r="V296" s="67">
        <v>0</v>
      </c>
      <c r="W296" s="68">
        <f t="shared" si="14"/>
        <v>0</v>
      </c>
      <c r="X296" s="47" t="str">
        <f>IFERROR(IF(W296=0,"",ROUNDUP(W296/H296,0)*0.02039),"")</f>
        <v/>
      </c>
      <c r="Y296" s="48"/>
      <c r="Z296" s="49"/>
      <c r="AD296" s="50"/>
      <c r="BA296" s="51" t="s">
        <v>1</v>
      </c>
    </row>
    <row r="297" spans="1:53" ht="16.5" customHeight="1" x14ac:dyDescent="0.25">
      <c r="A297" s="41" t="s">
        <v>444</v>
      </c>
      <c r="B297" s="41" t="s">
        <v>445</v>
      </c>
      <c r="C297" s="42">
        <v>4301011330</v>
      </c>
      <c r="D297" s="74">
        <v>4607091384147</v>
      </c>
      <c r="E297" s="73"/>
      <c r="F297" s="66">
        <v>2.5</v>
      </c>
      <c r="G297" s="43">
        <v>6</v>
      </c>
      <c r="H297" s="66">
        <v>15</v>
      </c>
      <c r="I297" s="66">
        <v>15.48</v>
      </c>
      <c r="J297" s="43">
        <v>48</v>
      </c>
      <c r="K297" s="43" t="s">
        <v>98</v>
      </c>
      <c r="L297" s="44" t="s">
        <v>64</v>
      </c>
      <c r="M297" s="43">
        <v>60</v>
      </c>
      <c r="N297" s="7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7" s="72"/>
      <c r="P297" s="72"/>
      <c r="Q297" s="72"/>
      <c r="R297" s="73"/>
      <c r="S297" s="45"/>
      <c r="T297" s="45"/>
      <c r="U297" s="46" t="s">
        <v>65</v>
      </c>
      <c r="V297" s="67">
        <v>0</v>
      </c>
      <c r="W297" s="68">
        <f t="shared" si="14"/>
        <v>0</v>
      </c>
      <c r="X297" s="47" t="str">
        <f>IFERROR(IF(W297=0,"",ROUNDUP(W297/H297,0)*0.02175),"")</f>
        <v/>
      </c>
      <c r="Y297" s="48"/>
      <c r="Z297" s="49"/>
      <c r="AD297" s="50"/>
      <c r="BA297" s="51" t="s">
        <v>1</v>
      </c>
    </row>
    <row r="298" spans="1:53" ht="16.5" customHeight="1" x14ac:dyDescent="0.25">
      <c r="A298" s="41" t="s">
        <v>444</v>
      </c>
      <c r="B298" s="41" t="s">
        <v>446</v>
      </c>
      <c r="C298" s="42">
        <v>4301011238</v>
      </c>
      <c r="D298" s="74">
        <v>4607091384147</v>
      </c>
      <c r="E298" s="73"/>
      <c r="F298" s="66">
        <v>2.5</v>
      </c>
      <c r="G298" s="43">
        <v>6</v>
      </c>
      <c r="H298" s="66">
        <v>15</v>
      </c>
      <c r="I298" s="66">
        <v>15.48</v>
      </c>
      <c r="J298" s="43">
        <v>48</v>
      </c>
      <c r="K298" s="43" t="s">
        <v>98</v>
      </c>
      <c r="L298" s="44" t="s">
        <v>106</v>
      </c>
      <c r="M298" s="43">
        <v>60</v>
      </c>
      <c r="N298" s="92" t="s">
        <v>447</v>
      </c>
      <c r="O298" s="72"/>
      <c r="P298" s="72"/>
      <c r="Q298" s="72"/>
      <c r="R298" s="73"/>
      <c r="S298" s="45"/>
      <c r="T298" s="45"/>
      <c r="U298" s="46" t="s">
        <v>65</v>
      </c>
      <c r="V298" s="67">
        <v>0</v>
      </c>
      <c r="W298" s="68">
        <f t="shared" si="14"/>
        <v>0</v>
      </c>
      <c r="X298" s="47" t="str">
        <f>IFERROR(IF(W298=0,"",ROUNDUP(W298/H298,0)*0.02039),"")</f>
        <v/>
      </c>
      <c r="Y298" s="48"/>
      <c r="Z298" s="49"/>
      <c r="AD298" s="50"/>
      <c r="BA298" s="51" t="s">
        <v>1</v>
      </c>
    </row>
    <row r="299" spans="1:53" ht="27" customHeight="1" x14ac:dyDescent="0.25">
      <c r="A299" s="41" t="s">
        <v>448</v>
      </c>
      <c r="B299" s="41" t="s">
        <v>449</v>
      </c>
      <c r="C299" s="42">
        <v>4301011327</v>
      </c>
      <c r="D299" s="74">
        <v>4607091384154</v>
      </c>
      <c r="E299" s="73"/>
      <c r="F299" s="66">
        <v>0.5</v>
      </c>
      <c r="G299" s="43">
        <v>10</v>
      </c>
      <c r="H299" s="66">
        <v>5</v>
      </c>
      <c r="I299" s="66">
        <v>5.21</v>
      </c>
      <c r="J299" s="43">
        <v>120</v>
      </c>
      <c r="K299" s="43" t="s">
        <v>63</v>
      </c>
      <c r="L299" s="44" t="s">
        <v>64</v>
      </c>
      <c r="M299" s="43">
        <v>60</v>
      </c>
      <c r="N299" s="7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9" s="72"/>
      <c r="P299" s="72"/>
      <c r="Q299" s="72"/>
      <c r="R299" s="73"/>
      <c r="S299" s="45"/>
      <c r="T299" s="45"/>
      <c r="U299" s="46" t="s">
        <v>65</v>
      </c>
      <c r="V299" s="67">
        <v>0</v>
      </c>
      <c r="W299" s="68">
        <f t="shared" si="14"/>
        <v>0</v>
      </c>
      <c r="X299" s="47" t="str">
        <f>IFERROR(IF(W299=0,"",ROUNDUP(W299/H299,0)*0.00937),"")</f>
        <v/>
      </c>
      <c r="Y299" s="48"/>
      <c r="Z299" s="49"/>
      <c r="AD299" s="50"/>
      <c r="BA299" s="51" t="s">
        <v>1</v>
      </c>
    </row>
    <row r="300" spans="1:53" ht="27" customHeight="1" x14ac:dyDescent="0.25">
      <c r="A300" s="41" t="s">
        <v>450</v>
      </c>
      <c r="B300" s="41" t="s">
        <v>451</v>
      </c>
      <c r="C300" s="42">
        <v>4301011332</v>
      </c>
      <c r="D300" s="74">
        <v>4607091384161</v>
      </c>
      <c r="E300" s="73"/>
      <c r="F300" s="66">
        <v>0.5</v>
      </c>
      <c r="G300" s="43">
        <v>10</v>
      </c>
      <c r="H300" s="66">
        <v>5</v>
      </c>
      <c r="I300" s="66">
        <v>5.21</v>
      </c>
      <c r="J300" s="43">
        <v>120</v>
      </c>
      <c r="K300" s="43" t="s">
        <v>63</v>
      </c>
      <c r="L300" s="44" t="s">
        <v>64</v>
      </c>
      <c r="M300" s="43">
        <v>60</v>
      </c>
      <c r="N300" s="7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0" s="72"/>
      <c r="P300" s="72"/>
      <c r="Q300" s="72"/>
      <c r="R300" s="73"/>
      <c r="S300" s="45"/>
      <c r="T300" s="45"/>
      <c r="U300" s="46" t="s">
        <v>65</v>
      </c>
      <c r="V300" s="67">
        <v>0</v>
      </c>
      <c r="W300" s="68">
        <f t="shared" si="14"/>
        <v>0</v>
      </c>
      <c r="X300" s="47" t="str">
        <f>IFERROR(IF(W300=0,"",ROUNDUP(W300/H300,0)*0.00937),"")</f>
        <v/>
      </c>
      <c r="Y300" s="48"/>
      <c r="Z300" s="49"/>
      <c r="AD300" s="50"/>
      <c r="BA300" s="51" t="s">
        <v>1</v>
      </c>
    </row>
    <row r="301" spans="1:53" x14ac:dyDescent="0.2">
      <c r="A301" s="81"/>
      <c r="B301" s="76"/>
      <c r="C301" s="76"/>
      <c r="D301" s="76"/>
      <c r="E301" s="76"/>
      <c r="F301" s="76"/>
      <c r="G301" s="76"/>
      <c r="H301" s="76"/>
      <c r="I301" s="76"/>
      <c r="J301" s="76"/>
      <c r="K301" s="76"/>
      <c r="L301" s="76"/>
      <c r="M301" s="82"/>
      <c r="N301" s="78" t="s">
        <v>66</v>
      </c>
      <c r="O301" s="79"/>
      <c r="P301" s="79"/>
      <c r="Q301" s="79"/>
      <c r="R301" s="79"/>
      <c r="S301" s="79"/>
      <c r="T301" s="80"/>
      <c r="U301" s="52" t="s">
        <v>67</v>
      </c>
      <c r="V301" s="69">
        <f>IFERROR(V293/H293,"0")+IFERROR(V294/H294,"0")+IFERROR(V295/H295,"0")+IFERROR(V296/H296,"0")+IFERROR(V297/H297,"0")+IFERROR(V298/H298,"0")+IFERROR(V299/H299,"0")+IFERROR(V300/H300,"0")</f>
        <v>0</v>
      </c>
      <c r="W301" s="69">
        <f>IFERROR(W293/H293,"0")+IFERROR(W294/H294,"0")+IFERROR(W295/H295,"0")+IFERROR(W296/H296,"0")+IFERROR(W297/H297,"0")+IFERROR(W298/H298,"0")+IFERROR(W299/H299,"0")+IFERROR(W300/H300,"0")</f>
        <v>0</v>
      </c>
      <c r="X301" s="69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>0</v>
      </c>
      <c r="Y301" s="70"/>
      <c r="Z301" s="70"/>
    </row>
    <row r="302" spans="1:53" x14ac:dyDescent="0.2">
      <c r="A302" s="76"/>
      <c r="B302" s="76"/>
      <c r="C302" s="76"/>
      <c r="D302" s="76"/>
      <c r="E302" s="76"/>
      <c r="F302" s="76"/>
      <c r="G302" s="76"/>
      <c r="H302" s="76"/>
      <c r="I302" s="76"/>
      <c r="J302" s="76"/>
      <c r="K302" s="76"/>
      <c r="L302" s="76"/>
      <c r="M302" s="82"/>
      <c r="N302" s="78" t="s">
        <v>66</v>
      </c>
      <c r="O302" s="79"/>
      <c r="P302" s="79"/>
      <c r="Q302" s="79"/>
      <c r="R302" s="79"/>
      <c r="S302" s="79"/>
      <c r="T302" s="80"/>
      <c r="U302" s="52" t="s">
        <v>65</v>
      </c>
      <c r="V302" s="69">
        <f>IFERROR(SUM(V293:V300),"0")</f>
        <v>0</v>
      </c>
      <c r="W302" s="69">
        <f>IFERROR(SUM(W293:W300),"0")</f>
        <v>0</v>
      </c>
      <c r="X302" s="52"/>
      <c r="Y302" s="70"/>
      <c r="Z302" s="70"/>
    </row>
    <row r="303" spans="1:53" ht="14.25" customHeight="1" x14ac:dyDescent="0.25">
      <c r="A303" s="77" t="s">
        <v>95</v>
      </c>
      <c r="B303" s="76"/>
      <c r="C303" s="76"/>
      <c r="D303" s="76"/>
      <c r="E303" s="76"/>
      <c r="F303" s="76"/>
      <c r="G303" s="76"/>
      <c r="H303" s="76"/>
      <c r="I303" s="76"/>
      <c r="J303" s="76"/>
      <c r="K303" s="76"/>
      <c r="L303" s="76"/>
      <c r="M303" s="76"/>
      <c r="N303" s="76"/>
      <c r="O303" s="76"/>
      <c r="P303" s="76"/>
      <c r="Q303" s="76"/>
      <c r="R303" s="76"/>
      <c r="S303" s="76"/>
      <c r="T303" s="76"/>
      <c r="U303" s="76"/>
      <c r="V303" s="76"/>
      <c r="W303" s="76"/>
      <c r="X303" s="76"/>
      <c r="Y303" s="61"/>
      <c r="Z303" s="61"/>
    </row>
    <row r="304" spans="1:53" ht="16.5" customHeight="1" x14ac:dyDescent="0.25">
      <c r="A304" s="41" t="s">
        <v>452</v>
      </c>
      <c r="B304" s="41" t="s">
        <v>453</v>
      </c>
      <c r="C304" s="42">
        <v>4301020270</v>
      </c>
      <c r="D304" s="74">
        <v>4680115883314</v>
      </c>
      <c r="E304" s="73"/>
      <c r="F304" s="66">
        <v>1.35</v>
      </c>
      <c r="G304" s="43">
        <v>8</v>
      </c>
      <c r="H304" s="66">
        <v>10.8</v>
      </c>
      <c r="I304" s="66">
        <v>11.28</v>
      </c>
      <c r="J304" s="43">
        <v>56</v>
      </c>
      <c r="K304" s="43" t="s">
        <v>98</v>
      </c>
      <c r="L304" s="44" t="s">
        <v>128</v>
      </c>
      <c r="M304" s="43">
        <v>50</v>
      </c>
      <c r="N304" s="92" t="s">
        <v>454</v>
      </c>
      <c r="O304" s="72"/>
      <c r="P304" s="72"/>
      <c r="Q304" s="72"/>
      <c r="R304" s="73"/>
      <c r="S304" s="45"/>
      <c r="T304" s="45"/>
      <c r="U304" s="46" t="s">
        <v>65</v>
      </c>
      <c r="V304" s="67">
        <v>0</v>
      </c>
      <c r="W304" s="68">
        <f>IFERROR(IF(V304="",0,CEILING((V304/$H304),1)*$H304),"")</f>
        <v>0</v>
      </c>
      <c r="X304" s="47" t="str">
        <f>IFERROR(IF(W304=0,"",ROUNDUP(W304/H304,0)*0.02175),"")</f>
        <v/>
      </c>
      <c r="Y304" s="48"/>
      <c r="Z304" s="49" t="s">
        <v>455</v>
      </c>
      <c r="AD304" s="50"/>
      <c r="BA304" s="51" t="s">
        <v>1</v>
      </c>
    </row>
    <row r="305" spans="1:53" ht="27" customHeight="1" x14ac:dyDescent="0.25">
      <c r="A305" s="41" t="s">
        <v>456</v>
      </c>
      <c r="B305" s="41" t="s">
        <v>457</v>
      </c>
      <c r="C305" s="42">
        <v>4301020178</v>
      </c>
      <c r="D305" s="74">
        <v>4607091383980</v>
      </c>
      <c r="E305" s="73"/>
      <c r="F305" s="66">
        <v>2.5</v>
      </c>
      <c r="G305" s="43">
        <v>6</v>
      </c>
      <c r="H305" s="66">
        <v>15</v>
      </c>
      <c r="I305" s="66">
        <v>15.48</v>
      </c>
      <c r="J305" s="43">
        <v>48</v>
      </c>
      <c r="K305" s="43" t="s">
        <v>98</v>
      </c>
      <c r="L305" s="44" t="s">
        <v>99</v>
      </c>
      <c r="M305" s="43">
        <v>50</v>
      </c>
      <c r="N305" s="7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5" s="72"/>
      <c r="P305" s="72"/>
      <c r="Q305" s="72"/>
      <c r="R305" s="73"/>
      <c r="S305" s="45"/>
      <c r="T305" s="45"/>
      <c r="U305" s="46" t="s">
        <v>65</v>
      </c>
      <c r="V305" s="67">
        <v>0</v>
      </c>
      <c r="W305" s="68">
        <f>IFERROR(IF(V305="",0,CEILING((V305/$H305),1)*$H305),"")</f>
        <v>0</v>
      </c>
      <c r="X305" s="47" t="str">
        <f>IFERROR(IF(W305=0,"",ROUNDUP(W305/H305,0)*0.02175),"")</f>
        <v/>
      </c>
      <c r="Y305" s="48"/>
      <c r="Z305" s="49"/>
      <c r="AD305" s="50"/>
      <c r="BA305" s="51" t="s">
        <v>1</v>
      </c>
    </row>
    <row r="306" spans="1:53" ht="27" customHeight="1" x14ac:dyDescent="0.25">
      <c r="A306" s="41" t="s">
        <v>458</v>
      </c>
      <c r="B306" s="41" t="s">
        <v>459</v>
      </c>
      <c r="C306" s="42">
        <v>4301020179</v>
      </c>
      <c r="D306" s="74">
        <v>4607091384178</v>
      </c>
      <c r="E306" s="73"/>
      <c r="F306" s="66">
        <v>0.4</v>
      </c>
      <c r="G306" s="43">
        <v>10</v>
      </c>
      <c r="H306" s="66">
        <v>4</v>
      </c>
      <c r="I306" s="66">
        <v>4.24</v>
      </c>
      <c r="J306" s="43">
        <v>120</v>
      </c>
      <c r="K306" s="43" t="s">
        <v>63</v>
      </c>
      <c r="L306" s="44" t="s">
        <v>99</v>
      </c>
      <c r="M306" s="43">
        <v>50</v>
      </c>
      <c r="N306" s="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6" s="72"/>
      <c r="P306" s="72"/>
      <c r="Q306" s="72"/>
      <c r="R306" s="73"/>
      <c r="S306" s="45"/>
      <c r="T306" s="45"/>
      <c r="U306" s="46" t="s">
        <v>65</v>
      </c>
      <c r="V306" s="67">
        <v>0</v>
      </c>
      <c r="W306" s="68">
        <f>IFERROR(IF(V306="",0,CEILING((V306/$H306),1)*$H306),"")</f>
        <v>0</v>
      </c>
      <c r="X306" s="47" t="str">
        <f>IFERROR(IF(W306=0,"",ROUNDUP(W306/H306,0)*0.00937),"")</f>
        <v/>
      </c>
      <c r="Y306" s="48"/>
      <c r="Z306" s="49"/>
      <c r="AD306" s="50"/>
      <c r="BA306" s="51" t="s">
        <v>1</v>
      </c>
    </row>
    <row r="307" spans="1:53" x14ac:dyDescent="0.2">
      <c r="A307" s="81"/>
      <c r="B307" s="76"/>
      <c r="C307" s="76"/>
      <c r="D307" s="76"/>
      <c r="E307" s="76"/>
      <c r="F307" s="76"/>
      <c r="G307" s="76"/>
      <c r="H307" s="76"/>
      <c r="I307" s="76"/>
      <c r="J307" s="76"/>
      <c r="K307" s="76"/>
      <c r="L307" s="76"/>
      <c r="M307" s="82"/>
      <c r="N307" s="78" t="s">
        <v>66</v>
      </c>
      <c r="O307" s="79"/>
      <c r="P307" s="79"/>
      <c r="Q307" s="79"/>
      <c r="R307" s="79"/>
      <c r="S307" s="79"/>
      <c r="T307" s="80"/>
      <c r="U307" s="52" t="s">
        <v>67</v>
      </c>
      <c r="V307" s="69">
        <f>IFERROR(V304/H304,"0")+IFERROR(V305/H305,"0")+IFERROR(V306/H306,"0")</f>
        <v>0</v>
      </c>
      <c r="W307" s="69">
        <f>IFERROR(W304/H304,"0")+IFERROR(W305/H305,"0")+IFERROR(W306/H306,"0")</f>
        <v>0</v>
      </c>
      <c r="X307" s="69">
        <f>IFERROR(IF(X304="",0,X304),"0")+IFERROR(IF(X305="",0,X305),"0")+IFERROR(IF(X306="",0,X306),"0")</f>
        <v>0</v>
      </c>
      <c r="Y307" s="70"/>
      <c r="Z307" s="70"/>
    </row>
    <row r="308" spans="1:53" x14ac:dyDescent="0.2">
      <c r="A308" s="76"/>
      <c r="B308" s="76"/>
      <c r="C308" s="76"/>
      <c r="D308" s="76"/>
      <c r="E308" s="76"/>
      <c r="F308" s="76"/>
      <c r="G308" s="76"/>
      <c r="H308" s="76"/>
      <c r="I308" s="76"/>
      <c r="J308" s="76"/>
      <c r="K308" s="76"/>
      <c r="L308" s="76"/>
      <c r="M308" s="82"/>
      <c r="N308" s="78" t="s">
        <v>66</v>
      </c>
      <c r="O308" s="79"/>
      <c r="P308" s="79"/>
      <c r="Q308" s="79"/>
      <c r="R308" s="79"/>
      <c r="S308" s="79"/>
      <c r="T308" s="80"/>
      <c r="U308" s="52" t="s">
        <v>65</v>
      </c>
      <c r="V308" s="69">
        <f>IFERROR(SUM(V304:V306),"0")</f>
        <v>0</v>
      </c>
      <c r="W308" s="69">
        <f>IFERROR(SUM(W304:W306),"0")</f>
        <v>0</v>
      </c>
      <c r="X308" s="52"/>
      <c r="Y308" s="70"/>
      <c r="Z308" s="70"/>
    </row>
    <row r="309" spans="1:53" ht="14.25" customHeight="1" x14ac:dyDescent="0.25">
      <c r="A309" s="77" t="s">
        <v>68</v>
      </c>
      <c r="B309" s="76"/>
      <c r="C309" s="76"/>
      <c r="D309" s="76"/>
      <c r="E309" s="76"/>
      <c r="F309" s="76"/>
      <c r="G309" s="76"/>
      <c r="H309" s="76"/>
      <c r="I309" s="76"/>
      <c r="J309" s="76"/>
      <c r="K309" s="76"/>
      <c r="L309" s="76"/>
      <c r="M309" s="76"/>
      <c r="N309" s="76"/>
      <c r="O309" s="76"/>
      <c r="P309" s="76"/>
      <c r="Q309" s="76"/>
      <c r="R309" s="76"/>
      <c r="S309" s="76"/>
      <c r="T309" s="76"/>
      <c r="U309" s="76"/>
      <c r="V309" s="76"/>
      <c r="W309" s="76"/>
      <c r="X309" s="76"/>
      <c r="Y309" s="61"/>
      <c r="Z309" s="61"/>
    </row>
    <row r="310" spans="1:53" ht="27" customHeight="1" x14ac:dyDescent="0.25">
      <c r="A310" s="41" t="s">
        <v>460</v>
      </c>
      <c r="B310" s="41" t="s">
        <v>461</v>
      </c>
      <c r="C310" s="42">
        <v>4301051298</v>
      </c>
      <c r="D310" s="74">
        <v>4607091384260</v>
      </c>
      <c r="E310" s="73"/>
      <c r="F310" s="66">
        <v>1.3</v>
      </c>
      <c r="G310" s="43">
        <v>6</v>
      </c>
      <c r="H310" s="66">
        <v>7.8</v>
      </c>
      <c r="I310" s="66">
        <v>8.3640000000000008</v>
      </c>
      <c r="J310" s="43">
        <v>56</v>
      </c>
      <c r="K310" s="43" t="s">
        <v>98</v>
      </c>
      <c r="L310" s="44" t="s">
        <v>64</v>
      </c>
      <c r="M310" s="43">
        <v>35</v>
      </c>
      <c r="N310" s="7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72"/>
      <c r="P310" s="72"/>
      <c r="Q310" s="72"/>
      <c r="R310" s="73"/>
      <c r="S310" s="45"/>
      <c r="T310" s="45"/>
      <c r="U310" s="46" t="s">
        <v>65</v>
      </c>
      <c r="V310" s="67">
        <v>0</v>
      </c>
      <c r="W310" s="68">
        <f>IFERROR(IF(V310="",0,CEILING((V310/$H310),1)*$H310),"")</f>
        <v>0</v>
      </c>
      <c r="X310" s="47" t="str">
        <f>IFERROR(IF(W310=0,"",ROUNDUP(W310/H310,0)*0.02175),"")</f>
        <v/>
      </c>
      <c r="Y310" s="48"/>
      <c r="Z310" s="49"/>
      <c r="AD310" s="50"/>
      <c r="BA310" s="51" t="s">
        <v>1</v>
      </c>
    </row>
    <row r="311" spans="1:53" x14ac:dyDescent="0.2">
      <c r="A311" s="81"/>
      <c r="B311" s="76"/>
      <c r="C311" s="76"/>
      <c r="D311" s="76"/>
      <c r="E311" s="76"/>
      <c r="F311" s="76"/>
      <c r="G311" s="76"/>
      <c r="H311" s="76"/>
      <c r="I311" s="76"/>
      <c r="J311" s="76"/>
      <c r="K311" s="76"/>
      <c r="L311" s="76"/>
      <c r="M311" s="82"/>
      <c r="N311" s="78" t="s">
        <v>66</v>
      </c>
      <c r="O311" s="79"/>
      <c r="P311" s="79"/>
      <c r="Q311" s="79"/>
      <c r="R311" s="79"/>
      <c r="S311" s="79"/>
      <c r="T311" s="80"/>
      <c r="U311" s="52" t="s">
        <v>67</v>
      </c>
      <c r="V311" s="69">
        <f>IFERROR(V310/H310,"0")</f>
        <v>0</v>
      </c>
      <c r="W311" s="69">
        <f>IFERROR(W310/H310,"0")</f>
        <v>0</v>
      </c>
      <c r="X311" s="69">
        <f>IFERROR(IF(X310="",0,X310),"0")</f>
        <v>0</v>
      </c>
      <c r="Y311" s="70"/>
      <c r="Z311" s="70"/>
    </row>
    <row r="312" spans="1:53" x14ac:dyDescent="0.2">
      <c r="A312" s="76"/>
      <c r="B312" s="76"/>
      <c r="C312" s="76"/>
      <c r="D312" s="76"/>
      <c r="E312" s="76"/>
      <c r="F312" s="76"/>
      <c r="G312" s="76"/>
      <c r="H312" s="76"/>
      <c r="I312" s="76"/>
      <c r="J312" s="76"/>
      <c r="K312" s="76"/>
      <c r="L312" s="76"/>
      <c r="M312" s="82"/>
      <c r="N312" s="78" t="s">
        <v>66</v>
      </c>
      <c r="O312" s="79"/>
      <c r="P312" s="79"/>
      <c r="Q312" s="79"/>
      <c r="R312" s="79"/>
      <c r="S312" s="79"/>
      <c r="T312" s="80"/>
      <c r="U312" s="52" t="s">
        <v>65</v>
      </c>
      <c r="V312" s="69">
        <f>IFERROR(SUM(V310:V310),"0")</f>
        <v>0</v>
      </c>
      <c r="W312" s="69">
        <f>IFERROR(SUM(W310:W310),"0")</f>
        <v>0</v>
      </c>
      <c r="X312" s="52"/>
      <c r="Y312" s="70"/>
      <c r="Z312" s="70"/>
    </row>
    <row r="313" spans="1:53" ht="14.25" customHeight="1" x14ac:dyDescent="0.25">
      <c r="A313" s="77" t="s">
        <v>218</v>
      </c>
      <c r="B313" s="76"/>
      <c r="C313" s="76"/>
      <c r="D313" s="76"/>
      <c r="E313" s="76"/>
      <c r="F313" s="76"/>
      <c r="G313" s="76"/>
      <c r="H313" s="76"/>
      <c r="I313" s="76"/>
      <c r="J313" s="76"/>
      <c r="K313" s="76"/>
      <c r="L313" s="76"/>
      <c r="M313" s="76"/>
      <c r="N313" s="76"/>
      <c r="O313" s="76"/>
      <c r="P313" s="76"/>
      <c r="Q313" s="76"/>
      <c r="R313" s="76"/>
      <c r="S313" s="76"/>
      <c r="T313" s="76"/>
      <c r="U313" s="76"/>
      <c r="V313" s="76"/>
      <c r="W313" s="76"/>
      <c r="X313" s="76"/>
      <c r="Y313" s="61"/>
      <c r="Z313" s="61"/>
    </row>
    <row r="314" spans="1:53" ht="16.5" customHeight="1" x14ac:dyDescent="0.25">
      <c r="A314" s="41" t="s">
        <v>462</v>
      </c>
      <c r="B314" s="41" t="s">
        <v>463</v>
      </c>
      <c r="C314" s="42">
        <v>4301060314</v>
      </c>
      <c r="D314" s="74">
        <v>4607091384673</v>
      </c>
      <c r="E314" s="73"/>
      <c r="F314" s="66">
        <v>1.3</v>
      </c>
      <c r="G314" s="43">
        <v>6</v>
      </c>
      <c r="H314" s="66">
        <v>7.8</v>
      </c>
      <c r="I314" s="66">
        <v>8.3640000000000008</v>
      </c>
      <c r="J314" s="43">
        <v>56</v>
      </c>
      <c r="K314" s="43" t="s">
        <v>98</v>
      </c>
      <c r="L314" s="44" t="s">
        <v>64</v>
      </c>
      <c r="M314" s="43">
        <v>30</v>
      </c>
      <c r="N314" s="7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72"/>
      <c r="P314" s="72"/>
      <c r="Q314" s="72"/>
      <c r="R314" s="73"/>
      <c r="S314" s="45"/>
      <c r="T314" s="45"/>
      <c r="U314" s="46" t="s">
        <v>65</v>
      </c>
      <c r="V314" s="67">
        <v>90</v>
      </c>
      <c r="W314" s="68">
        <f>IFERROR(IF(V314="",0,CEILING((V314/$H314),1)*$H314),"")</f>
        <v>93.6</v>
      </c>
      <c r="X314" s="47">
        <f>IFERROR(IF(W314=0,"",ROUNDUP(W314/H314,0)*0.02175),"")</f>
        <v>0.26100000000000001</v>
      </c>
      <c r="Y314" s="48"/>
      <c r="Z314" s="49"/>
      <c r="AD314" s="50"/>
      <c r="BA314" s="51" t="s">
        <v>1</v>
      </c>
    </row>
    <row r="315" spans="1:53" x14ac:dyDescent="0.2">
      <c r="A315" s="81"/>
      <c r="B315" s="76"/>
      <c r="C315" s="76"/>
      <c r="D315" s="76"/>
      <c r="E315" s="76"/>
      <c r="F315" s="76"/>
      <c r="G315" s="76"/>
      <c r="H315" s="76"/>
      <c r="I315" s="76"/>
      <c r="J315" s="76"/>
      <c r="K315" s="76"/>
      <c r="L315" s="76"/>
      <c r="M315" s="82"/>
      <c r="N315" s="78" t="s">
        <v>66</v>
      </c>
      <c r="O315" s="79"/>
      <c r="P315" s="79"/>
      <c r="Q315" s="79"/>
      <c r="R315" s="79"/>
      <c r="S315" s="79"/>
      <c r="T315" s="80"/>
      <c r="U315" s="52" t="s">
        <v>67</v>
      </c>
      <c r="V315" s="69">
        <f>IFERROR(V314/H314,"0")</f>
        <v>11.538461538461538</v>
      </c>
      <c r="W315" s="69">
        <f>IFERROR(W314/H314,"0")</f>
        <v>12</v>
      </c>
      <c r="X315" s="69">
        <f>IFERROR(IF(X314="",0,X314),"0")</f>
        <v>0.26100000000000001</v>
      </c>
      <c r="Y315" s="70"/>
      <c r="Z315" s="70"/>
    </row>
    <row r="316" spans="1:53" x14ac:dyDescent="0.2">
      <c r="A316" s="76"/>
      <c r="B316" s="76"/>
      <c r="C316" s="76"/>
      <c r="D316" s="76"/>
      <c r="E316" s="76"/>
      <c r="F316" s="76"/>
      <c r="G316" s="76"/>
      <c r="H316" s="76"/>
      <c r="I316" s="76"/>
      <c r="J316" s="76"/>
      <c r="K316" s="76"/>
      <c r="L316" s="76"/>
      <c r="M316" s="82"/>
      <c r="N316" s="78" t="s">
        <v>66</v>
      </c>
      <c r="O316" s="79"/>
      <c r="P316" s="79"/>
      <c r="Q316" s="79"/>
      <c r="R316" s="79"/>
      <c r="S316" s="79"/>
      <c r="T316" s="80"/>
      <c r="U316" s="52" t="s">
        <v>65</v>
      </c>
      <c r="V316" s="69">
        <f>IFERROR(SUM(V314:V314),"0")</f>
        <v>90</v>
      </c>
      <c r="W316" s="69">
        <f>IFERROR(SUM(W314:W314),"0")</f>
        <v>93.6</v>
      </c>
      <c r="X316" s="52"/>
      <c r="Y316" s="70"/>
      <c r="Z316" s="70"/>
    </row>
    <row r="317" spans="1:53" ht="16.5" customHeight="1" x14ac:dyDescent="0.25">
      <c r="A317" s="75" t="s">
        <v>464</v>
      </c>
      <c r="B317" s="76"/>
      <c r="C317" s="76"/>
      <c r="D317" s="76"/>
      <c r="E317" s="76"/>
      <c r="F317" s="76"/>
      <c r="G317" s="76"/>
      <c r="H317" s="76"/>
      <c r="I317" s="76"/>
      <c r="J317" s="76"/>
      <c r="K317" s="76"/>
      <c r="L317" s="76"/>
      <c r="M317" s="76"/>
      <c r="N317" s="76"/>
      <c r="O317" s="76"/>
      <c r="P317" s="76"/>
      <c r="Q317" s="76"/>
      <c r="R317" s="76"/>
      <c r="S317" s="76"/>
      <c r="T317" s="76"/>
      <c r="U317" s="76"/>
      <c r="V317" s="76"/>
      <c r="W317" s="76"/>
      <c r="X317" s="76"/>
      <c r="Y317" s="60"/>
      <c r="Z317" s="60"/>
    </row>
    <row r="318" spans="1:53" ht="14.25" customHeight="1" x14ac:dyDescent="0.25">
      <c r="A318" s="77" t="s">
        <v>103</v>
      </c>
      <c r="B318" s="76"/>
      <c r="C318" s="76"/>
      <c r="D318" s="76"/>
      <c r="E318" s="76"/>
      <c r="F318" s="76"/>
      <c r="G318" s="76"/>
      <c r="H318" s="76"/>
      <c r="I318" s="76"/>
      <c r="J318" s="76"/>
      <c r="K318" s="76"/>
      <c r="L318" s="76"/>
      <c r="M318" s="76"/>
      <c r="N318" s="76"/>
      <c r="O318" s="76"/>
      <c r="P318" s="76"/>
      <c r="Q318" s="76"/>
      <c r="R318" s="76"/>
      <c r="S318" s="76"/>
      <c r="T318" s="76"/>
      <c r="U318" s="76"/>
      <c r="V318" s="76"/>
      <c r="W318" s="76"/>
      <c r="X318" s="76"/>
      <c r="Y318" s="61"/>
      <c r="Z318" s="61"/>
    </row>
    <row r="319" spans="1:53" ht="27" customHeight="1" x14ac:dyDescent="0.25">
      <c r="A319" s="41" t="s">
        <v>465</v>
      </c>
      <c r="B319" s="41" t="s">
        <v>466</v>
      </c>
      <c r="C319" s="42">
        <v>4301011324</v>
      </c>
      <c r="D319" s="74">
        <v>4607091384185</v>
      </c>
      <c r="E319" s="73"/>
      <c r="F319" s="66">
        <v>0.8</v>
      </c>
      <c r="G319" s="43">
        <v>15</v>
      </c>
      <c r="H319" s="66">
        <v>12</v>
      </c>
      <c r="I319" s="66">
        <v>12.48</v>
      </c>
      <c r="J319" s="43">
        <v>56</v>
      </c>
      <c r="K319" s="43" t="s">
        <v>98</v>
      </c>
      <c r="L319" s="44" t="s">
        <v>64</v>
      </c>
      <c r="M319" s="43">
        <v>60</v>
      </c>
      <c r="N319" s="7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72"/>
      <c r="P319" s="72"/>
      <c r="Q319" s="72"/>
      <c r="R319" s="73"/>
      <c r="S319" s="45"/>
      <c r="T319" s="45"/>
      <c r="U319" s="46" t="s">
        <v>65</v>
      </c>
      <c r="V319" s="67">
        <v>0</v>
      </c>
      <c r="W319" s="68">
        <f>IFERROR(IF(V319="",0,CEILING((V319/$H319),1)*$H319),"")</f>
        <v>0</v>
      </c>
      <c r="X319" s="47" t="str">
        <f>IFERROR(IF(W319=0,"",ROUNDUP(W319/H319,0)*0.02175),"")</f>
        <v/>
      </c>
      <c r="Y319" s="48"/>
      <c r="Z319" s="49"/>
      <c r="AD319" s="50"/>
      <c r="BA319" s="51" t="s">
        <v>1</v>
      </c>
    </row>
    <row r="320" spans="1:53" ht="27" customHeight="1" x14ac:dyDescent="0.25">
      <c r="A320" s="41" t="s">
        <v>467</v>
      </c>
      <c r="B320" s="41" t="s">
        <v>468</v>
      </c>
      <c r="C320" s="42">
        <v>4301011312</v>
      </c>
      <c r="D320" s="74">
        <v>4607091384192</v>
      </c>
      <c r="E320" s="73"/>
      <c r="F320" s="66">
        <v>1.8</v>
      </c>
      <c r="G320" s="43">
        <v>6</v>
      </c>
      <c r="H320" s="66">
        <v>10.8</v>
      </c>
      <c r="I320" s="66">
        <v>11.28</v>
      </c>
      <c r="J320" s="43">
        <v>56</v>
      </c>
      <c r="K320" s="43" t="s">
        <v>98</v>
      </c>
      <c r="L320" s="44" t="s">
        <v>99</v>
      </c>
      <c r="M320" s="43">
        <v>60</v>
      </c>
      <c r="N320" s="7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72"/>
      <c r="P320" s="72"/>
      <c r="Q320" s="72"/>
      <c r="R320" s="73"/>
      <c r="S320" s="45"/>
      <c r="T320" s="45"/>
      <c r="U320" s="46" t="s">
        <v>65</v>
      </c>
      <c r="V320" s="67">
        <v>0</v>
      </c>
      <c r="W320" s="68">
        <f>IFERROR(IF(V320="",0,CEILING((V320/$H320),1)*$H320),"")</f>
        <v>0</v>
      </c>
      <c r="X320" s="47" t="str">
        <f>IFERROR(IF(W320=0,"",ROUNDUP(W320/H320,0)*0.02175),"")</f>
        <v/>
      </c>
      <c r="Y320" s="48"/>
      <c r="Z320" s="49"/>
      <c r="AD320" s="50"/>
      <c r="BA320" s="51" t="s">
        <v>1</v>
      </c>
    </row>
    <row r="321" spans="1:53" ht="27" customHeight="1" x14ac:dyDescent="0.25">
      <c r="A321" s="41" t="s">
        <v>469</v>
      </c>
      <c r="B321" s="41" t="s">
        <v>470</v>
      </c>
      <c r="C321" s="42">
        <v>4301011483</v>
      </c>
      <c r="D321" s="74">
        <v>4680115881907</v>
      </c>
      <c r="E321" s="73"/>
      <c r="F321" s="66">
        <v>1.8</v>
      </c>
      <c r="G321" s="43">
        <v>6</v>
      </c>
      <c r="H321" s="66">
        <v>10.8</v>
      </c>
      <c r="I321" s="66">
        <v>11.28</v>
      </c>
      <c r="J321" s="43">
        <v>56</v>
      </c>
      <c r="K321" s="43" t="s">
        <v>98</v>
      </c>
      <c r="L321" s="44" t="s">
        <v>64</v>
      </c>
      <c r="M321" s="43">
        <v>60</v>
      </c>
      <c r="N321" s="7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72"/>
      <c r="P321" s="72"/>
      <c r="Q321" s="72"/>
      <c r="R321" s="73"/>
      <c r="S321" s="45"/>
      <c r="T321" s="45"/>
      <c r="U321" s="46" t="s">
        <v>65</v>
      </c>
      <c r="V321" s="67">
        <v>0</v>
      </c>
      <c r="W321" s="68">
        <f>IFERROR(IF(V321="",0,CEILING((V321/$H321),1)*$H321),"")</f>
        <v>0</v>
      </c>
      <c r="X321" s="47" t="str">
        <f>IFERROR(IF(W321=0,"",ROUNDUP(W321/H321,0)*0.02175),"")</f>
        <v/>
      </c>
      <c r="Y321" s="48"/>
      <c r="Z321" s="49"/>
      <c r="AD321" s="50"/>
      <c r="BA321" s="51" t="s">
        <v>1</v>
      </c>
    </row>
    <row r="322" spans="1:53" ht="27" customHeight="1" x14ac:dyDescent="0.25">
      <c r="A322" s="41" t="s">
        <v>471</v>
      </c>
      <c r="B322" s="41" t="s">
        <v>472</v>
      </c>
      <c r="C322" s="42">
        <v>4301011303</v>
      </c>
      <c r="D322" s="74">
        <v>4607091384680</v>
      </c>
      <c r="E322" s="73"/>
      <c r="F322" s="66">
        <v>0.4</v>
      </c>
      <c r="G322" s="43">
        <v>10</v>
      </c>
      <c r="H322" s="66">
        <v>4</v>
      </c>
      <c r="I322" s="66">
        <v>4.21</v>
      </c>
      <c r="J322" s="43">
        <v>120</v>
      </c>
      <c r="K322" s="43" t="s">
        <v>63</v>
      </c>
      <c r="L322" s="44" t="s">
        <v>64</v>
      </c>
      <c r="M322" s="43">
        <v>60</v>
      </c>
      <c r="N322" s="7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2" s="72"/>
      <c r="P322" s="72"/>
      <c r="Q322" s="72"/>
      <c r="R322" s="73"/>
      <c r="S322" s="45"/>
      <c r="T322" s="45"/>
      <c r="U322" s="46" t="s">
        <v>65</v>
      </c>
      <c r="V322" s="67">
        <v>0</v>
      </c>
      <c r="W322" s="68">
        <f>IFERROR(IF(V322="",0,CEILING((V322/$H322),1)*$H322),"")</f>
        <v>0</v>
      </c>
      <c r="X322" s="47" t="str">
        <f>IFERROR(IF(W322=0,"",ROUNDUP(W322/H322,0)*0.00937),"")</f>
        <v/>
      </c>
      <c r="Y322" s="48"/>
      <c r="Z322" s="49"/>
      <c r="AD322" s="50"/>
      <c r="BA322" s="51" t="s">
        <v>1</v>
      </c>
    </row>
    <row r="323" spans="1:53" x14ac:dyDescent="0.2">
      <c r="A323" s="81"/>
      <c r="B323" s="76"/>
      <c r="C323" s="76"/>
      <c r="D323" s="76"/>
      <c r="E323" s="76"/>
      <c r="F323" s="76"/>
      <c r="G323" s="76"/>
      <c r="H323" s="76"/>
      <c r="I323" s="76"/>
      <c r="J323" s="76"/>
      <c r="K323" s="76"/>
      <c r="L323" s="76"/>
      <c r="M323" s="82"/>
      <c r="N323" s="78" t="s">
        <v>66</v>
      </c>
      <c r="O323" s="79"/>
      <c r="P323" s="79"/>
      <c r="Q323" s="79"/>
      <c r="R323" s="79"/>
      <c r="S323" s="79"/>
      <c r="T323" s="80"/>
      <c r="U323" s="52" t="s">
        <v>67</v>
      </c>
      <c r="V323" s="69">
        <f>IFERROR(V319/H319,"0")+IFERROR(V320/H320,"0")+IFERROR(V321/H321,"0")+IFERROR(V322/H322,"0")</f>
        <v>0</v>
      </c>
      <c r="W323" s="69">
        <f>IFERROR(W319/H319,"0")+IFERROR(W320/H320,"0")+IFERROR(W321/H321,"0")+IFERROR(W322/H322,"0")</f>
        <v>0</v>
      </c>
      <c r="X323" s="69">
        <f>IFERROR(IF(X319="",0,X319),"0")+IFERROR(IF(X320="",0,X320),"0")+IFERROR(IF(X321="",0,X321),"0")+IFERROR(IF(X322="",0,X322),"0")</f>
        <v>0</v>
      </c>
      <c r="Y323" s="70"/>
      <c r="Z323" s="70"/>
    </row>
    <row r="324" spans="1:53" x14ac:dyDescent="0.2">
      <c r="A324" s="76"/>
      <c r="B324" s="76"/>
      <c r="C324" s="76"/>
      <c r="D324" s="76"/>
      <c r="E324" s="76"/>
      <c r="F324" s="76"/>
      <c r="G324" s="76"/>
      <c r="H324" s="76"/>
      <c r="I324" s="76"/>
      <c r="J324" s="76"/>
      <c r="K324" s="76"/>
      <c r="L324" s="76"/>
      <c r="M324" s="82"/>
      <c r="N324" s="78" t="s">
        <v>66</v>
      </c>
      <c r="O324" s="79"/>
      <c r="P324" s="79"/>
      <c r="Q324" s="79"/>
      <c r="R324" s="79"/>
      <c r="S324" s="79"/>
      <c r="T324" s="80"/>
      <c r="U324" s="52" t="s">
        <v>65</v>
      </c>
      <c r="V324" s="69">
        <f>IFERROR(SUM(V319:V322),"0")</f>
        <v>0</v>
      </c>
      <c r="W324" s="69">
        <f>IFERROR(SUM(W319:W322),"0")</f>
        <v>0</v>
      </c>
      <c r="X324" s="52"/>
      <c r="Y324" s="70"/>
      <c r="Z324" s="70"/>
    </row>
    <row r="325" spans="1:53" ht="14.25" customHeight="1" x14ac:dyDescent="0.25">
      <c r="A325" s="77" t="s">
        <v>60</v>
      </c>
      <c r="B325" s="76"/>
      <c r="C325" s="76"/>
      <c r="D325" s="76"/>
      <c r="E325" s="76"/>
      <c r="F325" s="76"/>
      <c r="G325" s="76"/>
      <c r="H325" s="76"/>
      <c r="I325" s="76"/>
      <c r="J325" s="76"/>
      <c r="K325" s="76"/>
      <c r="L325" s="76"/>
      <c r="M325" s="76"/>
      <c r="N325" s="76"/>
      <c r="O325" s="76"/>
      <c r="P325" s="76"/>
      <c r="Q325" s="76"/>
      <c r="R325" s="76"/>
      <c r="S325" s="76"/>
      <c r="T325" s="76"/>
      <c r="U325" s="76"/>
      <c r="V325" s="76"/>
      <c r="W325" s="76"/>
      <c r="X325" s="76"/>
      <c r="Y325" s="61"/>
      <c r="Z325" s="61"/>
    </row>
    <row r="326" spans="1:53" ht="27" customHeight="1" x14ac:dyDescent="0.25">
      <c r="A326" s="41" t="s">
        <v>473</v>
      </c>
      <c r="B326" s="41" t="s">
        <v>474</v>
      </c>
      <c r="C326" s="42">
        <v>4301031139</v>
      </c>
      <c r="D326" s="74">
        <v>4607091384802</v>
      </c>
      <c r="E326" s="73"/>
      <c r="F326" s="66">
        <v>0.73</v>
      </c>
      <c r="G326" s="43">
        <v>6</v>
      </c>
      <c r="H326" s="66">
        <v>4.38</v>
      </c>
      <c r="I326" s="66">
        <v>4.58</v>
      </c>
      <c r="J326" s="43">
        <v>156</v>
      </c>
      <c r="K326" s="43" t="s">
        <v>63</v>
      </c>
      <c r="L326" s="44" t="s">
        <v>64</v>
      </c>
      <c r="M326" s="43">
        <v>35</v>
      </c>
      <c r="N326" s="7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6" s="72"/>
      <c r="P326" s="72"/>
      <c r="Q326" s="72"/>
      <c r="R326" s="73"/>
      <c r="S326" s="45"/>
      <c r="T326" s="45"/>
      <c r="U326" s="46" t="s">
        <v>65</v>
      </c>
      <c r="V326" s="67">
        <v>0</v>
      </c>
      <c r="W326" s="68">
        <f>IFERROR(IF(V326="",0,CEILING((V326/$H326),1)*$H326),"")</f>
        <v>0</v>
      </c>
      <c r="X326" s="47" t="str">
        <f>IFERROR(IF(W326=0,"",ROUNDUP(W326/H326,0)*0.00753),"")</f>
        <v/>
      </c>
      <c r="Y326" s="48"/>
      <c r="Z326" s="49"/>
      <c r="AD326" s="50"/>
      <c r="BA326" s="51" t="s">
        <v>1</v>
      </c>
    </row>
    <row r="327" spans="1:53" ht="27" customHeight="1" x14ac:dyDescent="0.25">
      <c r="A327" s="41" t="s">
        <v>475</v>
      </c>
      <c r="B327" s="41" t="s">
        <v>476</v>
      </c>
      <c r="C327" s="42">
        <v>4301031140</v>
      </c>
      <c r="D327" s="74">
        <v>4607091384826</v>
      </c>
      <c r="E327" s="73"/>
      <c r="F327" s="66">
        <v>0.35</v>
      </c>
      <c r="G327" s="43">
        <v>8</v>
      </c>
      <c r="H327" s="66">
        <v>2.8</v>
      </c>
      <c r="I327" s="66">
        <v>2.9</v>
      </c>
      <c r="J327" s="43">
        <v>234</v>
      </c>
      <c r="K327" s="43" t="s">
        <v>166</v>
      </c>
      <c r="L327" s="44" t="s">
        <v>64</v>
      </c>
      <c r="M327" s="43">
        <v>35</v>
      </c>
      <c r="N327" s="7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7" s="72"/>
      <c r="P327" s="72"/>
      <c r="Q327" s="72"/>
      <c r="R327" s="73"/>
      <c r="S327" s="45"/>
      <c r="T327" s="45"/>
      <c r="U327" s="46" t="s">
        <v>65</v>
      </c>
      <c r="V327" s="67">
        <v>0</v>
      </c>
      <c r="W327" s="68">
        <f>IFERROR(IF(V327="",0,CEILING((V327/$H327),1)*$H327),"")</f>
        <v>0</v>
      </c>
      <c r="X327" s="47" t="str">
        <f>IFERROR(IF(W327=0,"",ROUNDUP(W327/H327,0)*0.00502),"")</f>
        <v/>
      </c>
      <c r="Y327" s="48"/>
      <c r="Z327" s="49"/>
      <c r="AD327" s="50"/>
      <c r="BA327" s="51" t="s">
        <v>1</v>
      </c>
    </row>
    <row r="328" spans="1:53" x14ac:dyDescent="0.2">
      <c r="A328" s="81"/>
      <c r="B328" s="76"/>
      <c r="C328" s="76"/>
      <c r="D328" s="76"/>
      <c r="E328" s="76"/>
      <c r="F328" s="76"/>
      <c r="G328" s="76"/>
      <c r="H328" s="76"/>
      <c r="I328" s="76"/>
      <c r="J328" s="76"/>
      <c r="K328" s="76"/>
      <c r="L328" s="76"/>
      <c r="M328" s="82"/>
      <c r="N328" s="78" t="s">
        <v>66</v>
      </c>
      <c r="O328" s="79"/>
      <c r="P328" s="79"/>
      <c r="Q328" s="79"/>
      <c r="R328" s="79"/>
      <c r="S328" s="79"/>
      <c r="T328" s="80"/>
      <c r="U328" s="52" t="s">
        <v>67</v>
      </c>
      <c r="V328" s="69">
        <f>IFERROR(V326/H326,"0")+IFERROR(V327/H327,"0")</f>
        <v>0</v>
      </c>
      <c r="W328" s="69">
        <f>IFERROR(W326/H326,"0")+IFERROR(W327/H327,"0")</f>
        <v>0</v>
      </c>
      <c r="X328" s="69">
        <f>IFERROR(IF(X326="",0,X326),"0")+IFERROR(IF(X327="",0,X327),"0")</f>
        <v>0</v>
      </c>
      <c r="Y328" s="70"/>
      <c r="Z328" s="70"/>
    </row>
    <row r="329" spans="1:53" x14ac:dyDescent="0.2">
      <c r="A329" s="76"/>
      <c r="B329" s="76"/>
      <c r="C329" s="76"/>
      <c r="D329" s="76"/>
      <c r="E329" s="76"/>
      <c r="F329" s="76"/>
      <c r="G329" s="76"/>
      <c r="H329" s="76"/>
      <c r="I329" s="76"/>
      <c r="J329" s="76"/>
      <c r="K329" s="76"/>
      <c r="L329" s="76"/>
      <c r="M329" s="82"/>
      <c r="N329" s="78" t="s">
        <v>66</v>
      </c>
      <c r="O329" s="79"/>
      <c r="P329" s="79"/>
      <c r="Q329" s="79"/>
      <c r="R329" s="79"/>
      <c r="S329" s="79"/>
      <c r="T329" s="80"/>
      <c r="U329" s="52" t="s">
        <v>65</v>
      </c>
      <c r="V329" s="69">
        <f>IFERROR(SUM(V326:V327),"0")</f>
        <v>0</v>
      </c>
      <c r="W329" s="69">
        <f>IFERROR(SUM(W326:W327),"0")</f>
        <v>0</v>
      </c>
      <c r="X329" s="52"/>
      <c r="Y329" s="70"/>
      <c r="Z329" s="70"/>
    </row>
    <row r="330" spans="1:53" ht="14.25" customHeight="1" x14ac:dyDescent="0.25">
      <c r="A330" s="77" t="s">
        <v>68</v>
      </c>
      <c r="B330" s="76"/>
      <c r="C330" s="76"/>
      <c r="D330" s="76"/>
      <c r="E330" s="76"/>
      <c r="F330" s="76"/>
      <c r="G330" s="76"/>
      <c r="H330" s="76"/>
      <c r="I330" s="76"/>
      <c r="J330" s="76"/>
      <c r="K330" s="76"/>
      <c r="L330" s="76"/>
      <c r="M330" s="76"/>
      <c r="N330" s="76"/>
      <c r="O330" s="76"/>
      <c r="P330" s="76"/>
      <c r="Q330" s="76"/>
      <c r="R330" s="76"/>
      <c r="S330" s="76"/>
      <c r="T330" s="76"/>
      <c r="U330" s="76"/>
      <c r="V330" s="76"/>
      <c r="W330" s="76"/>
      <c r="X330" s="76"/>
      <c r="Y330" s="61"/>
      <c r="Z330" s="61"/>
    </row>
    <row r="331" spans="1:53" ht="27" customHeight="1" x14ac:dyDescent="0.25">
      <c r="A331" s="41" t="s">
        <v>477</v>
      </c>
      <c r="B331" s="41" t="s">
        <v>478</v>
      </c>
      <c r="C331" s="42">
        <v>4301051303</v>
      </c>
      <c r="D331" s="74">
        <v>4607091384246</v>
      </c>
      <c r="E331" s="73"/>
      <c r="F331" s="66">
        <v>1.3</v>
      </c>
      <c r="G331" s="43">
        <v>6</v>
      </c>
      <c r="H331" s="66">
        <v>7.8</v>
      </c>
      <c r="I331" s="66">
        <v>8.3640000000000008</v>
      </c>
      <c r="J331" s="43">
        <v>56</v>
      </c>
      <c r="K331" s="43" t="s">
        <v>98</v>
      </c>
      <c r="L331" s="44" t="s">
        <v>64</v>
      </c>
      <c r="M331" s="43">
        <v>40</v>
      </c>
      <c r="N331" s="7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1" s="72"/>
      <c r="P331" s="72"/>
      <c r="Q331" s="72"/>
      <c r="R331" s="73"/>
      <c r="S331" s="45"/>
      <c r="T331" s="45"/>
      <c r="U331" s="46" t="s">
        <v>65</v>
      </c>
      <c r="V331" s="67">
        <v>0</v>
      </c>
      <c r="W331" s="68">
        <f>IFERROR(IF(V331="",0,CEILING((V331/$H331),1)*$H331),"")</f>
        <v>0</v>
      </c>
      <c r="X331" s="47" t="str">
        <f>IFERROR(IF(W331=0,"",ROUNDUP(W331/H331,0)*0.02175),"")</f>
        <v/>
      </c>
      <c r="Y331" s="48"/>
      <c r="Z331" s="49"/>
      <c r="AD331" s="50"/>
      <c r="BA331" s="51" t="s">
        <v>1</v>
      </c>
    </row>
    <row r="332" spans="1:53" ht="27" customHeight="1" x14ac:dyDescent="0.25">
      <c r="A332" s="41" t="s">
        <v>479</v>
      </c>
      <c r="B332" s="41" t="s">
        <v>480</v>
      </c>
      <c r="C332" s="42">
        <v>4301051445</v>
      </c>
      <c r="D332" s="74">
        <v>4680115881976</v>
      </c>
      <c r="E332" s="73"/>
      <c r="F332" s="66">
        <v>1.3</v>
      </c>
      <c r="G332" s="43">
        <v>6</v>
      </c>
      <c r="H332" s="66">
        <v>7.8</v>
      </c>
      <c r="I332" s="66">
        <v>8.2799999999999994</v>
      </c>
      <c r="J332" s="43">
        <v>56</v>
      </c>
      <c r="K332" s="43" t="s">
        <v>98</v>
      </c>
      <c r="L332" s="44" t="s">
        <v>64</v>
      </c>
      <c r="M332" s="43">
        <v>40</v>
      </c>
      <c r="N332" s="7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2" s="72"/>
      <c r="P332" s="72"/>
      <c r="Q332" s="72"/>
      <c r="R332" s="73"/>
      <c r="S332" s="45"/>
      <c r="T332" s="45"/>
      <c r="U332" s="46" t="s">
        <v>65</v>
      </c>
      <c r="V332" s="67">
        <v>0</v>
      </c>
      <c r="W332" s="68">
        <f>IFERROR(IF(V332="",0,CEILING((V332/$H332),1)*$H332),"")</f>
        <v>0</v>
      </c>
      <c r="X332" s="47" t="str">
        <f>IFERROR(IF(W332=0,"",ROUNDUP(W332/H332,0)*0.02175),"")</f>
        <v/>
      </c>
      <c r="Y332" s="48"/>
      <c r="Z332" s="49"/>
      <c r="AD332" s="50"/>
      <c r="BA332" s="51" t="s">
        <v>1</v>
      </c>
    </row>
    <row r="333" spans="1:53" ht="27" customHeight="1" x14ac:dyDescent="0.25">
      <c r="A333" s="41" t="s">
        <v>481</v>
      </c>
      <c r="B333" s="41" t="s">
        <v>482</v>
      </c>
      <c r="C333" s="42">
        <v>4301051297</v>
      </c>
      <c r="D333" s="74">
        <v>4607091384253</v>
      </c>
      <c r="E333" s="73"/>
      <c r="F333" s="66">
        <v>0.4</v>
      </c>
      <c r="G333" s="43">
        <v>6</v>
      </c>
      <c r="H333" s="66">
        <v>2.4</v>
      </c>
      <c r="I333" s="66">
        <v>2.6840000000000002</v>
      </c>
      <c r="J333" s="43">
        <v>156</v>
      </c>
      <c r="K333" s="43" t="s">
        <v>63</v>
      </c>
      <c r="L333" s="44" t="s">
        <v>64</v>
      </c>
      <c r="M333" s="43">
        <v>40</v>
      </c>
      <c r="N333" s="7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3" s="72"/>
      <c r="P333" s="72"/>
      <c r="Q333" s="72"/>
      <c r="R333" s="73"/>
      <c r="S333" s="45"/>
      <c r="T333" s="45"/>
      <c r="U333" s="46" t="s">
        <v>65</v>
      </c>
      <c r="V333" s="67">
        <v>0</v>
      </c>
      <c r="W333" s="68">
        <f>IFERROR(IF(V333="",0,CEILING((V333/$H333),1)*$H333),"")</f>
        <v>0</v>
      </c>
      <c r="X333" s="47" t="str">
        <f>IFERROR(IF(W333=0,"",ROUNDUP(W333/H333,0)*0.00753),"")</f>
        <v/>
      </c>
      <c r="Y333" s="48"/>
      <c r="Z333" s="49"/>
      <c r="AD333" s="50"/>
      <c r="BA333" s="51" t="s">
        <v>1</v>
      </c>
    </row>
    <row r="334" spans="1:53" ht="27" customHeight="1" x14ac:dyDescent="0.25">
      <c r="A334" s="41" t="s">
        <v>483</v>
      </c>
      <c r="B334" s="41" t="s">
        <v>484</v>
      </c>
      <c r="C334" s="42">
        <v>4301051444</v>
      </c>
      <c r="D334" s="74">
        <v>4680115881969</v>
      </c>
      <c r="E334" s="73"/>
      <c r="F334" s="66">
        <v>0.4</v>
      </c>
      <c r="G334" s="43">
        <v>6</v>
      </c>
      <c r="H334" s="66">
        <v>2.4</v>
      </c>
      <c r="I334" s="66">
        <v>2.6</v>
      </c>
      <c r="J334" s="43">
        <v>156</v>
      </c>
      <c r="K334" s="43" t="s">
        <v>63</v>
      </c>
      <c r="L334" s="44" t="s">
        <v>64</v>
      </c>
      <c r="M334" s="43">
        <v>40</v>
      </c>
      <c r="N334" s="7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4" s="72"/>
      <c r="P334" s="72"/>
      <c r="Q334" s="72"/>
      <c r="R334" s="73"/>
      <c r="S334" s="45"/>
      <c r="T334" s="45"/>
      <c r="U334" s="46" t="s">
        <v>65</v>
      </c>
      <c r="V334" s="67">
        <v>0</v>
      </c>
      <c r="W334" s="68">
        <f>IFERROR(IF(V334="",0,CEILING((V334/$H334),1)*$H334),"")</f>
        <v>0</v>
      </c>
      <c r="X334" s="47" t="str">
        <f>IFERROR(IF(W334=0,"",ROUNDUP(W334/H334,0)*0.00753),"")</f>
        <v/>
      </c>
      <c r="Y334" s="48"/>
      <c r="Z334" s="49"/>
      <c r="AD334" s="50"/>
      <c r="BA334" s="51" t="s">
        <v>1</v>
      </c>
    </row>
    <row r="335" spans="1:53" x14ac:dyDescent="0.2">
      <c r="A335" s="81"/>
      <c r="B335" s="76"/>
      <c r="C335" s="76"/>
      <c r="D335" s="76"/>
      <c r="E335" s="76"/>
      <c r="F335" s="76"/>
      <c r="G335" s="76"/>
      <c r="H335" s="76"/>
      <c r="I335" s="76"/>
      <c r="J335" s="76"/>
      <c r="K335" s="76"/>
      <c r="L335" s="76"/>
      <c r="M335" s="82"/>
      <c r="N335" s="78" t="s">
        <v>66</v>
      </c>
      <c r="O335" s="79"/>
      <c r="P335" s="79"/>
      <c r="Q335" s="79"/>
      <c r="R335" s="79"/>
      <c r="S335" s="79"/>
      <c r="T335" s="80"/>
      <c r="U335" s="52" t="s">
        <v>67</v>
      </c>
      <c r="V335" s="69">
        <f>IFERROR(V331/H331,"0")+IFERROR(V332/H332,"0")+IFERROR(V333/H333,"0")+IFERROR(V334/H334,"0")</f>
        <v>0</v>
      </c>
      <c r="W335" s="69">
        <f>IFERROR(W331/H331,"0")+IFERROR(W332/H332,"0")+IFERROR(W333/H333,"0")+IFERROR(W334/H334,"0")</f>
        <v>0</v>
      </c>
      <c r="X335" s="69">
        <f>IFERROR(IF(X331="",0,X331),"0")+IFERROR(IF(X332="",0,X332),"0")+IFERROR(IF(X333="",0,X333),"0")+IFERROR(IF(X334="",0,X334),"0")</f>
        <v>0</v>
      </c>
      <c r="Y335" s="70"/>
      <c r="Z335" s="70"/>
    </row>
    <row r="336" spans="1:53" x14ac:dyDescent="0.2">
      <c r="A336" s="76"/>
      <c r="B336" s="76"/>
      <c r="C336" s="76"/>
      <c r="D336" s="76"/>
      <c r="E336" s="76"/>
      <c r="F336" s="76"/>
      <c r="G336" s="76"/>
      <c r="H336" s="76"/>
      <c r="I336" s="76"/>
      <c r="J336" s="76"/>
      <c r="K336" s="76"/>
      <c r="L336" s="76"/>
      <c r="M336" s="82"/>
      <c r="N336" s="78" t="s">
        <v>66</v>
      </c>
      <c r="O336" s="79"/>
      <c r="P336" s="79"/>
      <c r="Q336" s="79"/>
      <c r="R336" s="79"/>
      <c r="S336" s="79"/>
      <c r="T336" s="80"/>
      <c r="U336" s="52" t="s">
        <v>65</v>
      </c>
      <c r="V336" s="69">
        <f>IFERROR(SUM(V331:V334),"0")</f>
        <v>0</v>
      </c>
      <c r="W336" s="69">
        <f>IFERROR(SUM(W331:W334),"0")</f>
        <v>0</v>
      </c>
      <c r="X336" s="52"/>
      <c r="Y336" s="70"/>
      <c r="Z336" s="70"/>
    </row>
    <row r="337" spans="1:53" ht="14.25" customHeight="1" x14ac:dyDescent="0.25">
      <c r="A337" s="77" t="s">
        <v>218</v>
      </c>
      <c r="B337" s="76"/>
      <c r="C337" s="76"/>
      <c r="D337" s="76"/>
      <c r="E337" s="76"/>
      <c r="F337" s="76"/>
      <c r="G337" s="76"/>
      <c r="H337" s="76"/>
      <c r="I337" s="76"/>
      <c r="J337" s="76"/>
      <c r="K337" s="76"/>
      <c r="L337" s="76"/>
      <c r="M337" s="76"/>
      <c r="N337" s="76"/>
      <c r="O337" s="76"/>
      <c r="P337" s="76"/>
      <c r="Q337" s="76"/>
      <c r="R337" s="76"/>
      <c r="S337" s="76"/>
      <c r="T337" s="76"/>
      <c r="U337" s="76"/>
      <c r="V337" s="76"/>
      <c r="W337" s="76"/>
      <c r="X337" s="76"/>
      <c r="Y337" s="61"/>
      <c r="Z337" s="61"/>
    </row>
    <row r="338" spans="1:53" ht="27" customHeight="1" x14ac:dyDescent="0.25">
      <c r="A338" s="41" t="s">
        <v>485</v>
      </c>
      <c r="B338" s="41" t="s">
        <v>486</v>
      </c>
      <c r="C338" s="42">
        <v>4301060322</v>
      </c>
      <c r="D338" s="74">
        <v>4607091389357</v>
      </c>
      <c r="E338" s="73"/>
      <c r="F338" s="66">
        <v>1.3</v>
      </c>
      <c r="G338" s="43">
        <v>6</v>
      </c>
      <c r="H338" s="66">
        <v>7.8</v>
      </c>
      <c r="I338" s="66">
        <v>8.2799999999999994</v>
      </c>
      <c r="J338" s="43">
        <v>56</v>
      </c>
      <c r="K338" s="43" t="s">
        <v>98</v>
      </c>
      <c r="L338" s="44" t="s">
        <v>64</v>
      </c>
      <c r="M338" s="43">
        <v>40</v>
      </c>
      <c r="N338" s="7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8" s="72"/>
      <c r="P338" s="72"/>
      <c r="Q338" s="72"/>
      <c r="R338" s="73"/>
      <c r="S338" s="45"/>
      <c r="T338" s="45"/>
      <c r="U338" s="46" t="s">
        <v>65</v>
      </c>
      <c r="V338" s="67">
        <v>0</v>
      </c>
      <c r="W338" s="68">
        <f>IFERROR(IF(V338="",0,CEILING((V338/$H338),1)*$H338),"")</f>
        <v>0</v>
      </c>
      <c r="X338" s="47" t="str">
        <f>IFERROR(IF(W338=0,"",ROUNDUP(W338/H338,0)*0.02175),"")</f>
        <v/>
      </c>
      <c r="Y338" s="48"/>
      <c r="Z338" s="49"/>
      <c r="AD338" s="50"/>
      <c r="BA338" s="51" t="s">
        <v>1</v>
      </c>
    </row>
    <row r="339" spans="1:53" x14ac:dyDescent="0.2">
      <c r="A339" s="81"/>
      <c r="B339" s="76"/>
      <c r="C339" s="76"/>
      <c r="D339" s="76"/>
      <c r="E339" s="76"/>
      <c r="F339" s="76"/>
      <c r="G339" s="76"/>
      <c r="H339" s="76"/>
      <c r="I339" s="76"/>
      <c r="J339" s="76"/>
      <c r="K339" s="76"/>
      <c r="L339" s="76"/>
      <c r="M339" s="82"/>
      <c r="N339" s="78" t="s">
        <v>66</v>
      </c>
      <c r="O339" s="79"/>
      <c r="P339" s="79"/>
      <c r="Q339" s="79"/>
      <c r="R339" s="79"/>
      <c r="S339" s="79"/>
      <c r="T339" s="80"/>
      <c r="U339" s="52" t="s">
        <v>67</v>
      </c>
      <c r="V339" s="69">
        <f>IFERROR(V338/H338,"0")</f>
        <v>0</v>
      </c>
      <c r="W339" s="69">
        <f>IFERROR(W338/H338,"0")</f>
        <v>0</v>
      </c>
      <c r="X339" s="69">
        <f>IFERROR(IF(X338="",0,X338),"0")</f>
        <v>0</v>
      </c>
      <c r="Y339" s="70"/>
      <c r="Z339" s="70"/>
    </row>
    <row r="340" spans="1:53" x14ac:dyDescent="0.2">
      <c r="A340" s="76"/>
      <c r="B340" s="76"/>
      <c r="C340" s="76"/>
      <c r="D340" s="76"/>
      <c r="E340" s="76"/>
      <c r="F340" s="76"/>
      <c r="G340" s="76"/>
      <c r="H340" s="76"/>
      <c r="I340" s="76"/>
      <c r="J340" s="76"/>
      <c r="K340" s="76"/>
      <c r="L340" s="76"/>
      <c r="M340" s="82"/>
      <c r="N340" s="78" t="s">
        <v>66</v>
      </c>
      <c r="O340" s="79"/>
      <c r="P340" s="79"/>
      <c r="Q340" s="79"/>
      <c r="R340" s="79"/>
      <c r="S340" s="79"/>
      <c r="T340" s="80"/>
      <c r="U340" s="52" t="s">
        <v>65</v>
      </c>
      <c r="V340" s="69">
        <f>IFERROR(SUM(V338:V338),"0")</f>
        <v>0</v>
      </c>
      <c r="W340" s="69">
        <f>IFERROR(SUM(W338:W338),"0")</f>
        <v>0</v>
      </c>
      <c r="X340" s="52"/>
      <c r="Y340" s="70"/>
      <c r="Z340" s="70"/>
    </row>
    <row r="341" spans="1:53" ht="27.75" customHeight="1" x14ac:dyDescent="0.2">
      <c r="A341" s="83" t="s">
        <v>487</v>
      </c>
      <c r="B341" s="84"/>
      <c r="C341" s="84"/>
      <c r="D341" s="84"/>
      <c r="E341" s="84"/>
      <c r="F341" s="84"/>
      <c r="G341" s="84"/>
      <c r="H341" s="84"/>
      <c r="I341" s="84"/>
      <c r="J341" s="84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40"/>
      <c r="Z341" s="40"/>
    </row>
    <row r="342" spans="1:53" ht="16.5" customHeight="1" x14ac:dyDescent="0.25">
      <c r="A342" s="75" t="s">
        <v>488</v>
      </c>
      <c r="B342" s="76"/>
      <c r="C342" s="76"/>
      <c r="D342" s="76"/>
      <c r="E342" s="76"/>
      <c r="F342" s="76"/>
      <c r="G342" s="76"/>
      <c r="H342" s="76"/>
      <c r="I342" s="76"/>
      <c r="J342" s="76"/>
      <c r="K342" s="76"/>
      <c r="L342" s="76"/>
      <c r="M342" s="76"/>
      <c r="N342" s="76"/>
      <c r="O342" s="76"/>
      <c r="P342" s="76"/>
      <c r="Q342" s="76"/>
      <c r="R342" s="76"/>
      <c r="S342" s="76"/>
      <c r="T342" s="76"/>
      <c r="U342" s="76"/>
      <c r="V342" s="76"/>
      <c r="W342" s="76"/>
      <c r="X342" s="76"/>
      <c r="Y342" s="60"/>
      <c r="Z342" s="60"/>
    </row>
    <row r="343" spans="1:53" ht="14.25" customHeight="1" x14ac:dyDescent="0.25">
      <c r="A343" s="77" t="s">
        <v>103</v>
      </c>
      <c r="B343" s="76"/>
      <c r="C343" s="76"/>
      <c r="D343" s="76"/>
      <c r="E343" s="76"/>
      <c r="F343" s="76"/>
      <c r="G343" s="76"/>
      <c r="H343" s="76"/>
      <c r="I343" s="76"/>
      <c r="J343" s="76"/>
      <c r="K343" s="76"/>
      <c r="L343" s="76"/>
      <c r="M343" s="76"/>
      <c r="N343" s="76"/>
      <c r="O343" s="76"/>
      <c r="P343" s="76"/>
      <c r="Q343" s="76"/>
      <c r="R343" s="76"/>
      <c r="S343" s="76"/>
      <c r="T343" s="76"/>
      <c r="U343" s="76"/>
      <c r="V343" s="76"/>
      <c r="W343" s="76"/>
      <c r="X343" s="76"/>
      <c r="Y343" s="61"/>
      <c r="Z343" s="61"/>
    </row>
    <row r="344" spans="1:53" ht="27" customHeight="1" x14ac:dyDescent="0.25">
      <c r="A344" s="41" t="s">
        <v>489</v>
      </c>
      <c r="B344" s="41" t="s">
        <v>490</v>
      </c>
      <c r="C344" s="42">
        <v>4301011428</v>
      </c>
      <c r="D344" s="74">
        <v>4607091389708</v>
      </c>
      <c r="E344" s="73"/>
      <c r="F344" s="66">
        <v>0.45</v>
      </c>
      <c r="G344" s="43">
        <v>6</v>
      </c>
      <c r="H344" s="66">
        <v>2.7</v>
      </c>
      <c r="I344" s="66">
        <v>2.9</v>
      </c>
      <c r="J344" s="43">
        <v>156</v>
      </c>
      <c r="K344" s="43" t="s">
        <v>63</v>
      </c>
      <c r="L344" s="44" t="s">
        <v>99</v>
      </c>
      <c r="M344" s="43">
        <v>50</v>
      </c>
      <c r="N344" s="7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4" s="72"/>
      <c r="P344" s="72"/>
      <c r="Q344" s="72"/>
      <c r="R344" s="73"/>
      <c r="S344" s="45"/>
      <c r="T344" s="45"/>
      <c r="U344" s="46" t="s">
        <v>65</v>
      </c>
      <c r="V344" s="67">
        <v>0</v>
      </c>
      <c r="W344" s="68">
        <f>IFERROR(IF(V344="",0,CEILING((V344/$H344),1)*$H344),"")</f>
        <v>0</v>
      </c>
      <c r="X344" s="47" t="str">
        <f>IFERROR(IF(W344=0,"",ROUNDUP(W344/H344,0)*0.00753),"")</f>
        <v/>
      </c>
      <c r="Y344" s="48"/>
      <c r="Z344" s="49"/>
      <c r="AD344" s="50"/>
      <c r="BA344" s="51" t="s">
        <v>1</v>
      </c>
    </row>
    <row r="345" spans="1:53" ht="27" customHeight="1" x14ac:dyDescent="0.25">
      <c r="A345" s="41" t="s">
        <v>491</v>
      </c>
      <c r="B345" s="41" t="s">
        <v>492</v>
      </c>
      <c r="C345" s="42">
        <v>4301011427</v>
      </c>
      <c r="D345" s="74">
        <v>4607091389692</v>
      </c>
      <c r="E345" s="73"/>
      <c r="F345" s="66">
        <v>0.45</v>
      </c>
      <c r="G345" s="43">
        <v>6</v>
      </c>
      <c r="H345" s="66">
        <v>2.7</v>
      </c>
      <c r="I345" s="66">
        <v>2.9</v>
      </c>
      <c r="J345" s="43">
        <v>156</v>
      </c>
      <c r="K345" s="43" t="s">
        <v>63</v>
      </c>
      <c r="L345" s="44" t="s">
        <v>99</v>
      </c>
      <c r="M345" s="43">
        <v>50</v>
      </c>
      <c r="N345" s="7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5" s="72"/>
      <c r="P345" s="72"/>
      <c r="Q345" s="72"/>
      <c r="R345" s="73"/>
      <c r="S345" s="45"/>
      <c r="T345" s="45"/>
      <c r="U345" s="46" t="s">
        <v>65</v>
      </c>
      <c r="V345" s="67">
        <v>0</v>
      </c>
      <c r="W345" s="68">
        <f>IFERROR(IF(V345="",0,CEILING((V345/$H345),1)*$H345),"")</f>
        <v>0</v>
      </c>
      <c r="X345" s="47" t="str">
        <f>IFERROR(IF(W345=0,"",ROUNDUP(W345/H345,0)*0.00753),"")</f>
        <v/>
      </c>
      <c r="Y345" s="48"/>
      <c r="Z345" s="49"/>
      <c r="AD345" s="50"/>
      <c r="BA345" s="51" t="s">
        <v>1</v>
      </c>
    </row>
    <row r="346" spans="1:53" x14ac:dyDescent="0.2">
      <c r="A346" s="81"/>
      <c r="B346" s="76"/>
      <c r="C346" s="76"/>
      <c r="D346" s="76"/>
      <c r="E346" s="76"/>
      <c r="F346" s="76"/>
      <c r="G346" s="76"/>
      <c r="H346" s="76"/>
      <c r="I346" s="76"/>
      <c r="J346" s="76"/>
      <c r="K346" s="76"/>
      <c r="L346" s="76"/>
      <c r="M346" s="82"/>
      <c r="N346" s="78" t="s">
        <v>66</v>
      </c>
      <c r="O346" s="79"/>
      <c r="P346" s="79"/>
      <c r="Q346" s="79"/>
      <c r="R346" s="79"/>
      <c r="S346" s="79"/>
      <c r="T346" s="80"/>
      <c r="U346" s="52" t="s">
        <v>67</v>
      </c>
      <c r="V346" s="69">
        <f>IFERROR(V344/H344,"0")+IFERROR(V345/H345,"0")</f>
        <v>0</v>
      </c>
      <c r="W346" s="69">
        <f>IFERROR(W344/H344,"0")+IFERROR(W345/H345,"0")</f>
        <v>0</v>
      </c>
      <c r="X346" s="69">
        <f>IFERROR(IF(X344="",0,X344),"0")+IFERROR(IF(X345="",0,X345),"0")</f>
        <v>0</v>
      </c>
      <c r="Y346" s="70"/>
      <c r="Z346" s="70"/>
    </row>
    <row r="347" spans="1:53" x14ac:dyDescent="0.2">
      <c r="A347" s="76"/>
      <c r="B347" s="76"/>
      <c r="C347" s="76"/>
      <c r="D347" s="76"/>
      <c r="E347" s="76"/>
      <c r="F347" s="76"/>
      <c r="G347" s="76"/>
      <c r="H347" s="76"/>
      <c r="I347" s="76"/>
      <c r="J347" s="76"/>
      <c r="K347" s="76"/>
      <c r="L347" s="76"/>
      <c r="M347" s="82"/>
      <c r="N347" s="78" t="s">
        <v>66</v>
      </c>
      <c r="O347" s="79"/>
      <c r="P347" s="79"/>
      <c r="Q347" s="79"/>
      <c r="R347" s="79"/>
      <c r="S347" s="79"/>
      <c r="T347" s="80"/>
      <c r="U347" s="52" t="s">
        <v>65</v>
      </c>
      <c r="V347" s="69">
        <f>IFERROR(SUM(V344:V345),"0")</f>
        <v>0</v>
      </c>
      <c r="W347" s="69">
        <f>IFERROR(SUM(W344:W345),"0")</f>
        <v>0</v>
      </c>
      <c r="X347" s="52"/>
      <c r="Y347" s="70"/>
      <c r="Z347" s="70"/>
    </row>
    <row r="348" spans="1:53" ht="14.25" customHeight="1" x14ac:dyDescent="0.25">
      <c r="A348" s="77" t="s">
        <v>60</v>
      </c>
      <c r="B348" s="76"/>
      <c r="C348" s="76"/>
      <c r="D348" s="76"/>
      <c r="E348" s="76"/>
      <c r="F348" s="76"/>
      <c r="G348" s="76"/>
      <c r="H348" s="76"/>
      <c r="I348" s="76"/>
      <c r="J348" s="76"/>
      <c r="K348" s="76"/>
      <c r="L348" s="76"/>
      <c r="M348" s="76"/>
      <c r="N348" s="76"/>
      <c r="O348" s="76"/>
      <c r="P348" s="76"/>
      <c r="Q348" s="76"/>
      <c r="R348" s="76"/>
      <c r="S348" s="76"/>
      <c r="T348" s="76"/>
      <c r="U348" s="76"/>
      <c r="V348" s="76"/>
      <c r="W348" s="76"/>
      <c r="X348" s="76"/>
      <c r="Y348" s="61"/>
      <c r="Z348" s="61"/>
    </row>
    <row r="349" spans="1:53" ht="27" customHeight="1" x14ac:dyDescent="0.25">
      <c r="A349" s="41" t="s">
        <v>493</v>
      </c>
      <c r="B349" s="41" t="s">
        <v>494</v>
      </c>
      <c r="C349" s="42">
        <v>4301031177</v>
      </c>
      <c r="D349" s="74">
        <v>4607091389753</v>
      </c>
      <c r="E349" s="73"/>
      <c r="F349" s="66">
        <v>0.7</v>
      </c>
      <c r="G349" s="43">
        <v>6</v>
      </c>
      <c r="H349" s="66">
        <v>4.2</v>
      </c>
      <c r="I349" s="66">
        <v>4.43</v>
      </c>
      <c r="J349" s="43">
        <v>156</v>
      </c>
      <c r="K349" s="43" t="s">
        <v>63</v>
      </c>
      <c r="L349" s="44" t="s">
        <v>64</v>
      </c>
      <c r="M349" s="43">
        <v>45</v>
      </c>
      <c r="N349" s="7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9" s="72"/>
      <c r="P349" s="72"/>
      <c r="Q349" s="72"/>
      <c r="R349" s="73"/>
      <c r="S349" s="45"/>
      <c r="T349" s="45"/>
      <c r="U349" s="46" t="s">
        <v>65</v>
      </c>
      <c r="V349" s="67">
        <v>0</v>
      </c>
      <c r="W349" s="68">
        <f t="shared" ref="W349:W361" si="15">IFERROR(IF(V349="",0,CEILING((V349/$H349),1)*$H349),"")</f>
        <v>0</v>
      </c>
      <c r="X349" s="47" t="str">
        <f>IFERROR(IF(W349=0,"",ROUNDUP(W349/H349,0)*0.00753),"")</f>
        <v/>
      </c>
      <c r="Y349" s="48"/>
      <c r="Z349" s="49"/>
      <c r="AD349" s="50"/>
      <c r="BA349" s="51" t="s">
        <v>1</v>
      </c>
    </row>
    <row r="350" spans="1:53" ht="27" customHeight="1" x14ac:dyDescent="0.25">
      <c r="A350" s="41" t="s">
        <v>495</v>
      </c>
      <c r="B350" s="41" t="s">
        <v>496</v>
      </c>
      <c r="C350" s="42">
        <v>4301031174</v>
      </c>
      <c r="D350" s="74">
        <v>4607091389760</v>
      </c>
      <c r="E350" s="73"/>
      <c r="F350" s="66">
        <v>0.7</v>
      </c>
      <c r="G350" s="43">
        <v>6</v>
      </c>
      <c r="H350" s="66">
        <v>4.2</v>
      </c>
      <c r="I350" s="66">
        <v>4.43</v>
      </c>
      <c r="J350" s="43">
        <v>156</v>
      </c>
      <c r="K350" s="43" t="s">
        <v>63</v>
      </c>
      <c r="L350" s="44" t="s">
        <v>64</v>
      </c>
      <c r="M350" s="43">
        <v>45</v>
      </c>
      <c r="N350" s="7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0" s="72"/>
      <c r="P350" s="72"/>
      <c r="Q350" s="72"/>
      <c r="R350" s="73"/>
      <c r="S350" s="45"/>
      <c r="T350" s="45"/>
      <c r="U350" s="46" t="s">
        <v>65</v>
      </c>
      <c r="V350" s="67">
        <v>0</v>
      </c>
      <c r="W350" s="68">
        <f t="shared" si="15"/>
        <v>0</v>
      </c>
      <c r="X350" s="47" t="str">
        <f>IFERROR(IF(W350=0,"",ROUNDUP(W350/H350,0)*0.00753),"")</f>
        <v/>
      </c>
      <c r="Y350" s="48"/>
      <c r="Z350" s="49"/>
      <c r="AD350" s="50"/>
      <c r="BA350" s="51" t="s">
        <v>1</v>
      </c>
    </row>
    <row r="351" spans="1:53" ht="27" customHeight="1" x14ac:dyDescent="0.25">
      <c r="A351" s="41" t="s">
        <v>497</v>
      </c>
      <c r="B351" s="41" t="s">
        <v>498</v>
      </c>
      <c r="C351" s="42">
        <v>4301031175</v>
      </c>
      <c r="D351" s="74">
        <v>4607091389746</v>
      </c>
      <c r="E351" s="73"/>
      <c r="F351" s="66">
        <v>0.7</v>
      </c>
      <c r="G351" s="43">
        <v>6</v>
      </c>
      <c r="H351" s="66">
        <v>4.2</v>
      </c>
      <c r="I351" s="66">
        <v>4.43</v>
      </c>
      <c r="J351" s="43">
        <v>156</v>
      </c>
      <c r="K351" s="43" t="s">
        <v>63</v>
      </c>
      <c r="L351" s="44" t="s">
        <v>64</v>
      </c>
      <c r="M351" s="43">
        <v>45</v>
      </c>
      <c r="N351" s="7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1" s="72"/>
      <c r="P351" s="72"/>
      <c r="Q351" s="72"/>
      <c r="R351" s="73"/>
      <c r="S351" s="45"/>
      <c r="T351" s="45"/>
      <c r="U351" s="46" t="s">
        <v>65</v>
      </c>
      <c r="V351" s="67">
        <v>0</v>
      </c>
      <c r="W351" s="68">
        <f t="shared" si="15"/>
        <v>0</v>
      </c>
      <c r="X351" s="47" t="str">
        <f>IFERROR(IF(W351=0,"",ROUNDUP(W351/H351,0)*0.00753),"")</f>
        <v/>
      </c>
      <c r="Y351" s="48"/>
      <c r="Z351" s="49"/>
      <c r="AD351" s="50"/>
      <c r="BA351" s="51" t="s">
        <v>1</v>
      </c>
    </row>
    <row r="352" spans="1:53" ht="37.5" customHeight="1" x14ac:dyDescent="0.25">
      <c r="A352" s="41" t="s">
        <v>499</v>
      </c>
      <c r="B352" s="41" t="s">
        <v>500</v>
      </c>
      <c r="C352" s="42">
        <v>4301031236</v>
      </c>
      <c r="D352" s="74">
        <v>4680115882928</v>
      </c>
      <c r="E352" s="73"/>
      <c r="F352" s="66">
        <v>0.28000000000000003</v>
      </c>
      <c r="G352" s="43">
        <v>6</v>
      </c>
      <c r="H352" s="66">
        <v>1.68</v>
      </c>
      <c r="I352" s="66">
        <v>2.6</v>
      </c>
      <c r="J352" s="43">
        <v>156</v>
      </c>
      <c r="K352" s="43" t="s">
        <v>63</v>
      </c>
      <c r="L352" s="44" t="s">
        <v>64</v>
      </c>
      <c r="M352" s="43">
        <v>35</v>
      </c>
      <c r="N352" s="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2" s="72"/>
      <c r="P352" s="72"/>
      <c r="Q352" s="72"/>
      <c r="R352" s="73"/>
      <c r="S352" s="45"/>
      <c r="T352" s="45"/>
      <c r="U352" s="46" t="s">
        <v>65</v>
      </c>
      <c r="V352" s="67">
        <v>0</v>
      </c>
      <c r="W352" s="68">
        <f t="shared" si="15"/>
        <v>0</v>
      </c>
      <c r="X352" s="47" t="str">
        <f>IFERROR(IF(W352=0,"",ROUNDUP(W352/H352,0)*0.00753),"")</f>
        <v/>
      </c>
      <c r="Y352" s="48"/>
      <c r="Z352" s="49"/>
      <c r="AD352" s="50"/>
      <c r="BA352" s="51" t="s">
        <v>1</v>
      </c>
    </row>
    <row r="353" spans="1:53" ht="27" customHeight="1" x14ac:dyDescent="0.25">
      <c r="A353" s="41" t="s">
        <v>501</v>
      </c>
      <c r="B353" s="41" t="s">
        <v>502</v>
      </c>
      <c r="C353" s="42">
        <v>4301031257</v>
      </c>
      <c r="D353" s="74">
        <v>4680115883147</v>
      </c>
      <c r="E353" s="73"/>
      <c r="F353" s="66">
        <v>0.28000000000000003</v>
      </c>
      <c r="G353" s="43">
        <v>6</v>
      </c>
      <c r="H353" s="66">
        <v>1.68</v>
      </c>
      <c r="I353" s="66">
        <v>1.81</v>
      </c>
      <c r="J353" s="43">
        <v>234</v>
      </c>
      <c r="K353" s="43" t="s">
        <v>166</v>
      </c>
      <c r="L353" s="44" t="s">
        <v>64</v>
      </c>
      <c r="M353" s="43">
        <v>45</v>
      </c>
      <c r="N353" s="7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3" s="72"/>
      <c r="P353" s="72"/>
      <c r="Q353" s="72"/>
      <c r="R353" s="73"/>
      <c r="S353" s="45"/>
      <c r="T353" s="45"/>
      <c r="U353" s="46" t="s">
        <v>65</v>
      </c>
      <c r="V353" s="67">
        <v>0</v>
      </c>
      <c r="W353" s="68">
        <f t="shared" si="15"/>
        <v>0</v>
      </c>
      <c r="X353" s="47" t="str">
        <f t="shared" ref="X353:X361" si="16">IFERROR(IF(W353=0,"",ROUNDUP(W353/H353,0)*0.00502),"")</f>
        <v/>
      </c>
      <c r="Y353" s="48"/>
      <c r="Z353" s="49"/>
      <c r="AD353" s="50"/>
      <c r="BA353" s="51" t="s">
        <v>1</v>
      </c>
    </row>
    <row r="354" spans="1:53" ht="27" customHeight="1" x14ac:dyDescent="0.25">
      <c r="A354" s="41" t="s">
        <v>503</v>
      </c>
      <c r="B354" s="41" t="s">
        <v>504</v>
      </c>
      <c r="C354" s="42">
        <v>4301031178</v>
      </c>
      <c r="D354" s="74">
        <v>4607091384338</v>
      </c>
      <c r="E354" s="73"/>
      <c r="F354" s="66">
        <v>0.35</v>
      </c>
      <c r="G354" s="43">
        <v>6</v>
      </c>
      <c r="H354" s="66">
        <v>2.1</v>
      </c>
      <c r="I354" s="66">
        <v>2.23</v>
      </c>
      <c r="J354" s="43">
        <v>234</v>
      </c>
      <c r="K354" s="43" t="s">
        <v>166</v>
      </c>
      <c r="L354" s="44" t="s">
        <v>64</v>
      </c>
      <c r="M354" s="43">
        <v>45</v>
      </c>
      <c r="N354" s="7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4" s="72"/>
      <c r="P354" s="72"/>
      <c r="Q354" s="72"/>
      <c r="R354" s="73"/>
      <c r="S354" s="45"/>
      <c r="T354" s="45"/>
      <c r="U354" s="46" t="s">
        <v>65</v>
      </c>
      <c r="V354" s="67">
        <v>0</v>
      </c>
      <c r="W354" s="68">
        <f t="shared" si="15"/>
        <v>0</v>
      </c>
      <c r="X354" s="47" t="str">
        <f t="shared" si="16"/>
        <v/>
      </c>
      <c r="Y354" s="48"/>
      <c r="Z354" s="49"/>
      <c r="AD354" s="50"/>
      <c r="BA354" s="51" t="s">
        <v>1</v>
      </c>
    </row>
    <row r="355" spans="1:53" ht="37.5" customHeight="1" x14ac:dyDescent="0.25">
      <c r="A355" s="41" t="s">
        <v>505</v>
      </c>
      <c r="B355" s="41" t="s">
        <v>506</v>
      </c>
      <c r="C355" s="42">
        <v>4301031254</v>
      </c>
      <c r="D355" s="74">
        <v>4680115883154</v>
      </c>
      <c r="E355" s="73"/>
      <c r="F355" s="66">
        <v>0.28000000000000003</v>
      </c>
      <c r="G355" s="43">
        <v>6</v>
      </c>
      <c r="H355" s="66">
        <v>1.68</v>
      </c>
      <c r="I355" s="66">
        <v>1.81</v>
      </c>
      <c r="J355" s="43">
        <v>234</v>
      </c>
      <c r="K355" s="43" t="s">
        <v>166</v>
      </c>
      <c r="L355" s="44" t="s">
        <v>64</v>
      </c>
      <c r="M355" s="43">
        <v>45</v>
      </c>
      <c r="N355" s="7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5" s="72"/>
      <c r="P355" s="72"/>
      <c r="Q355" s="72"/>
      <c r="R355" s="73"/>
      <c r="S355" s="45"/>
      <c r="T355" s="45"/>
      <c r="U355" s="46" t="s">
        <v>65</v>
      </c>
      <c r="V355" s="67">
        <v>0</v>
      </c>
      <c r="W355" s="68">
        <f t="shared" si="15"/>
        <v>0</v>
      </c>
      <c r="X355" s="47" t="str">
        <f t="shared" si="16"/>
        <v/>
      </c>
      <c r="Y355" s="48"/>
      <c r="Z355" s="49"/>
      <c r="AD355" s="50"/>
      <c r="BA355" s="51" t="s">
        <v>1</v>
      </c>
    </row>
    <row r="356" spans="1:53" ht="37.5" customHeight="1" x14ac:dyDescent="0.25">
      <c r="A356" s="41" t="s">
        <v>507</v>
      </c>
      <c r="B356" s="41" t="s">
        <v>508</v>
      </c>
      <c r="C356" s="42">
        <v>4301031171</v>
      </c>
      <c r="D356" s="74">
        <v>4607091389524</v>
      </c>
      <c r="E356" s="73"/>
      <c r="F356" s="66">
        <v>0.35</v>
      </c>
      <c r="G356" s="43">
        <v>6</v>
      </c>
      <c r="H356" s="66">
        <v>2.1</v>
      </c>
      <c r="I356" s="66">
        <v>2.23</v>
      </c>
      <c r="J356" s="43">
        <v>234</v>
      </c>
      <c r="K356" s="43" t="s">
        <v>166</v>
      </c>
      <c r="L356" s="44" t="s">
        <v>64</v>
      </c>
      <c r="M356" s="43">
        <v>45</v>
      </c>
      <c r="N356" s="7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6" s="72"/>
      <c r="P356" s="72"/>
      <c r="Q356" s="72"/>
      <c r="R356" s="73"/>
      <c r="S356" s="45"/>
      <c r="T356" s="45"/>
      <c r="U356" s="46" t="s">
        <v>65</v>
      </c>
      <c r="V356" s="67">
        <v>0</v>
      </c>
      <c r="W356" s="68">
        <f t="shared" si="15"/>
        <v>0</v>
      </c>
      <c r="X356" s="47" t="str">
        <f t="shared" si="16"/>
        <v/>
      </c>
      <c r="Y356" s="48"/>
      <c r="Z356" s="49"/>
      <c r="AD356" s="50"/>
      <c r="BA356" s="51" t="s">
        <v>1</v>
      </c>
    </row>
    <row r="357" spans="1:53" ht="27" customHeight="1" x14ac:dyDescent="0.25">
      <c r="A357" s="41" t="s">
        <v>509</v>
      </c>
      <c r="B357" s="41" t="s">
        <v>510</v>
      </c>
      <c r="C357" s="42">
        <v>4301031258</v>
      </c>
      <c r="D357" s="74">
        <v>4680115883161</v>
      </c>
      <c r="E357" s="73"/>
      <c r="F357" s="66">
        <v>0.28000000000000003</v>
      </c>
      <c r="G357" s="43">
        <v>6</v>
      </c>
      <c r="H357" s="66">
        <v>1.68</v>
      </c>
      <c r="I357" s="66">
        <v>1.81</v>
      </c>
      <c r="J357" s="43">
        <v>234</v>
      </c>
      <c r="K357" s="43" t="s">
        <v>166</v>
      </c>
      <c r="L357" s="44" t="s">
        <v>64</v>
      </c>
      <c r="M357" s="43">
        <v>45</v>
      </c>
      <c r="N357" s="7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7" s="72"/>
      <c r="P357" s="72"/>
      <c r="Q357" s="72"/>
      <c r="R357" s="73"/>
      <c r="S357" s="45"/>
      <c r="T357" s="45"/>
      <c r="U357" s="46" t="s">
        <v>65</v>
      </c>
      <c r="V357" s="67">
        <v>0</v>
      </c>
      <c r="W357" s="68">
        <f t="shared" si="15"/>
        <v>0</v>
      </c>
      <c r="X357" s="47" t="str">
        <f t="shared" si="16"/>
        <v/>
      </c>
      <c r="Y357" s="48"/>
      <c r="Z357" s="49"/>
      <c r="AD357" s="50"/>
      <c r="BA357" s="51" t="s">
        <v>1</v>
      </c>
    </row>
    <row r="358" spans="1:53" ht="27" customHeight="1" x14ac:dyDescent="0.25">
      <c r="A358" s="41" t="s">
        <v>511</v>
      </c>
      <c r="B358" s="41" t="s">
        <v>512</v>
      </c>
      <c r="C358" s="42">
        <v>4301031170</v>
      </c>
      <c r="D358" s="74">
        <v>4607091384345</v>
      </c>
      <c r="E358" s="73"/>
      <c r="F358" s="66">
        <v>0.35</v>
      </c>
      <c r="G358" s="43">
        <v>6</v>
      </c>
      <c r="H358" s="66">
        <v>2.1</v>
      </c>
      <c r="I358" s="66">
        <v>2.23</v>
      </c>
      <c r="J358" s="43">
        <v>234</v>
      </c>
      <c r="K358" s="43" t="s">
        <v>166</v>
      </c>
      <c r="L358" s="44" t="s">
        <v>64</v>
      </c>
      <c r="M358" s="43">
        <v>45</v>
      </c>
      <c r="N358" s="7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8" s="72"/>
      <c r="P358" s="72"/>
      <c r="Q358" s="72"/>
      <c r="R358" s="73"/>
      <c r="S358" s="45"/>
      <c r="T358" s="45"/>
      <c r="U358" s="46" t="s">
        <v>65</v>
      </c>
      <c r="V358" s="67">
        <v>0</v>
      </c>
      <c r="W358" s="68">
        <f t="shared" si="15"/>
        <v>0</v>
      </c>
      <c r="X358" s="47" t="str">
        <f t="shared" si="16"/>
        <v/>
      </c>
      <c r="Y358" s="48"/>
      <c r="Z358" s="49"/>
      <c r="AD358" s="50"/>
      <c r="BA358" s="51" t="s">
        <v>1</v>
      </c>
    </row>
    <row r="359" spans="1:53" ht="27" customHeight="1" x14ac:dyDescent="0.25">
      <c r="A359" s="41" t="s">
        <v>513</v>
      </c>
      <c r="B359" s="41" t="s">
        <v>514</v>
      </c>
      <c r="C359" s="42">
        <v>4301031256</v>
      </c>
      <c r="D359" s="74">
        <v>4680115883178</v>
      </c>
      <c r="E359" s="73"/>
      <c r="F359" s="66">
        <v>0.28000000000000003</v>
      </c>
      <c r="G359" s="43">
        <v>6</v>
      </c>
      <c r="H359" s="66">
        <v>1.68</v>
      </c>
      <c r="I359" s="66">
        <v>1.81</v>
      </c>
      <c r="J359" s="43">
        <v>234</v>
      </c>
      <c r="K359" s="43" t="s">
        <v>166</v>
      </c>
      <c r="L359" s="44" t="s">
        <v>64</v>
      </c>
      <c r="M359" s="43">
        <v>45</v>
      </c>
      <c r="N359" s="7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9" s="72"/>
      <c r="P359" s="72"/>
      <c r="Q359" s="72"/>
      <c r="R359" s="73"/>
      <c r="S359" s="45"/>
      <c r="T359" s="45"/>
      <c r="U359" s="46" t="s">
        <v>65</v>
      </c>
      <c r="V359" s="67">
        <v>0</v>
      </c>
      <c r="W359" s="68">
        <f t="shared" si="15"/>
        <v>0</v>
      </c>
      <c r="X359" s="47" t="str">
        <f t="shared" si="16"/>
        <v/>
      </c>
      <c r="Y359" s="48"/>
      <c r="Z359" s="49"/>
      <c r="AD359" s="50"/>
      <c r="BA359" s="51" t="s">
        <v>1</v>
      </c>
    </row>
    <row r="360" spans="1:53" ht="27" customHeight="1" x14ac:dyDescent="0.25">
      <c r="A360" s="41" t="s">
        <v>515</v>
      </c>
      <c r="B360" s="41" t="s">
        <v>516</v>
      </c>
      <c r="C360" s="42">
        <v>4301031172</v>
      </c>
      <c r="D360" s="74">
        <v>4607091389531</v>
      </c>
      <c r="E360" s="73"/>
      <c r="F360" s="66">
        <v>0.35</v>
      </c>
      <c r="G360" s="43">
        <v>6</v>
      </c>
      <c r="H360" s="66">
        <v>2.1</v>
      </c>
      <c r="I360" s="66">
        <v>2.23</v>
      </c>
      <c r="J360" s="43">
        <v>234</v>
      </c>
      <c r="K360" s="43" t="s">
        <v>166</v>
      </c>
      <c r="L360" s="44" t="s">
        <v>64</v>
      </c>
      <c r="M360" s="43">
        <v>45</v>
      </c>
      <c r="N360" s="7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0" s="72"/>
      <c r="P360" s="72"/>
      <c r="Q360" s="72"/>
      <c r="R360" s="73"/>
      <c r="S360" s="45"/>
      <c r="T360" s="45"/>
      <c r="U360" s="46" t="s">
        <v>65</v>
      </c>
      <c r="V360" s="67">
        <v>0</v>
      </c>
      <c r="W360" s="68">
        <f t="shared" si="15"/>
        <v>0</v>
      </c>
      <c r="X360" s="47" t="str">
        <f t="shared" si="16"/>
        <v/>
      </c>
      <c r="Y360" s="48"/>
      <c r="Z360" s="49"/>
      <c r="AD360" s="50"/>
      <c r="BA360" s="51" t="s">
        <v>1</v>
      </c>
    </row>
    <row r="361" spans="1:53" ht="27" customHeight="1" x14ac:dyDescent="0.25">
      <c r="A361" s="41" t="s">
        <v>517</v>
      </c>
      <c r="B361" s="41" t="s">
        <v>518</v>
      </c>
      <c r="C361" s="42">
        <v>4301031255</v>
      </c>
      <c r="D361" s="74">
        <v>4680115883185</v>
      </c>
      <c r="E361" s="73"/>
      <c r="F361" s="66">
        <v>0.28000000000000003</v>
      </c>
      <c r="G361" s="43">
        <v>6</v>
      </c>
      <c r="H361" s="66">
        <v>1.68</v>
      </c>
      <c r="I361" s="66">
        <v>1.81</v>
      </c>
      <c r="J361" s="43">
        <v>234</v>
      </c>
      <c r="K361" s="43" t="s">
        <v>166</v>
      </c>
      <c r="L361" s="44" t="s">
        <v>64</v>
      </c>
      <c r="M361" s="43">
        <v>45</v>
      </c>
      <c r="N361" s="92" t="s">
        <v>519</v>
      </c>
      <c r="O361" s="72"/>
      <c r="P361" s="72"/>
      <c r="Q361" s="72"/>
      <c r="R361" s="73"/>
      <c r="S361" s="45"/>
      <c r="T361" s="45"/>
      <c r="U361" s="46" t="s">
        <v>65</v>
      </c>
      <c r="V361" s="67">
        <v>0</v>
      </c>
      <c r="W361" s="68">
        <f t="shared" si="15"/>
        <v>0</v>
      </c>
      <c r="X361" s="47" t="str">
        <f t="shared" si="16"/>
        <v/>
      </c>
      <c r="Y361" s="48"/>
      <c r="Z361" s="49"/>
      <c r="AD361" s="50"/>
      <c r="BA361" s="51" t="s">
        <v>1</v>
      </c>
    </row>
    <row r="362" spans="1:53" x14ac:dyDescent="0.2">
      <c r="A362" s="81"/>
      <c r="B362" s="76"/>
      <c r="C362" s="76"/>
      <c r="D362" s="76"/>
      <c r="E362" s="76"/>
      <c r="F362" s="76"/>
      <c r="G362" s="76"/>
      <c r="H362" s="76"/>
      <c r="I362" s="76"/>
      <c r="J362" s="76"/>
      <c r="K362" s="76"/>
      <c r="L362" s="76"/>
      <c r="M362" s="82"/>
      <c r="N362" s="78" t="s">
        <v>66</v>
      </c>
      <c r="O362" s="79"/>
      <c r="P362" s="79"/>
      <c r="Q362" s="79"/>
      <c r="R362" s="79"/>
      <c r="S362" s="79"/>
      <c r="T362" s="80"/>
      <c r="U362" s="52" t="s">
        <v>67</v>
      </c>
      <c r="V362" s="69">
        <f>IFERROR(V349/H349,"0")+IFERROR(V350/H350,"0")+IFERROR(V351/H351,"0")+IFERROR(V352/H352,"0")+IFERROR(V353/H353,"0")+IFERROR(V354/H354,"0")+IFERROR(V355/H355,"0")+IFERROR(V356/H356,"0")+IFERROR(V357/H357,"0")+IFERROR(V358/H358,"0")+IFERROR(V359/H359,"0")+IFERROR(V360/H360,"0")+IFERROR(V361/H361,"0")</f>
        <v>0</v>
      </c>
      <c r="W362" s="69">
        <f>IFERROR(W349/H349,"0")+IFERROR(W350/H350,"0")+IFERROR(W351/H351,"0")+IFERROR(W352/H352,"0")+IFERROR(W353/H353,"0")+IFERROR(W354/H354,"0")+IFERROR(W355/H355,"0")+IFERROR(W356/H356,"0")+IFERROR(W357/H357,"0")+IFERROR(W358/H358,"0")+IFERROR(W359/H359,"0")+IFERROR(W360/H360,"0")+IFERROR(W361/H361,"0")</f>
        <v>0</v>
      </c>
      <c r="X362" s="69">
        <f>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</f>
        <v>0</v>
      </c>
      <c r="Y362" s="70"/>
      <c r="Z362" s="70"/>
    </row>
    <row r="363" spans="1:53" x14ac:dyDescent="0.2">
      <c r="A363" s="76"/>
      <c r="B363" s="76"/>
      <c r="C363" s="76"/>
      <c r="D363" s="76"/>
      <c r="E363" s="76"/>
      <c r="F363" s="76"/>
      <c r="G363" s="76"/>
      <c r="H363" s="76"/>
      <c r="I363" s="76"/>
      <c r="J363" s="76"/>
      <c r="K363" s="76"/>
      <c r="L363" s="76"/>
      <c r="M363" s="82"/>
      <c r="N363" s="78" t="s">
        <v>66</v>
      </c>
      <c r="O363" s="79"/>
      <c r="P363" s="79"/>
      <c r="Q363" s="79"/>
      <c r="R363" s="79"/>
      <c r="S363" s="79"/>
      <c r="T363" s="80"/>
      <c r="U363" s="52" t="s">
        <v>65</v>
      </c>
      <c r="V363" s="69">
        <f>IFERROR(SUM(V349:V361),"0")</f>
        <v>0</v>
      </c>
      <c r="W363" s="69">
        <f>IFERROR(SUM(W349:W361),"0")</f>
        <v>0</v>
      </c>
      <c r="X363" s="52"/>
      <c r="Y363" s="70"/>
      <c r="Z363" s="70"/>
    </row>
    <row r="364" spans="1:53" ht="14.25" customHeight="1" x14ac:dyDescent="0.25">
      <c r="A364" s="77" t="s">
        <v>68</v>
      </c>
      <c r="B364" s="76"/>
      <c r="C364" s="76"/>
      <c r="D364" s="76"/>
      <c r="E364" s="76"/>
      <c r="F364" s="76"/>
      <c r="G364" s="76"/>
      <c r="H364" s="76"/>
      <c r="I364" s="76"/>
      <c r="J364" s="76"/>
      <c r="K364" s="76"/>
      <c r="L364" s="76"/>
      <c r="M364" s="76"/>
      <c r="N364" s="76"/>
      <c r="O364" s="76"/>
      <c r="P364" s="76"/>
      <c r="Q364" s="76"/>
      <c r="R364" s="76"/>
      <c r="S364" s="76"/>
      <c r="T364" s="76"/>
      <c r="U364" s="76"/>
      <c r="V364" s="76"/>
      <c r="W364" s="76"/>
      <c r="X364" s="76"/>
      <c r="Y364" s="61"/>
      <c r="Z364" s="61"/>
    </row>
    <row r="365" spans="1:53" ht="27" customHeight="1" x14ac:dyDescent="0.25">
      <c r="A365" s="41" t="s">
        <v>520</v>
      </c>
      <c r="B365" s="41" t="s">
        <v>521</v>
      </c>
      <c r="C365" s="42">
        <v>4301051258</v>
      </c>
      <c r="D365" s="74">
        <v>4607091389685</v>
      </c>
      <c r="E365" s="73"/>
      <c r="F365" s="66">
        <v>1.3</v>
      </c>
      <c r="G365" s="43">
        <v>6</v>
      </c>
      <c r="H365" s="66">
        <v>7.8</v>
      </c>
      <c r="I365" s="66">
        <v>8.3460000000000001</v>
      </c>
      <c r="J365" s="43">
        <v>56</v>
      </c>
      <c r="K365" s="43" t="s">
        <v>98</v>
      </c>
      <c r="L365" s="44" t="s">
        <v>128</v>
      </c>
      <c r="M365" s="43">
        <v>45</v>
      </c>
      <c r="N365" s="7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5" s="72"/>
      <c r="P365" s="72"/>
      <c r="Q365" s="72"/>
      <c r="R365" s="73"/>
      <c r="S365" s="45"/>
      <c r="T365" s="45"/>
      <c r="U365" s="46" t="s">
        <v>65</v>
      </c>
      <c r="V365" s="67">
        <v>0</v>
      </c>
      <c r="W365" s="68">
        <f>IFERROR(IF(V365="",0,CEILING((V365/$H365),1)*$H365),"")</f>
        <v>0</v>
      </c>
      <c r="X365" s="47" t="str">
        <f>IFERROR(IF(W365=0,"",ROUNDUP(W365/H365,0)*0.02175),"")</f>
        <v/>
      </c>
      <c r="Y365" s="48"/>
      <c r="Z365" s="49"/>
      <c r="AD365" s="50"/>
      <c r="BA365" s="51" t="s">
        <v>1</v>
      </c>
    </row>
    <row r="366" spans="1:53" ht="27" customHeight="1" x14ac:dyDescent="0.25">
      <c r="A366" s="41" t="s">
        <v>522</v>
      </c>
      <c r="B366" s="41" t="s">
        <v>523</v>
      </c>
      <c r="C366" s="42">
        <v>4301051431</v>
      </c>
      <c r="D366" s="74">
        <v>4607091389654</v>
      </c>
      <c r="E366" s="73"/>
      <c r="F366" s="66">
        <v>0.33</v>
      </c>
      <c r="G366" s="43">
        <v>6</v>
      </c>
      <c r="H366" s="66">
        <v>1.98</v>
      </c>
      <c r="I366" s="66">
        <v>2.258</v>
      </c>
      <c r="J366" s="43">
        <v>156</v>
      </c>
      <c r="K366" s="43" t="s">
        <v>63</v>
      </c>
      <c r="L366" s="44" t="s">
        <v>128</v>
      </c>
      <c r="M366" s="43">
        <v>45</v>
      </c>
      <c r="N366" s="7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6" s="72"/>
      <c r="P366" s="72"/>
      <c r="Q366" s="72"/>
      <c r="R366" s="73"/>
      <c r="S366" s="45"/>
      <c r="T366" s="45"/>
      <c r="U366" s="46" t="s">
        <v>65</v>
      </c>
      <c r="V366" s="67">
        <v>0</v>
      </c>
      <c r="W366" s="68">
        <f>IFERROR(IF(V366="",0,CEILING((V366/$H366),1)*$H366),"")</f>
        <v>0</v>
      </c>
      <c r="X366" s="47" t="str">
        <f>IFERROR(IF(W366=0,"",ROUNDUP(W366/H366,0)*0.00753),"")</f>
        <v/>
      </c>
      <c r="Y366" s="48"/>
      <c r="Z366" s="49"/>
      <c r="AD366" s="50"/>
      <c r="BA366" s="51" t="s">
        <v>1</v>
      </c>
    </row>
    <row r="367" spans="1:53" ht="27" customHeight="1" x14ac:dyDescent="0.25">
      <c r="A367" s="41" t="s">
        <v>524</v>
      </c>
      <c r="B367" s="41" t="s">
        <v>525</v>
      </c>
      <c r="C367" s="42">
        <v>4301051284</v>
      </c>
      <c r="D367" s="74">
        <v>4607091384352</v>
      </c>
      <c r="E367" s="73"/>
      <c r="F367" s="66">
        <v>0.6</v>
      </c>
      <c r="G367" s="43">
        <v>4</v>
      </c>
      <c r="H367" s="66">
        <v>2.4</v>
      </c>
      <c r="I367" s="66">
        <v>2.6459999999999999</v>
      </c>
      <c r="J367" s="43">
        <v>120</v>
      </c>
      <c r="K367" s="43" t="s">
        <v>63</v>
      </c>
      <c r="L367" s="44" t="s">
        <v>128</v>
      </c>
      <c r="M367" s="43">
        <v>45</v>
      </c>
      <c r="N367" s="7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7" s="72"/>
      <c r="P367" s="72"/>
      <c r="Q367" s="72"/>
      <c r="R367" s="73"/>
      <c r="S367" s="45"/>
      <c r="T367" s="45"/>
      <c r="U367" s="46" t="s">
        <v>65</v>
      </c>
      <c r="V367" s="67">
        <v>0</v>
      </c>
      <c r="W367" s="68">
        <f>IFERROR(IF(V367="",0,CEILING((V367/$H367),1)*$H367),"")</f>
        <v>0</v>
      </c>
      <c r="X367" s="47" t="str">
        <f>IFERROR(IF(W367=0,"",ROUNDUP(W367/H367,0)*0.00937),"")</f>
        <v/>
      </c>
      <c r="Y367" s="48"/>
      <c r="Z367" s="49"/>
      <c r="AD367" s="50"/>
      <c r="BA367" s="51" t="s">
        <v>1</v>
      </c>
    </row>
    <row r="368" spans="1:53" ht="27" customHeight="1" x14ac:dyDescent="0.25">
      <c r="A368" s="41" t="s">
        <v>526</v>
      </c>
      <c r="B368" s="41" t="s">
        <v>527</v>
      </c>
      <c r="C368" s="42">
        <v>4301051257</v>
      </c>
      <c r="D368" s="74">
        <v>4607091389661</v>
      </c>
      <c r="E368" s="73"/>
      <c r="F368" s="66">
        <v>0.55000000000000004</v>
      </c>
      <c r="G368" s="43">
        <v>4</v>
      </c>
      <c r="H368" s="66">
        <v>2.2000000000000002</v>
      </c>
      <c r="I368" s="66">
        <v>2.492</v>
      </c>
      <c r="J368" s="43">
        <v>120</v>
      </c>
      <c r="K368" s="43" t="s">
        <v>63</v>
      </c>
      <c r="L368" s="44" t="s">
        <v>128</v>
      </c>
      <c r="M368" s="43">
        <v>45</v>
      </c>
      <c r="N368" s="7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8" s="72"/>
      <c r="P368" s="72"/>
      <c r="Q368" s="72"/>
      <c r="R368" s="73"/>
      <c r="S368" s="45"/>
      <c r="T368" s="45"/>
      <c r="U368" s="46" t="s">
        <v>65</v>
      </c>
      <c r="V368" s="67">
        <v>0</v>
      </c>
      <c r="W368" s="68">
        <f>IFERROR(IF(V368="",0,CEILING((V368/$H368),1)*$H368),"")</f>
        <v>0</v>
      </c>
      <c r="X368" s="47" t="str">
        <f>IFERROR(IF(W368=0,"",ROUNDUP(W368/H368,0)*0.00937),"")</f>
        <v/>
      </c>
      <c r="Y368" s="48"/>
      <c r="Z368" s="49"/>
      <c r="AD368" s="50"/>
      <c r="BA368" s="51" t="s">
        <v>1</v>
      </c>
    </row>
    <row r="369" spans="1:53" x14ac:dyDescent="0.2">
      <c r="A369" s="81"/>
      <c r="B369" s="76"/>
      <c r="C369" s="76"/>
      <c r="D369" s="76"/>
      <c r="E369" s="76"/>
      <c r="F369" s="76"/>
      <c r="G369" s="76"/>
      <c r="H369" s="76"/>
      <c r="I369" s="76"/>
      <c r="J369" s="76"/>
      <c r="K369" s="76"/>
      <c r="L369" s="76"/>
      <c r="M369" s="82"/>
      <c r="N369" s="78" t="s">
        <v>66</v>
      </c>
      <c r="O369" s="79"/>
      <c r="P369" s="79"/>
      <c r="Q369" s="79"/>
      <c r="R369" s="79"/>
      <c r="S369" s="79"/>
      <c r="T369" s="80"/>
      <c r="U369" s="52" t="s">
        <v>67</v>
      </c>
      <c r="V369" s="69">
        <f>IFERROR(V365/H365,"0")+IFERROR(V366/H366,"0")+IFERROR(V367/H367,"0")+IFERROR(V368/H368,"0")</f>
        <v>0</v>
      </c>
      <c r="W369" s="69">
        <f>IFERROR(W365/H365,"0")+IFERROR(W366/H366,"0")+IFERROR(W367/H367,"0")+IFERROR(W368/H368,"0")</f>
        <v>0</v>
      </c>
      <c r="X369" s="69">
        <f>IFERROR(IF(X365="",0,X365),"0")+IFERROR(IF(X366="",0,X366),"0")+IFERROR(IF(X367="",0,X367),"0")+IFERROR(IF(X368="",0,X368),"0")</f>
        <v>0</v>
      </c>
      <c r="Y369" s="70"/>
      <c r="Z369" s="70"/>
    </row>
    <row r="370" spans="1:53" x14ac:dyDescent="0.2">
      <c r="A370" s="76"/>
      <c r="B370" s="76"/>
      <c r="C370" s="76"/>
      <c r="D370" s="76"/>
      <c r="E370" s="76"/>
      <c r="F370" s="76"/>
      <c r="G370" s="76"/>
      <c r="H370" s="76"/>
      <c r="I370" s="76"/>
      <c r="J370" s="76"/>
      <c r="K370" s="76"/>
      <c r="L370" s="76"/>
      <c r="M370" s="82"/>
      <c r="N370" s="78" t="s">
        <v>66</v>
      </c>
      <c r="O370" s="79"/>
      <c r="P370" s="79"/>
      <c r="Q370" s="79"/>
      <c r="R370" s="79"/>
      <c r="S370" s="79"/>
      <c r="T370" s="80"/>
      <c r="U370" s="52" t="s">
        <v>65</v>
      </c>
      <c r="V370" s="69">
        <f>IFERROR(SUM(V365:V368),"0")</f>
        <v>0</v>
      </c>
      <c r="W370" s="69">
        <f>IFERROR(SUM(W365:W368),"0")</f>
        <v>0</v>
      </c>
      <c r="X370" s="52"/>
      <c r="Y370" s="70"/>
      <c r="Z370" s="70"/>
    </row>
    <row r="371" spans="1:53" ht="14.25" customHeight="1" x14ac:dyDescent="0.25">
      <c r="A371" s="77" t="s">
        <v>218</v>
      </c>
      <c r="B371" s="76"/>
      <c r="C371" s="76"/>
      <c r="D371" s="76"/>
      <c r="E371" s="76"/>
      <c r="F371" s="76"/>
      <c r="G371" s="76"/>
      <c r="H371" s="76"/>
      <c r="I371" s="76"/>
      <c r="J371" s="76"/>
      <c r="K371" s="76"/>
      <c r="L371" s="76"/>
      <c r="M371" s="76"/>
      <c r="N371" s="76"/>
      <c r="O371" s="76"/>
      <c r="P371" s="76"/>
      <c r="Q371" s="76"/>
      <c r="R371" s="76"/>
      <c r="S371" s="76"/>
      <c r="T371" s="76"/>
      <c r="U371" s="76"/>
      <c r="V371" s="76"/>
      <c r="W371" s="76"/>
      <c r="X371" s="76"/>
      <c r="Y371" s="61"/>
      <c r="Z371" s="61"/>
    </row>
    <row r="372" spans="1:53" ht="27" customHeight="1" x14ac:dyDescent="0.25">
      <c r="A372" s="41" t="s">
        <v>528</v>
      </c>
      <c r="B372" s="41" t="s">
        <v>529</v>
      </c>
      <c r="C372" s="42">
        <v>4301060352</v>
      </c>
      <c r="D372" s="74">
        <v>4680115881648</v>
      </c>
      <c r="E372" s="73"/>
      <c r="F372" s="66">
        <v>1</v>
      </c>
      <c r="G372" s="43">
        <v>4</v>
      </c>
      <c r="H372" s="66">
        <v>4</v>
      </c>
      <c r="I372" s="66">
        <v>4.4039999999999999</v>
      </c>
      <c r="J372" s="43">
        <v>104</v>
      </c>
      <c r="K372" s="43" t="s">
        <v>98</v>
      </c>
      <c r="L372" s="44" t="s">
        <v>64</v>
      </c>
      <c r="M372" s="43">
        <v>35</v>
      </c>
      <c r="N372" s="7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2" s="72"/>
      <c r="P372" s="72"/>
      <c r="Q372" s="72"/>
      <c r="R372" s="73"/>
      <c r="S372" s="45"/>
      <c r="T372" s="45"/>
      <c r="U372" s="46" t="s">
        <v>65</v>
      </c>
      <c r="V372" s="67">
        <v>0</v>
      </c>
      <c r="W372" s="68">
        <f>IFERROR(IF(V372="",0,CEILING((V372/$H372),1)*$H372),"")</f>
        <v>0</v>
      </c>
      <c r="X372" s="47" t="str">
        <f>IFERROR(IF(W372=0,"",ROUNDUP(W372/H372,0)*0.01196),"")</f>
        <v/>
      </c>
      <c r="Y372" s="48"/>
      <c r="Z372" s="49"/>
      <c r="AD372" s="50"/>
      <c r="BA372" s="51" t="s">
        <v>1</v>
      </c>
    </row>
    <row r="373" spans="1:53" x14ac:dyDescent="0.2">
      <c r="A373" s="81"/>
      <c r="B373" s="76"/>
      <c r="C373" s="76"/>
      <c r="D373" s="76"/>
      <c r="E373" s="76"/>
      <c r="F373" s="76"/>
      <c r="G373" s="76"/>
      <c r="H373" s="76"/>
      <c r="I373" s="76"/>
      <c r="J373" s="76"/>
      <c r="K373" s="76"/>
      <c r="L373" s="76"/>
      <c r="M373" s="82"/>
      <c r="N373" s="78" t="s">
        <v>66</v>
      </c>
      <c r="O373" s="79"/>
      <c r="P373" s="79"/>
      <c r="Q373" s="79"/>
      <c r="R373" s="79"/>
      <c r="S373" s="79"/>
      <c r="T373" s="80"/>
      <c r="U373" s="52" t="s">
        <v>67</v>
      </c>
      <c r="V373" s="69">
        <f>IFERROR(V372/H372,"0")</f>
        <v>0</v>
      </c>
      <c r="W373" s="69">
        <f>IFERROR(W372/H372,"0")</f>
        <v>0</v>
      </c>
      <c r="X373" s="69">
        <f>IFERROR(IF(X372="",0,X372),"0")</f>
        <v>0</v>
      </c>
      <c r="Y373" s="70"/>
      <c r="Z373" s="70"/>
    </row>
    <row r="374" spans="1:53" x14ac:dyDescent="0.2">
      <c r="A374" s="76"/>
      <c r="B374" s="76"/>
      <c r="C374" s="76"/>
      <c r="D374" s="76"/>
      <c r="E374" s="76"/>
      <c r="F374" s="76"/>
      <c r="G374" s="76"/>
      <c r="H374" s="76"/>
      <c r="I374" s="76"/>
      <c r="J374" s="76"/>
      <c r="K374" s="76"/>
      <c r="L374" s="76"/>
      <c r="M374" s="82"/>
      <c r="N374" s="78" t="s">
        <v>66</v>
      </c>
      <c r="O374" s="79"/>
      <c r="P374" s="79"/>
      <c r="Q374" s="79"/>
      <c r="R374" s="79"/>
      <c r="S374" s="79"/>
      <c r="T374" s="80"/>
      <c r="U374" s="52" t="s">
        <v>65</v>
      </c>
      <c r="V374" s="69">
        <f>IFERROR(SUM(V372:V372),"0")</f>
        <v>0</v>
      </c>
      <c r="W374" s="69">
        <f>IFERROR(SUM(W372:W372),"0")</f>
        <v>0</v>
      </c>
      <c r="X374" s="52"/>
      <c r="Y374" s="70"/>
      <c r="Z374" s="70"/>
    </row>
    <row r="375" spans="1:53" ht="14.25" customHeight="1" x14ac:dyDescent="0.25">
      <c r="A375" s="77" t="s">
        <v>90</v>
      </c>
      <c r="B375" s="76"/>
      <c r="C375" s="76"/>
      <c r="D375" s="76"/>
      <c r="E375" s="76"/>
      <c r="F375" s="76"/>
      <c r="G375" s="76"/>
      <c r="H375" s="76"/>
      <c r="I375" s="76"/>
      <c r="J375" s="76"/>
      <c r="K375" s="76"/>
      <c r="L375" s="76"/>
      <c r="M375" s="76"/>
      <c r="N375" s="76"/>
      <c r="O375" s="76"/>
      <c r="P375" s="76"/>
      <c r="Q375" s="76"/>
      <c r="R375" s="76"/>
      <c r="S375" s="76"/>
      <c r="T375" s="76"/>
      <c r="U375" s="76"/>
      <c r="V375" s="76"/>
      <c r="W375" s="76"/>
      <c r="X375" s="76"/>
      <c r="Y375" s="61"/>
      <c r="Z375" s="61"/>
    </row>
    <row r="376" spans="1:53" ht="27" customHeight="1" x14ac:dyDescent="0.25">
      <c r="A376" s="41" t="s">
        <v>530</v>
      </c>
      <c r="B376" s="41" t="s">
        <v>531</v>
      </c>
      <c r="C376" s="42">
        <v>4301170009</v>
      </c>
      <c r="D376" s="74">
        <v>4680115882997</v>
      </c>
      <c r="E376" s="73"/>
      <c r="F376" s="66">
        <v>0.13</v>
      </c>
      <c r="G376" s="43">
        <v>10</v>
      </c>
      <c r="H376" s="66">
        <v>1.3</v>
      </c>
      <c r="I376" s="66">
        <v>1.46</v>
      </c>
      <c r="J376" s="43">
        <v>200</v>
      </c>
      <c r="K376" s="43" t="s">
        <v>532</v>
      </c>
      <c r="L376" s="44" t="s">
        <v>533</v>
      </c>
      <c r="M376" s="43">
        <v>150</v>
      </c>
      <c r="N376" s="92" t="s">
        <v>534</v>
      </c>
      <c r="O376" s="72"/>
      <c r="P376" s="72"/>
      <c r="Q376" s="72"/>
      <c r="R376" s="73"/>
      <c r="S376" s="45"/>
      <c r="T376" s="45"/>
      <c r="U376" s="46" t="s">
        <v>65</v>
      </c>
      <c r="V376" s="67">
        <v>0</v>
      </c>
      <c r="W376" s="68">
        <f>IFERROR(IF(V376="",0,CEILING((V376/$H376),1)*$H376),"")</f>
        <v>0</v>
      </c>
      <c r="X376" s="47" t="str">
        <f>IFERROR(IF(W376=0,"",ROUNDUP(W376/H376,0)*0.00673),"")</f>
        <v/>
      </c>
      <c r="Y376" s="48"/>
      <c r="Z376" s="49"/>
      <c r="AD376" s="50"/>
      <c r="BA376" s="51" t="s">
        <v>1</v>
      </c>
    </row>
    <row r="377" spans="1:53" x14ac:dyDescent="0.2">
      <c r="A377" s="81"/>
      <c r="B377" s="76"/>
      <c r="C377" s="76"/>
      <c r="D377" s="76"/>
      <c r="E377" s="76"/>
      <c r="F377" s="76"/>
      <c r="G377" s="76"/>
      <c r="H377" s="76"/>
      <c r="I377" s="76"/>
      <c r="J377" s="76"/>
      <c r="K377" s="76"/>
      <c r="L377" s="76"/>
      <c r="M377" s="82"/>
      <c r="N377" s="78" t="s">
        <v>66</v>
      </c>
      <c r="O377" s="79"/>
      <c r="P377" s="79"/>
      <c r="Q377" s="79"/>
      <c r="R377" s="79"/>
      <c r="S377" s="79"/>
      <c r="T377" s="80"/>
      <c r="U377" s="52" t="s">
        <v>67</v>
      </c>
      <c r="V377" s="69">
        <f>IFERROR(V376/H376,"0")</f>
        <v>0</v>
      </c>
      <c r="W377" s="69">
        <f>IFERROR(W376/H376,"0")</f>
        <v>0</v>
      </c>
      <c r="X377" s="69">
        <f>IFERROR(IF(X376="",0,X376),"0")</f>
        <v>0</v>
      </c>
      <c r="Y377" s="70"/>
      <c r="Z377" s="70"/>
    </row>
    <row r="378" spans="1:53" x14ac:dyDescent="0.2">
      <c r="A378" s="76"/>
      <c r="B378" s="76"/>
      <c r="C378" s="76"/>
      <c r="D378" s="76"/>
      <c r="E378" s="76"/>
      <c r="F378" s="76"/>
      <c r="G378" s="76"/>
      <c r="H378" s="76"/>
      <c r="I378" s="76"/>
      <c r="J378" s="76"/>
      <c r="K378" s="76"/>
      <c r="L378" s="76"/>
      <c r="M378" s="82"/>
      <c r="N378" s="78" t="s">
        <v>66</v>
      </c>
      <c r="O378" s="79"/>
      <c r="P378" s="79"/>
      <c r="Q378" s="79"/>
      <c r="R378" s="79"/>
      <c r="S378" s="79"/>
      <c r="T378" s="80"/>
      <c r="U378" s="52" t="s">
        <v>65</v>
      </c>
      <c r="V378" s="69">
        <f>IFERROR(SUM(V376:V376),"0")</f>
        <v>0</v>
      </c>
      <c r="W378" s="69">
        <f>IFERROR(SUM(W376:W376),"0")</f>
        <v>0</v>
      </c>
      <c r="X378" s="52"/>
      <c r="Y378" s="70"/>
      <c r="Z378" s="70"/>
    </row>
    <row r="379" spans="1:53" ht="16.5" customHeight="1" x14ac:dyDescent="0.25">
      <c r="A379" s="75" t="s">
        <v>535</v>
      </c>
      <c r="B379" s="76"/>
      <c r="C379" s="76"/>
      <c r="D379" s="76"/>
      <c r="E379" s="76"/>
      <c r="F379" s="76"/>
      <c r="G379" s="76"/>
      <c r="H379" s="76"/>
      <c r="I379" s="76"/>
      <c r="J379" s="76"/>
      <c r="K379" s="76"/>
      <c r="L379" s="76"/>
      <c r="M379" s="76"/>
      <c r="N379" s="76"/>
      <c r="O379" s="76"/>
      <c r="P379" s="76"/>
      <c r="Q379" s="76"/>
      <c r="R379" s="76"/>
      <c r="S379" s="76"/>
      <c r="T379" s="76"/>
      <c r="U379" s="76"/>
      <c r="V379" s="76"/>
      <c r="W379" s="76"/>
      <c r="X379" s="76"/>
      <c r="Y379" s="60"/>
      <c r="Z379" s="60"/>
    </row>
    <row r="380" spans="1:53" ht="14.25" customHeight="1" x14ac:dyDescent="0.25">
      <c r="A380" s="77" t="s">
        <v>95</v>
      </c>
      <c r="B380" s="76"/>
      <c r="C380" s="76"/>
      <c r="D380" s="76"/>
      <c r="E380" s="76"/>
      <c r="F380" s="76"/>
      <c r="G380" s="76"/>
      <c r="H380" s="76"/>
      <c r="I380" s="76"/>
      <c r="J380" s="76"/>
      <c r="K380" s="76"/>
      <c r="L380" s="76"/>
      <c r="M380" s="76"/>
      <c r="N380" s="76"/>
      <c r="O380" s="76"/>
      <c r="P380" s="76"/>
      <c r="Q380" s="76"/>
      <c r="R380" s="76"/>
      <c r="S380" s="76"/>
      <c r="T380" s="76"/>
      <c r="U380" s="76"/>
      <c r="V380" s="76"/>
      <c r="W380" s="76"/>
      <c r="X380" s="76"/>
      <c r="Y380" s="61"/>
      <c r="Z380" s="61"/>
    </row>
    <row r="381" spans="1:53" ht="27" customHeight="1" x14ac:dyDescent="0.25">
      <c r="A381" s="41" t="s">
        <v>536</v>
      </c>
      <c r="B381" s="41" t="s">
        <v>537</v>
      </c>
      <c r="C381" s="42">
        <v>4301020196</v>
      </c>
      <c r="D381" s="74">
        <v>4607091389388</v>
      </c>
      <c r="E381" s="73"/>
      <c r="F381" s="66">
        <v>1.3</v>
      </c>
      <c r="G381" s="43">
        <v>4</v>
      </c>
      <c r="H381" s="66">
        <v>5.2</v>
      </c>
      <c r="I381" s="66">
        <v>5.6079999999999997</v>
      </c>
      <c r="J381" s="43">
        <v>104</v>
      </c>
      <c r="K381" s="43" t="s">
        <v>98</v>
      </c>
      <c r="L381" s="44" t="s">
        <v>128</v>
      </c>
      <c r="M381" s="43">
        <v>35</v>
      </c>
      <c r="N381" s="7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1" s="72"/>
      <c r="P381" s="72"/>
      <c r="Q381" s="72"/>
      <c r="R381" s="73"/>
      <c r="S381" s="45"/>
      <c r="T381" s="45"/>
      <c r="U381" s="46" t="s">
        <v>65</v>
      </c>
      <c r="V381" s="67">
        <v>0</v>
      </c>
      <c r="W381" s="68">
        <f>IFERROR(IF(V381="",0,CEILING((V381/$H381),1)*$H381),"")</f>
        <v>0</v>
      </c>
      <c r="X381" s="47" t="str">
        <f>IFERROR(IF(W381=0,"",ROUNDUP(W381/H381,0)*0.01196),"")</f>
        <v/>
      </c>
      <c r="Y381" s="48"/>
      <c r="Z381" s="49"/>
      <c r="AD381" s="50"/>
      <c r="BA381" s="51" t="s">
        <v>1</v>
      </c>
    </row>
    <row r="382" spans="1:53" ht="27" customHeight="1" x14ac:dyDescent="0.25">
      <c r="A382" s="41" t="s">
        <v>538</v>
      </c>
      <c r="B382" s="41" t="s">
        <v>539</v>
      </c>
      <c r="C382" s="42">
        <v>4301020185</v>
      </c>
      <c r="D382" s="74">
        <v>4607091389364</v>
      </c>
      <c r="E382" s="73"/>
      <c r="F382" s="66">
        <v>0.42</v>
      </c>
      <c r="G382" s="43">
        <v>6</v>
      </c>
      <c r="H382" s="66">
        <v>2.52</v>
      </c>
      <c r="I382" s="66">
        <v>2.75</v>
      </c>
      <c r="J382" s="43">
        <v>156</v>
      </c>
      <c r="K382" s="43" t="s">
        <v>63</v>
      </c>
      <c r="L382" s="44" t="s">
        <v>128</v>
      </c>
      <c r="M382" s="43">
        <v>35</v>
      </c>
      <c r="N382" s="7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2" s="72"/>
      <c r="P382" s="72"/>
      <c r="Q382" s="72"/>
      <c r="R382" s="73"/>
      <c r="S382" s="45"/>
      <c r="T382" s="45"/>
      <c r="U382" s="46" t="s">
        <v>65</v>
      </c>
      <c r="V382" s="67">
        <v>0</v>
      </c>
      <c r="W382" s="68">
        <f>IFERROR(IF(V382="",0,CEILING((V382/$H382),1)*$H382),"")</f>
        <v>0</v>
      </c>
      <c r="X382" s="47" t="str">
        <f>IFERROR(IF(W382=0,"",ROUNDUP(W382/H382,0)*0.00753),"")</f>
        <v/>
      </c>
      <c r="Y382" s="48"/>
      <c r="Z382" s="49"/>
      <c r="AD382" s="50"/>
      <c r="BA382" s="51" t="s">
        <v>1</v>
      </c>
    </row>
    <row r="383" spans="1:53" x14ac:dyDescent="0.2">
      <c r="A383" s="81"/>
      <c r="B383" s="76"/>
      <c r="C383" s="76"/>
      <c r="D383" s="76"/>
      <c r="E383" s="76"/>
      <c r="F383" s="76"/>
      <c r="G383" s="76"/>
      <c r="H383" s="76"/>
      <c r="I383" s="76"/>
      <c r="J383" s="76"/>
      <c r="K383" s="76"/>
      <c r="L383" s="76"/>
      <c r="M383" s="82"/>
      <c r="N383" s="78" t="s">
        <v>66</v>
      </c>
      <c r="O383" s="79"/>
      <c r="P383" s="79"/>
      <c r="Q383" s="79"/>
      <c r="R383" s="79"/>
      <c r="S383" s="79"/>
      <c r="T383" s="80"/>
      <c r="U383" s="52" t="s">
        <v>67</v>
      </c>
      <c r="V383" s="69">
        <f>IFERROR(V381/H381,"0")+IFERROR(V382/H382,"0")</f>
        <v>0</v>
      </c>
      <c r="W383" s="69">
        <f>IFERROR(W381/H381,"0")+IFERROR(W382/H382,"0")</f>
        <v>0</v>
      </c>
      <c r="X383" s="69">
        <f>IFERROR(IF(X381="",0,X381),"0")+IFERROR(IF(X382="",0,X382),"0")</f>
        <v>0</v>
      </c>
      <c r="Y383" s="70"/>
      <c r="Z383" s="70"/>
    </row>
    <row r="384" spans="1:53" x14ac:dyDescent="0.2">
      <c r="A384" s="76"/>
      <c r="B384" s="76"/>
      <c r="C384" s="76"/>
      <c r="D384" s="76"/>
      <c r="E384" s="76"/>
      <c r="F384" s="76"/>
      <c r="G384" s="76"/>
      <c r="H384" s="76"/>
      <c r="I384" s="76"/>
      <c r="J384" s="76"/>
      <c r="K384" s="76"/>
      <c r="L384" s="76"/>
      <c r="M384" s="82"/>
      <c r="N384" s="78" t="s">
        <v>66</v>
      </c>
      <c r="O384" s="79"/>
      <c r="P384" s="79"/>
      <c r="Q384" s="79"/>
      <c r="R384" s="79"/>
      <c r="S384" s="79"/>
      <c r="T384" s="80"/>
      <c r="U384" s="52" t="s">
        <v>65</v>
      </c>
      <c r="V384" s="69">
        <f>IFERROR(SUM(V381:V382),"0")</f>
        <v>0</v>
      </c>
      <c r="W384" s="69">
        <f>IFERROR(SUM(W381:W382),"0")</f>
        <v>0</v>
      </c>
      <c r="X384" s="52"/>
      <c r="Y384" s="70"/>
      <c r="Z384" s="70"/>
    </row>
    <row r="385" spans="1:53" ht="14.25" customHeight="1" x14ac:dyDescent="0.25">
      <c r="A385" s="77" t="s">
        <v>60</v>
      </c>
      <c r="B385" s="76"/>
      <c r="C385" s="76"/>
      <c r="D385" s="76"/>
      <c r="E385" s="76"/>
      <c r="F385" s="76"/>
      <c r="G385" s="76"/>
      <c r="H385" s="76"/>
      <c r="I385" s="76"/>
      <c r="J385" s="76"/>
      <c r="K385" s="76"/>
      <c r="L385" s="76"/>
      <c r="M385" s="76"/>
      <c r="N385" s="76"/>
      <c r="O385" s="76"/>
      <c r="P385" s="76"/>
      <c r="Q385" s="76"/>
      <c r="R385" s="76"/>
      <c r="S385" s="76"/>
      <c r="T385" s="76"/>
      <c r="U385" s="76"/>
      <c r="V385" s="76"/>
      <c r="W385" s="76"/>
      <c r="X385" s="76"/>
      <c r="Y385" s="61"/>
      <c r="Z385" s="61"/>
    </row>
    <row r="386" spans="1:53" ht="27" customHeight="1" x14ac:dyDescent="0.25">
      <c r="A386" s="41" t="s">
        <v>540</v>
      </c>
      <c r="B386" s="41" t="s">
        <v>541</v>
      </c>
      <c r="C386" s="42">
        <v>4301031212</v>
      </c>
      <c r="D386" s="74">
        <v>4607091389739</v>
      </c>
      <c r="E386" s="73"/>
      <c r="F386" s="66">
        <v>0.7</v>
      </c>
      <c r="G386" s="43">
        <v>6</v>
      </c>
      <c r="H386" s="66">
        <v>4.2</v>
      </c>
      <c r="I386" s="66">
        <v>4.43</v>
      </c>
      <c r="J386" s="43">
        <v>156</v>
      </c>
      <c r="K386" s="43" t="s">
        <v>63</v>
      </c>
      <c r="L386" s="44" t="s">
        <v>99</v>
      </c>
      <c r="M386" s="43">
        <v>45</v>
      </c>
      <c r="N386" s="7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6" s="72"/>
      <c r="P386" s="72"/>
      <c r="Q386" s="72"/>
      <c r="R386" s="73"/>
      <c r="S386" s="45"/>
      <c r="T386" s="45"/>
      <c r="U386" s="46" t="s">
        <v>65</v>
      </c>
      <c r="V386" s="67">
        <v>0</v>
      </c>
      <c r="W386" s="68">
        <f t="shared" ref="W386:W392" si="17">IFERROR(IF(V386="",0,CEILING((V386/$H386),1)*$H386),"")</f>
        <v>0</v>
      </c>
      <c r="X386" s="47" t="str">
        <f>IFERROR(IF(W386=0,"",ROUNDUP(W386/H386,0)*0.00753),"")</f>
        <v/>
      </c>
      <c r="Y386" s="48"/>
      <c r="Z386" s="49"/>
      <c r="AD386" s="50"/>
      <c r="BA386" s="51" t="s">
        <v>1</v>
      </c>
    </row>
    <row r="387" spans="1:53" ht="27" customHeight="1" x14ac:dyDescent="0.25">
      <c r="A387" s="41" t="s">
        <v>542</v>
      </c>
      <c r="B387" s="41" t="s">
        <v>543</v>
      </c>
      <c r="C387" s="42">
        <v>4301031247</v>
      </c>
      <c r="D387" s="74">
        <v>4680115883048</v>
      </c>
      <c r="E387" s="73"/>
      <c r="F387" s="66">
        <v>1</v>
      </c>
      <c r="G387" s="43">
        <v>4</v>
      </c>
      <c r="H387" s="66">
        <v>4</v>
      </c>
      <c r="I387" s="66">
        <v>4.21</v>
      </c>
      <c r="J387" s="43">
        <v>120</v>
      </c>
      <c r="K387" s="43" t="s">
        <v>63</v>
      </c>
      <c r="L387" s="44" t="s">
        <v>64</v>
      </c>
      <c r="M387" s="43">
        <v>40</v>
      </c>
      <c r="N387" s="7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7" s="72"/>
      <c r="P387" s="72"/>
      <c r="Q387" s="72"/>
      <c r="R387" s="73"/>
      <c r="S387" s="45"/>
      <c r="T387" s="45"/>
      <c r="U387" s="46" t="s">
        <v>65</v>
      </c>
      <c r="V387" s="67">
        <v>0</v>
      </c>
      <c r="W387" s="68">
        <f t="shared" si="17"/>
        <v>0</v>
      </c>
      <c r="X387" s="47" t="str">
        <f>IFERROR(IF(W387=0,"",ROUNDUP(W387/H387,0)*0.00937),"")</f>
        <v/>
      </c>
      <c r="Y387" s="48"/>
      <c r="Z387" s="49"/>
      <c r="AD387" s="50"/>
      <c r="BA387" s="51" t="s">
        <v>1</v>
      </c>
    </row>
    <row r="388" spans="1:53" ht="27" customHeight="1" x14ac:dyDescent="0.25">
      <c r="A388" s="41" t="s">
        <v>544</v>
      </c>
      <c r="B388" s="41" t="s">
        <v>545</v>
      </c>
      <c r="C388" s="42">
        <v>4301031176</v>
      </c>
      <c r="D388" s="74">
        <v>4607091389425</v>
      </c>
      <c r="E388" s="73"/>
      <c r="F388" s="66">
        <v>0.35</v>
      </c>
      <c r="G388" s="43">
        <v>6</v>
      </c>
      <c r="H388" s="66">
        <v>2.1</v>
      </c>
      <c r="I388" s="66">
        <v>2.23</v>
      </c>
      <c r="J388" s="43">
        <v>234</v>
      </c>
      <c r="K388" s="43" t="s">
        <v>166</v>
      </c>
      <c r="L388" s="44" t="s">
        <v>64</v>
      </c>
      <c r="M388" s="43">
        <v>45</v>
      </c>
      <c r="N388" s="7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8" s="72"/>
      <c r="P388" s="72"/>
      <c r="Q388" s="72"/>
      <c r="R388" s="73"/>
      <c r="S388" s="45"/>
      <c r="T388" s="45"/>
      <c r="U388" s="46" t="s">
        <v>65</v>
      </c>
      <c r="V388" s="67">
        <v>0</v>
      </c>
      <c r="W388" s="68">
        <f t="shared" si="17"/>
        <v>0</v>
      </c>
      <c r="X388" s="47" t="str">
        <f>IFERROR(IF(W388=0,"",ROUNDUP(W388/H388,0)*0.00502),"")</f>
        <v/>
      </c>
      <c r="Y388" s="48"/>
      <c r="Z388" s="49"/>
      <c r="AD388" s="50"/>
      <c r="BA388" s="51" t="s">
        <v>1</v>
      </c>
    </row>
    <row r="389" spans="1:53" ht="27" customHeight="1" x14ac:dyDescent="0.25">
      <c r="A389" s="41" t="s">
        <v>546</v>
      </c>
      <c r="B389" s="41" t="s">
        <v>547</v>
      </c>
      <c r="C389" s="42">
        <v>4301031215</v>
      </c>
      <c r="D389" s="74">
        <v>4680115882911</v>
      </c>
      <c r="E389" s="73"/>
      <c r="F389" s="66">
        <v>0.4</v>
      </c>
      <c r="G389" s="43">
        <v>6</v>
      </c>
      <c r="H389" s="66">
        <v>2.4</v>
      </c>
      <c r="I389" s="66">
        <v>2.5299999999999998</v>
      </c>
      <c r="J389" s="43">
        <v>234</v>
      </c>
      <c r="K389" s="43" t="s">
        <v>166</v>
      </c>
      <c r="L389" s="44" t="s">
        <v>64</v>
      </c>
      <c r="M389" s="43">
        <v>40</v>
      </c>
      <c r="N389" s="92" t="s">
        <v>548</v>
      </c>
      <c r="O389" s="72"/>
      <c r="P389" s="72"/>
      <c r="Q389" s="72"/>
      <c r="R389" s="73"/>
      <c r="S389" s="45"/>
      <c r="T389" s="45"/>
      <c r="U389" s="46" t="s">
        <v>65</v>
      </c>
      <c r="V389" s="67">
        <v>0</v>
      </c>
      <c r="W389" s="68">
        <f t="shared" si="17"/>
        <v>0</v>
      </c>
      <c r="X389" s="47" t="str">
        <f>IFERROR(IF(W389=0,"",ROUNDUP(W389/H389,0)*0.00502),"")</f>
        <v/>
      </c>
      <c r="Y389" s="48"/>
      <c r="Z389" s="49"/>
      <c r="AD389" s="50"/>
      <c r="BA389" s="51" t="s">
        <v>1</v>
      </c>
    </row>
    <row r="390" spans="1:53" ht="27" customHeight="1" x14ac:dyDescent="0.25">
      <c r="A390" s="41" t="s">
        <v>549</v>
      </c>
      <c r="B390" s="41" t="s">
        <v>550</v>
      </c>
      <c r="C390" s="42">
        <v>4301031167</v>
      </c>
      <c r="D390" s="74">
        <v>4680115880771</v>
      </c>
      <c r="E390" s="73"/>
      <c r="F390" s="66">
        <v>0.28000000000000003</v>
      </c>
      <c r="G390" s="43">
        <v>6</v>
      </c>
      <c r="H390" s="66">
        <v>1.68</v>
      </c>
      <c r="I390" s="66">
        <v>1.81</v>
      </c>
      <c r="J390" s="43">
        <v>234</v>
      </c>
      <c r="K390" s="43" t="s">
        <v>166</v>
      </c>
      <c r="L390" s="44" t="s">
        <v>64</v>
      </c>
      <c r="M390" s="43">
        <v>45</v>
      </c>
      <c r="N390" s="7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0" s="72"/>
      <c r="P390" s="72"/>
      <c r="Q390" s="72"/>
      <c r="R390" s="73"/>
      <c r="S390" s="45"/>
      <c r="T390" s="45"/>
      <c r="U390" s="46" t="s">
        <v>65</v>
      </c>
      <c r="V390" s="67">
        <v>0</v>
      </c>
      <c r="W390" s="68">
        <f t="shared" si="17"/>
        <v>0</v>
      </c>
      <c r="X390" s="47" t="str">
        <f>IFERROR(IF(W390=0,"",ROUNDUP(W390/H390,0)*0.00502),"")</f>
        <v/>
      </c>
      <c r="Y390" s="48"/>
      <c r="Z390" s="49"/>
      <c r="AD390" s="50"/>
      <c r="BA390" s="51" t="s">
        <v>1</v>
      </c>
    </row>
    <row r="391" spans="1:53" ht="27" customHeight="1" x14ac:dyDescent="0.25">
      <c r="A391" s="41" t="s">
        <v>551</v>
      </c>
      <c r="B391" s="41" t="s">
        <v>552</v>
      </c>
      <c r="C391" s="42">
        <v>4301031173</v>
      </c>
      <c r="D391" s="74">
        <v>4607091389500</v>
      </c>
      <c r="E391" s="73"/>
      <c r="F391" s="66">
        <v>0.35</v>
      </c>
      <c r="G391" s="43">
        <v>6</v>
      </c>
      <c r="H391" s="66">
        <v>2.1</v>
      </c>
      <c r="I391" s="66">
        <v>2.23</v>
      </c>
      <c r="J391" s="43">
        <v>234</v>
      </c>
      <c r="K391" s="43" t="s">
        <v>166</v>
      </c>
      <c r="L391" s="44" t="s">
        <v>64</v>
      </c>
      <c r="M391" s="43">
        <v>45</v>
      </c>
      <c r="N391" s="7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1" s="72"/>
      <c r="P391" s="72"/>
      <c r="Q391" s="72"/>
      <c r="R391" s="73"/>
      <c r="S391" s="45"/>
      <c r="T391" s="45"/>
      <c r="U391" s="46" t="s">
        <v>65</v>
      </c>
      <c r="V391" s="67">
        <v>0</v>
      </c>
      <c r="W391" s="68">
        <f t="shared" si="17"/>
        <v>0</v>
      </c>
      <c r="X391" s="47" t="str">
        <f>IFERROR(IF(W391=0,"",ROUNDUP(W391/H391,0)*0.00502),"")</f>
        <v/>
      </c>
      <c r="Y391" s="48"/>
      <c r="Z391" s="49"/>
      <c r="AD391" s="50"/>
      <c r="BA391" s="51" t="s">
        <v>1</v>
      </c>
    </row>
    <row r="392" spans="1:53" ht="27" customHeight="1" x14ac:dyDescent="0.25">
      <c r="A392" s="41" t="s">
        <v>553</v>
      </c>
      <c r="B392" s="41" t="s">
        <v>554</v>
      </c>
      <c r="C392" s="42">
        <v>4301031103</v>
      </c>
      <c r="D392" s="74">
        <v>4680115881983</v>
      </c>
      <c r="E392" s="73"/>
      <c r="F392" s="66">
        <v>0.28000000000000003</v>
      </c>
      <c r="G392" s="43">
        <v>4</v>
      </c>
      <c r="H392" s="66">
        <v>1.1200000000000001</v>
      </c>
      <c r="I392" s="66">
        <v>1.252</v>
      </c>
      <c r="J392" s="43">
        <v>234</v>
      </c>
      <c r="K392" s="43" t="s">
        <v>166</v>
      </c>
      <c r="L392" s="44" t="s">
        <v>64</v>
      </c>
      <c r="M392" s="43">
        <v>40</v>
      </c>
      <c r="N392" s="7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2" s="72"/>
      <c r="P392" s="72"/>
      <c r="Q392" s="72"/>
      <c r="R392" s="73"/>
      <c r="S392" s="45"/>
      <c r="T392" s="45"/>
      <c r="U392" s="46" t="s">
        <v>65</v>
      </c>
      <c r="V392" s="67">
        <v>0</v>
      </c>
      <c r="W392" s="68">
        <f t="shared" si="17"/>
        <v>0</v>
      </c>
      <c r="X392" s="47" t="str">
        <f>IFERROR(IF(W392=0,"",ROUNDUP(W392/H392,0)*0.00502),"")</f>
        <v/>
      </c>
      <c r="Y392" s="48"/>
      <c r="Z392" s="49"/>
      <c r="AD392" s="50"/>
      <c r="BA392" s="51" t="s">
        <v>1</v>
      </c>
    </row>
    <row r="393" spans="1:53" x14ac:dyDescent="0.2">
      <c r="A393" s="81"/>
      <c r="B393" s="76"/>
      <c r="C393" s="76"/>
      <c r="D393" s="76"/>
      <c r="E393" s="76"/>
      <c r="F393" s="76"/>
      <c r="G393" s="76"/>
      <c r="H393" s="76"/>
      <c r="I393" s="76"/>
      <c r="J393" s="76"/>
      <c r="K393" s="76"/>
      <c r="L393" s="76"/>
      <c r="M393" s="82"/>
      <c r="N393" s="78" t="s">
        <v>66</v>
      </c>
      <c r="O393" s="79"/>
      <c r="P393" s="79"/>
      <c r="Q393" s="79"/>
      <c r="R393" s="79"/>
      <c r="S393" s="79"/>
      <c r="T393" s="80"/>
      <c r="U393" s="52" t="s">
        <v>67</v>
      </c>
      <c r="V393" s="69">
        <f>IFERROR(V386/H386,"0")+IFERROR(V387/H387,"0")+IFERROR(V388/H388,"0")+IFERROR(V389/H389,"0")+IFERROR(V390/H390,"0")+IFERROR(V391/H391,"0")+IFERROR(V392/H392,"0")</f>
        <v>0</v>
      </c>
      <c r="W393" s="69">
        <f>IFERROR(W386/H386,"0")+IFERROR(W387/H387,"0")+IFERROR(W388/H388,"0")+IFERROR(W389/H389,"0")+IFERROR(W390/H390,"0")+IFERROR(W391/H391,"0")+IFERROR(W392/H392,"0")</f>
        <v>0</v>
      </c>
      <c r="X393" s="69">
        <f>IFERROR(IF(X386="",0,X386),"0")+IFERROR(IF(X387="",0,X387),"0")+IFERROR(IF(X388="",0,X388),"0")+IFERROR(IF(X389="",0,X389),"0")+IFERROR(IF(X390="",0,X390),"0")+IFERROR(IF(X391="",0,X391),"0")+IFERROR(IF(X392="",0,X392),"0")</f>
        <v>0</v>
      </c>
      <c r="Y393" s="70"/>
      <c r="Z393" s="70"/>
    </row>
    <row r="394" spans="1:53" x14ac:dyDescent="0.2">
      <c r="A394" s="76"/>
      <c r="B394" s="76"/>
      <c r="C394" s="76"/>
      <c r="D394" s="76"/>
      <c r="E394" s="76"/>
      <c r="F394" s="76"/>
      <c r="G394" s="76"/>
      <c r="H394" s="76"/>
      <c r="I394" s="76"/>
      <c r="J394" s="76"/>
      <c r="K394" s="76"/>
      <c r="L394" s="76"/>
      <c r="M394" s="82"/>
      <c r="N394" s="78" t="s">
        <v>66</v>
      </c>
      <c r="O394" s="79"/>
      <c r="P394" s="79"/>
      <c r="Q394" s="79"/>
      <c r="R394" s="79"/>
      <c r="S394" s="79"/>
      <c r="T394" s="80"/>
      <c r="U394" s="52" t="s">
        <v>65</v>
      </c>
      <c r="V394" s="69">
        <f>IFERROR(SUM(V386:V392),"0")</f>
        <v>0</v>
      </c>
      <c r="W394" s="69">
        <f>IFERROR(SUM(W386:W392),"0")</f>
        <v>0</v>
      </c>
      <c r="X394" s="52"/>
      <c r="Y394" s="70"/>
      <c r="Z394" s="70"/>
    </row>
    <row r="395" spans="1:53" ht="14.25" customHeight="1" x14ac:dyDescent="0.25">
      <c r="A395" s="77" t="s">
        <v>90</v>
      </c>
      <c r="B395" s="76"/>
      <c r="C395" s="76"/>
      <c r="D395" s="76"/>
      <c r="E395" s="76"/>
      <c r="F395" s="76"/>
      <c r="G395" s="76"/>
      <c r="H395" s="76"/>
      <c r="I395" s="76"/>
      <c r="J395" s="76"/>
      <c r="K395" s="76"/>
      <c r="L395" s="76"/>
      <c r="M395" s="76"/>
      <c r="N395" s="76"/>
      <c r="O395" s="76"/>
      <c r="P395" s="76"/>
      <c r="Q395" s="76"/>
      <c r="R395" s="76"/>
      <c r="S395" s="76"/>
      <c r="T395" s="76"/>
      <c r="U395" s="76"/>
      <c r="V395" s="76"/>
      <c r="W395" s="76"/>
      <c r="X395" s="76"/>
      <c r="Y395" s="61"/>
      <c r="Z395" s="61"/>
    </row>
    <row r="396" spans="1:53" ht="27" customHeight="1" x14ac:dyDescent="0.25">
      <c r="A396" s="41" t="s">
        <v>555</v>
      </c>
      <c r="B396" s="41" t="s">
        <v>556</v>
      </c>
      <c r="C396" s="42">
        <v>4301170008</v>
      </c>
      <c r="D396" s="74">
        <v>4680115882980</v>
      </c>
      <c r="E396" s="73"/>
      <c r="F396" s="66">
        <v>0.13</v>
      </c>
      <c r="G396" s="43">
        <v>10</v>
      </c>
      <c r="H396" s="66">
        <v>1.3</v>
      </c>
      <c r="I396" s="66">
        <v>1.46</v>
      </c>
      <c r="J396" s="43">
        <v>200</v>
      </c>
      <c r="K396" s="43" t="s">
        <v>532</v>
      </c>
      <c r="L396" s="44" t="s">
        <v>533</v>
      </c>
      <c r="M396" s="43">
        <v>150</v>
      </c>
      <c r="N396" s="7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6" s="72"/>
      <c r="P396" s="72"/>
      <c r="Q396" s="72"/>
      <c r="R396" s="73"/>
      <c r="S396" s="45"/>
      <c r="T396" s="45"/>
      <c r="U396" s="46" t="s">
        <v>65</v>
      </c>
      <c r="V396" s="67">
        <v>0</v>
      </c>
      <c r="W396" s="68">
        <f>IFERROR(IF(V396="",0,CEILING((V396/$H396),1)*$H396),"")</f>
        <v>0</v>
      </c>
      <c r="X396" s="47" t="str">
        <f>IFERROR(IF(W396=0,"",ROUNDUP(W396/H396,0)*0.00673),"")</f>
        <v/>
      </c>
      <c r="Y396" s="48"/>
      <c r="Z396" s="49"/>
      <c r="AD396" s="50"/>
      <c r="BA396" s="51" t="s">
        <v>1</v>
      </c>
    </row>
    <row r="397" spans="1:53" x14ac:dyDescent="0.2">
      <c r="A397" s="81"/>
      <c r="B397" s="76"/>
      <c r="C397" s="76"/>
      <c r="D397" s="76"/>
      <c r="E397" s="76"/>
      <c r="F397" s="76"/>
      <c r="G397" s="76"/>
      <c r="H397" s="76"/>
      <c r="I397" s="76"/>
      <c r="J397" s="76"/>
      <c r="K397" s="76"/>
      <c r="L397" s="76"/>
      <c r="M397" s="82"/>
      <c r="N397" s="78" t="s">
        <v>66</v>
      </c>
      <c r="O397" s="79"/>
      <c r="P397" s="79"/>
      <c r="Q397" s="79"/>
      <c r="R397" s="79"/>
      <c r="S397" s="79"/>
      <c r="T397" s="80"/>
      <c r="U397" s="52" t="s">
        <v>67</v>
      </c>
      <c r="V397" s="69">
        <f>IFERROR(V396/H396,"0")</f>
        <v>0</v>
      </c>
      <c r="W397" s="69">
        <f>IFERROR(W396/H396,"0")</f>
        <v>0</v>
      </c>
      <c r="X397" s="69">
        <f>IFERROR(IF(X396="",0,X396),"0")</f>
        <v>0</v>
      </c>
      <c r="Y397" s="70"/>
      <c r="Z397" s="70"/>
    </row>
    <row r="398" spans="1:53" x14ac:dyDescent="0.2">
      <c r="A398" s="76"/>
      <c r="B398" s="76"/>
      <c r="C398" s="76"/>
      <c r="D398" s="76"/>
      <c r="E398" s="76"/>
      <c r="F398" s="76"/>
      <c r="G398" s="76"/>
      <c r="H398" s="76"/>
      <c r="I398" s="76"/>
      <c r="J398" s="76"/>
      <c r="K398" s="76"/>
      <c r="L398" s="76"/>
      <c r="M398" s="82"/>
      <c r="N398" s="78" t="s">
        <v>66</v>
      </c>
      <c r="O398" s="79"/>
      <c r="P398" s="79"/>
      <c r="Q398" s="79"/>
      <c r="R398" s="79"/>
      <c r="S398" s="79"/>
      <c r="T398" s="80"/>
      <c r="U398" s="52" t="s">
        <v>65</v>
      </c>
      <c r="V398" s="69">
        <f>IFERROR(SUM(V396:V396),"0")</f>
        <v>0</v>
      </c>
      <c r="W398" s="69">
        <f>IFERROR(SUM(W396:W396),"0")</f>
        <v>0</v>
      </c>
      <c r="X398" s="52"/>
      <c r="Y398" s="70"/>
      <c r="Z398" s="70"/>
    </row>
    <row r="399" spans="1:53" ht="27.75" customHeight="1" x14ac:dyDescent="0.2">
      <c r="A399" s="83" t="s">
        <v>557</v>
      </c>
      <c r="B399" s="84"/>
      <c r="C399" s="84"/>
      <c r="D399" s="84"/>
      <c r="E399" s="84"/>
      <c r="F399" s="84"/>
      <c r="G399" s="84"/>
      <c r="H399" s="84"/>
      <c r="I399" s="84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40"/>
      <c r="Z399" s="40"/>
    </row>
    <row r="400" spans="1:53" ht="16.5" customHeight="1" x14ac:dyDescent="0.25">
      <c r="A400" s="75" t="s">
        <v>557</v>
      </c>
      <c r="B400" s="76"/>
      <c r="C400" s="76"/>
      <c r="D400" s="76"/>
      <c r="E400" s="76"/>
      <c r="F400" s="76"/>
      <c r="G400" s="76"/>
      <c r="H400" s="76"/>
      <c r="I400" s="76"/>
      <c r="J400" s="76"/>
      <c r="K400" s="76"/>
      <c r="L400" s="76"/>
      <c r="M400" s="76"/>
      <c r="N400" s="76"/>
      <c r="O400" s="76"/>
      <c r="P400" s="76"/>
      <c r="Q400" s="76"/>
      <c r="R400" s="76"/>
      <c r="S400" s="76"/>
      <c r="T400" s="76"/>
      <c r="U400" s="76"/>
      <c r="V400" s="76"/>
      <c r="W400" s="76"/>
      <c r="X400" s="76"/>
      <c r="Y400" s="60"/>
      <c r="Z400" s="60"/>
    </row>
    <row r="401" spans="1:53" ht="14.25" customHeight="1" x14ac:dyDescent="0.25">
      <c r="A401" s="77" t="s">
        <v>103</v>
      </c>
      <c r="B401" s="76"/>
      <c r="C401" s="76"/>
      <c r="D401" s="76"/>
      <c r="E401" s="76"/>
      <c r="F401" s="76"/>
      <c r="G401" s="76"/>
      <c r="H401" s="76"/>
      <c r="I401" s="76"/>
      <c r="J401" s="76"/>
      <c r="K401" s="76"/>
      <c r="L401" s="76"/>
      <c r="M401" s="76"/>
      <c r="N401" s="76"/>
      <c r="O401" s="76"/>
      <c r="P401" s="76"/>
      <c r="Q401" s="76"/>
      <c r="R401" s="76"/>
      <c r="S401" s="76"/>
      <c r="T401" s="76"/>
      <c r="U401" s="76"/>
      <c r="V401" s="76"/>
      <c r="W401" s="76"/>
      <c r="X401" s="76"/>
      <c r="Y401" s="61"/>
      <c r="Z401" s="61"/>
    </row>
    <row r="402" spans="1:53" ht="27" customHeight="1" x14ac:dyDescent="0.25">
      <c r="A402" s="41" t="s">
        <v>558</v>
      </c>
      <c r="B402" s="41" t="s">
        <v>559</v>
      </c>
      <c r="C402" s="42">
        <v>4301011371</v>
      </c>
      <c r="D402" s="74">
        <v>4607091389067</v>
      </c>
      <c r="E402" s="73"/>
      <c r="F402" s="66">
        <v>0.88</v>
      </c>
      <c r="G402" s="43">
        <v>6</v>
      </c>
      <c r="H402" s="66">
        <v>5.28</v>
      </c>
      <c r="I402" s="66">
        <v>5.64</v>
      </c>
      <c r="J402" s="43">
        <v>104</v>
      </c>
      <c r="K402" s="43" t="s">
        <v>98</v>
      </c>
      <c r="L402" s="44" t="s">
        <v>128</v>
      </c>
      <c r="M402" s="43">
        <v>55</v>
      </c>
      <c r="N402" s="7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2" s="72"/>
      <c r="P402" s="72"/>
      <c r="Q402" s="72"/>
      <c r="R402" s="73"/>
      <c r="S402" s="45"/>
      <c r="T402" s="45"/>
      <c r="U402" s="46" t="s">
        <v>65</v>
      </c>
      <c r="V402" s="67">
        <v>0</v>
      </c>
      <c r="W402" s="68">
        <f t="shared" ref="W402:W410" si="18">IFERROR(IF(V402="",0,CEILING((V402/$H402),1)*$H402),"")</f>
        <v>0</v>
      </c>
      <c r="X402" s="47" t="str">
        <f>IFERROR(IF(W402=0,"",ROUNDUP(W402/H402,0)*0.01196),"")</f>
        <v/>
      </c>
      <c r="Y402" s="48"/>
      <c r="Z402" s="49"/>
      <c r="AD402" s="50"/>
      <c r="BA402" s="51" t="s">
        <v>1</v>
      </c>
    </row>
    <row r="403" spans="1:53" ht="27" customHeight="1" x14ac:dyDescent="0.25">
      <c r="A403" s="41" t="s">
        <v>560</v>
      </c>
      <c r="B403" s="41" t="s">
        <v>561</v>
      </c>
      <c r="C403" s="42">
        <v>4301011363</v>
      </c>
      <c r="D403" s="74">
        <v>4607091383522</v>
      </c>
      <c r="E403" s="73"/>
      <c r="F403" s="66">
        <v>0.88</v>
      </c>
      <c r="G403" s="43">
        <v>6</v>
      </c>
      <c r="H403" s="66">
        <v>5.28</v>
      </c>
      <c r="I403" s="66">
        <v>5.64</v>
      </c>
      <c r="J403" s="43">
        <v>104</v>
      </c>
      <c r="K403" s="43" t="s">
        <v>98</v>
      </c>
      <c r="L403" s="44" t="s">
        <v>99</v>
      </c>
      <c r="M403" s="43">
        <v>55</v>
      </c>
      <c r="N403" s="7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3" s="72"/>
      <c r="P403" s="72"/>
      <c r="Q403" s="72"/>
      <c r="R403" s="73"/>
      <c r="S403" s="45"/>
      <c r="T403" s="45"/>
      <c r="U403" s="46" t="s">
        <v>65</v>
      </c>
      <c r="V403" s="67">
        <v>0</v>
      </c>
      <c r="W403" s="68">
        <f t="shared" si="18"/>
        <v>0</v>
      </c>
      <c r="X403" s="47" t="str">
        <f>IFERROR(IF(W403=0,"",ROUNDUP(W403/H403,0)*0.01196),"")</f>
        <v/>
      </c>
      <c r="Y403" s="48"/>
      <c r="Z403" s="49"/>
      <c r="AD403" s="50"/>
      <c r="BA403" s="51" t="s">
        <v>1</v>
      </c>
    </row>
    <row r="404" spans="1:53" ht="27" customHeight="1" x14ac:dyDescent="0.25">
      <c r="A404" s="41" t="s">
        <v>562</v>
      </c>
      <c r="B404" s="41" t="s">
        <v>563</v>
      </c>
      <c r="C404" s="42">
        <v>4301011431</v>
      </c>
      <c r="D404" s="74">
        <v>4607091384437</v>
      </c>
      <c r="E404" s="73"/>
      <c r="F404" s="66">
        <v>0.88</v>
      </c>
      <c r="G404" s="43">
        <v>6</v>
      </c>
      <c r="H404" s="66">
        <v>5.28</v>
      </c>
      <c r="I404" s="66">
        <v>5.64</v>
      </c>
      <c r="J404" s="43">
        <v>104</v>
      </c>
      <c r="K404" s="43" t="s">
        <v>98</v>
      </c>
      <c r="L404" s="44" t="s">
        <v>99</v>
      </c>
      <c r="M404" s="43">
        <v>50</v>
      </c>
      <c r="N404" s="71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4" s="72"/>
      <c r="P404" s="72"/>
      <c r="Q404" s="72"/>
      <c r="R404" s="73"/>
      <c r="S404" s="45"/>
      <c r="T404" s="45"/>
      <c r="U404" s="46" t="s">
        <v>65</v>
      </c>
      <c r="V404" s="67">
        <v>0</v>
      </c>
      <c r="W404" s="68">
        <f t="shared" si="18"/>
        <v>0</v>
      </c>
      <c r="X404" s="47" t="str">
        <f>IFERROR(IF(W404=0,"",ROUNDUP(W404/H404,0)*0.01196),"")</f>
        <v/>
      </c>
      <c r="Y404" s="48"/>
      <c r="Z404" s="49"/>
      <c r="AD404" s="50"/>
      <c r="BA404" s="51" t="s">
        <v>1</v>
      </c>
    </row>
    <row r="405" spans="1:53" ht="27" customHeight="1" x14ac:dyDescent="0.25">
      <c r="A405" s="41" t="s">
        <v>564</v>
      </c>
      <c r="B405" s="41" t="s">
        <v>565</v>
      </c>
      <c r="C405" s="42">
        <v>4301011365</v>
      </c>
      <c r="D405" s="74">
        <v>4607091389104</v>
      </c>
      <c r="E405" s="73"/>
      <c r="F405" s="66">
        <v>0.88</v>
      </c>
      <c r="G405" s="43">
        <v>6</v>
      </c>
      <c r="H405" s="66">
        <v>5.28</v>
      </c>
      <c r="I405" s="66">
        <v>5.64</v>
      </c>
      <c r="J405" s="43">
        <v>104</v>
      </c>
      <c r="K405" s="43" t="s">
        <v>98</v>
      </c>
      <c r="L405" s="44" t="s">
        <v>99</v>
      </c>
      <c r="M405" s="43">
        <v>55</v>
      </c>
      <c r="N405" s="7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5" s="72"/>
      <c r="P405" s="72"/>
      <c r="Q405" s="72"/>
      <c r="R405" s="73"/>
      <c r="S405" s="45"/>
      <c r="T405" s="45"/>
      <c r="U405" s="46" t="s">
        <v>65</v>
      </c>
      <c r="V405" s="67">
        <v>210</v>
      </c>
      <c r="W405" s="68">
        <f t="shared" si="18"/>
        <v>211.20000000000002</v>
      </c>
      <c r="X405" s="47">
        <f>IFERROR(IF(W405=0,"",ROUNDUP(W405/H405,0)*0.01196),"")</f>
        <v>0.47839999999999999</v>
      </c>
      <c r="Y405" s="48"/>
      <c r="Z405" s="49"/>
      <c r="AD405" s="50"/>
      <c r="BA405" s="51" t="s">
        <v>1</v>
      </c>
    </row>
    <row r="406" spans="1:53" ht="27" customHeight="1" x14ac:dyDescent="0.25">
      <c r="A406" s="41" t="s">
        <v>566</v>
      </c>
      <c r="B406" s="41" t="s">
        <v>567</v>
      </c>
      <c r="C406" s="42">
        <v>4301011367</v>
      </c>
      <c r="D406" s="74">
        <v>4680115880603</v>
      </c>
      <c r="E406" s="73"/>
      <c r="F406" s="66">
        <v>0.6</v>
      </c>
      <c r="G406" s="43">
        <v>6</v>
      </c>
      <c r="H406" s="66">
        <v>3.6</v>
      </c>
      <c r="I406" s="66">
        <v>3.84</v>
      </c>
      <c r="J406" s="43">
        <v>120</v>
      </c>
      <c r="K406" s="43" t="s">
        <v>63</v>
      </c>
      <c r="L406" s="44" t="s">
        <v>99</v>
      </c>
      <c r="M406" s="43">
        <v>55</v>
      </c>
      <c r="N406" s="7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6" s="72"/>
      <c r="P406" s="72"/>
      <c r="Q406" s="72"/>
      <c r="R406" s="73"/>
      <c r="S406" s="45"/>
      <c r="T406" s="45"/>
      <c r="U406" s="46" t="s">
        <v>65</v>
      </c>
      <c r="V406" s="67">
        <v>0</v>
      </c>
      <c r="W406" s="68">
        <f t="shared" si="18"/>
        <v>0</v>
      </c>
      <c r="X406" s="47" t="str">
        <f>IFERROR(IF(W406=0,"",ROUNDUP(W406/H406,0)*0.00937),"")</f>
        <v/>
      </c>
      <c r="Y406" s="48"/>
      <c r="Z406" s="49"/>
      <c r="AD406" s="50"/>
      <c r="BA406" s="51" t="s">
        <v>1</v>
      </c>
    </row>
    <row r="407" spans="1:53" ht="27" customHeight="1" x14ac:dyDescent="0.25">
      <c r="A407" s="41" t="s">
        <v>568</v>
      </c>
      <c r="B407" s="41" t="s">
        <v>569</v>
      </c>
      <c r="C407" s="42">
        <v>4301011168</v>
      </c>
      <c r="D407" s="74">
        <v>4607091389999</v>
      </c>
      <c r="E407" s="73"/>
      <c r="F407" s="66">
        <v>0.6</v>
      </c>
      <c r="G407" s="43">
        <v>6</v>
      </c>
      <c r="H407" s="66">
        <v>3.6</v>
      </c>
      <c r="I407" s="66">
        <v>3.84</v>
      </c>
      <c r="J407" s="43">
        <v>120</v>
      </c>
      <c r="K407" s="43" t="s">
        <v>63</v>
      </c>
      <c r="L407" s="44" t="s">
        <v>99</v>
      </c>
      <c r="M407" s="43">
        <v>55</v>
      </c>
      <c r="N407" s="7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7" s="72"/>
      <c r="P407" s="72"/>
      <c r="Q407" s="72"/>
      <c r="R407" s="73"/>
      <c r="S407" s="45"/>
      <c r="T407" s="45"/>
      <c r="U407" s="46" t="s">
        <v>65</v>
      </c>
      <c r="V407" s="67">
        <v>0</v>
      </c>
      <c r="W407" s="68">
        <f t="shared" si="18"/>
        <v>0</v>
      </c>
      <c r="X407" s="47" t="str">
        <f>IFERROR(IF(W407=0,"",ROUNDUP(W407/H407,0)*0.00937),"")</f>
        <v/>
      </c>
      <c r="Y407" s="48"/>
      <c r="Z407" s="49"/>
      <c r="AD407" s="50"/>
      <c r="BA407" s="51" t="s">
        <v>1</v>
      </c>
    </row>
    <row r="408" spans="1:53" ht="27" customHeight="1" x14ac:dyDescent="0.25">
      <c r="A408" s="41" t="s">
        <v>570</v>
      </c>
      <c r="B408" s="41" t="s">
        <v>571</v>
      </c>
      <c r="C408" s="42">
        <v>4301011372</v>
      </c>
      <c r="D408" s="74">
        <v>4680115882782</v>
      </c>
      <c r="E408" s="73"/>
      <c r="F408" s="66">
        <v>0.6</v>
      </c>
      <c r="G408" s="43">
        <v>6</v>
      </c>
      <c r="H408" s="66">
        <v>3.6</v>
      </c>
      <c r="I408" s="66">
        <v>3.84</v>
      </c>
      <c r="J408" s="43">
        <v>120</v>
      </c>
      <c r="K408" s="43" t="s">
        <v>63</v>
      </c>
      <c r="L408" s="44" t="s">
        <v>99</v>
      </c>
      <c r="M408" s="43">
        <v>50</v>
      </c>
      <c r="N408" s="7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8" s="72"/>
      <c r="P408" s="72"/>
      <c r="Q408" s="72"/>
      <c r="R408" s="73"/>
      <c r="S408" s="45"/>
      <c r="T408" s="45"/>
      <c r="U408" s="46" t="s">
        <v>65</v>
      </c>
      <c r="V408" s="67">
        <v>0</v>
      </c>
      <c r="W408" s="68">
        <f t="shared" si="18"/>
        <v>0</v>
      </c>
      <c r="X408" s="47" t="str">
        <f>IFERROR(IF(W408=0,"",ROUNDUP(W408/H408,0)*0.00937),"")</f>
        <v/>
      </c>
      <c r="Y408" s="48"/>
      <c r="Z408" s="49"/>
      <c r="AD408" s="50"/>
      <c r="BA408" s="51" t="s">
        <v>1</v>
      </c>
    </row>
    <row r="409" spans="1:53" ht="27" customHeight="1" x14ac:dyDescent="0.25">
      <c r="A409" s="41" t="s">
        <v>572</v>
      </c>
      <c r="B409" s="41" t="s">
        <v>573</v>
      </c>
      <c r="C409" s="42">
        <v>4301011190</v>
      </c>
      <c r="D409" s="74">
        <v>4607091389098</v>
      </c>
      <c r="E409" s="73"/>
      <c r="F409" s="66">
        <v>0.4</v>
      </c>
      <c r="G409" s="43">
        <v>6</v>
      </c>
      <c r="H409" s="66">
        <v>2.4</v>
      </c>
      <c r="I409" s="66">
        <v>2.6</v>
      </c>
      <c r="J409" s="43">
        <v>156</v>
      </c>
      <c r="K409" s="43" t="s">
        <v>63</v>
      </c>
      <c r="L409" s="44" t="s">
        <v>128</v>
      </c>
      <c r="M409" s="43">
        <v>50</v>
      </c>
      <c r="N409" s="7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9" s="72"/>
      <c r="P409" s="72"/>
      <c r="Q409" s="72"/>
      <c r="R409" s="73"/>
      <c r="S409" s="45"/>
      <c r="T409" s="45"/>
      <c r="U409" s="46" t="s">
        <v>65</v>
      </c>
      <c r="V409" s="67">
        <v>0</v>
      </c>
      <c r="W409" s="68">
        <f t="shared" si="18"/>
        <v>0</v>
      </c>
      <c r="X409" s="47" t="str">
        <f>IFERROR(IF(W409=0,"",ROUNDUP(W409/H409,0)*0.00753),"")</f>
        <v/>
      </c>
      <c r="Y409" s="48"/>
      <c r="Z409" s="49"/>
      <c r="AD409" s="50"/>
      <c r="BA409" s="51" t="s">
        <v>1</v>
      </c>
    </row>
    <row r="410" spans="1:53" ht="27" customHeight="1" x14ac:dyDescent="0.25">
      <c r="A410" s="41" t="s">
        <v>574</v>
      </c>
      <c r="B410" s="41" t="s">
        <v>575</v>
      </c>
      <c r="C410" s="42">
        <v>4301011366</v>
      </c>
      <c r="D410" s="74">
        <v>4607091389982</v>
      </c>
      <c r="E410" s="73"/>
      <c r="F410" s="66">
        <v>0.6</v>
      </c>
      <c r="G410" s="43">
        <v>6</v>
      </c>
      <c r="H410" s="66">
        <v>3.6</v>
      </c>
      <c r="I410" s="66">
        <v>3.84</v>
      </c>
      <c r="J410" s="43">
        <v>120</v>
      </c>
      <c r="K410" s="43" t="s">
        <v>63</v>
      </c>
      <c r="L410" s="44" t="s">
        <v>99</v>
      </c>
      <c r="M410" s="43">
        <v>55</v>
      </c>
      <c r="N410" s="7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0" s="72"/>
      <c r="P410" s="72"/>
      <c r="Q410" s="72"/>
      <c r="R410" s="73"/>
      <c r="S410" s="45"/>
      <c r="T410" s="45"/>
      <c r="U410" s="46" t="s">
        <v>65</v>
      </c>
      <c r="V410" s="67">
        <v>0</v>
      </c>
      <c r="W410" s="68">
        <f t="shared" si="18"/>
        <v>0</v>
      </c>
      <c r="X410" s="47" t="str">
        <f>IFERROR(IF(W410=0,"",ROUNDUP(W410/H410,0)*0.00937),"")</f>
        <v/>
      </c>
      <c r="Y410" s="48"/>
      <c r="Z410" s="49"/>
      <c r="AD410" s="50"/>
      <c r="BA410" s="51" t="s">
        <v>1</v>
      </c>
    </row>
    <row r="411" spans="1:53" x14ac:dyDescent="0.2">
      <c r="A411" s="81"/>
      <c r="B411" s="76"/>
      <c r="C411" s="76"/>
      <c r="D411" s="76"/>
      <c r="E411" s="76"/>
      <c r="F411" s="76"/>
      <c r="G411" s="76"/>
      <c r="H411" s="76"/>
      <c r="I411" s="76"/>
      <c r="J411" s="76"/>
      <c r="K411" s="76"/>
      <c r="L411" s="76"/>
      <c r="M411" s="82"/>
      <c r="N411" s="78" t="s">
        <v>66</v>
      </c>
      <c r="O411" s="79"/>
      <c r="P411" s="79"/>
      <c r="Q411" s="79"/>
      <c r="R411" s="79"/>
      <c r="S411" s="79"/>
      <c r="T411" s="80"/>
      <c r="U411" s="52" t="s">
        <v>67</v>
      </c>
      <c r="V411" s="69">
        <f>IFERROR(V402/H402,"0")+IFERROR(V403/H403,"0")+IFERROR(V404/H404,"0")+IFERROR(V405/H405,"0")+IFERROR(V406/H406,"0")+IFERROR(V407/H407,"0")+IFERROR(V408/H408,"0")+IFERROR(V409/H409,"0")+IFERROR(V410/H410,"0")</f>
        <v>39.772727272727273</v>
      </c>
      <c r="W411" s="69">
        <f>IFERROR(W402/H402,"0")+IFERROR(W403/H403,"0")+IFERROR(W404/H404,"0")+IFERROR(W405/H405,"0")+IFERROR(W406/H406,"0")+IFERROR(W407/H407,"0")+IFERROR(W408/H408,"0")+IFERROR(W409/H409,"0")+IFERROR(W410/H410,"0")</f>
        <v>40</v>
      </c>
      <c r="X411" s="69">
        <f>IFERROR(IF(X402="",0,X402),"0")+IFERROR(IF(X403="",0,X403),"0")+IFERROR(IF(X404="",0,X404),"0")+IFERROR(IF(X405="",0,X405),"0")+IFERROR(IF(X406="",0,X406),"0")+IFERROR(IF(X407="",0,X407),"0")+IFERROR(IF(X408="",0,X408),"0")+IFERROR(IF(X409="",0,X409),"0")+IFERROR(IF(X410="",0,X410),"0")</f>
        <v>0.47839999999999999</v>
      </c>
      <c r="Y411" s="70"/>
      <c r="Z411" s="70"/>
    </row>
    <row r="412" spans="1:53" x14ac:dyDescent="0.2">
      <c r="A412" s="76"/>
      <c r="B412" s="76"/>
      <c r="C412" s="76"/>
      <c r="D412" s="76"/>
      <c r="E412" s="76"/>
      <c r="F412" s="76"/>
      <c r="G412" s="76"/>
      <c r="H412" s="76"/>
      <c r="I412" s="76"/>
      <c r="J412" s="76"/>
      <c r="K412" s="76"/>
      <c r="L412" s="76"/>
      <c r="M412" s="82"/>
      <c r="N412" s="78" t="s">
        <v>66</v>
      </c>
      <c r="O412" s="79"/>
      <c r="P412" s="79"/>
      <c r="Q412" s="79"/>
      <c r="R412" s="79"/>
      <c r="S412" s="79"/>
      <c r="T412" s="80"/>
      <c r="U412" s="52" t="s">
        <v>65</v>
      </c>
      <c r="V412" s="69">
        <f>IFERROR(SUM(V402:V410),"0")</f>
        <v>210</v>
      </c>
      <c r="W412" s="69">
        <f>IFERROR(SUM(W402:W410),"0")</f>
        <v>211.20000000000002</v>
      </c>
      <c r="X412" s="52"/>
      <c r="Y412" s="70"/>
      <c r="Z412" s="70"/>
    </row>
    <row r="413" spans="1:53" ht="14.25" customHeight="1" x14ac:dyDescent="0.25">
      <c r="A413" s="77" t="s">
        <v>95</v>
      </c>
      <c r="B413" s="76"/>
      <c r="C413" s="76"/>
      <c r="D413" s="76"/>
      <c r="E413" s="76"/>
      <c r="F413" s="76"/>
      <c r="G413" s="76"/>
      <c r="H413" s="76"/>
      <c r="I413" s="76"/>
      <c r="J413" s="76"/>
      <c r="K413" s="76"/>
      <c r="L413" s="76"/>
      <c r="M413" s="76"/>
      <c r="N413" s="76"/>
      <c r="O413" s="76"/>
      <c r="P413" s="76"/>
      <c r="Q413" s="76"/>
      <c r="R413" s="76"/>
      <c r="S413" s="76"/>
      <c r="T413" s="76"/>
      <c r="U413" s="76"/>
      <c r="V413" s="76"/>
      <c r="W413" s="76"/>
      <c r="X413" s="76"/>
      <c r="Y413" s="61"/>
      <c r="Z413" s="61"/>
    </row>
    <row r="414" spans="1:53" ht="16.5" customHeight="1" x14ac:dyDescent="0.25">
      <c r="A414" s="41" t="s">
        <v>576</v>
      </c>
      <c r="B414" s="41" t="s">
        <v>577</v>
      </c>
      <c r="C414" s="42">
        <v>4301020222</v>
      </c>
      <c r="D414" s="74">
        <v>4607091388930</v>
      </c>
      <c r="E414" s="73"/>
      <c r="F414" s="66">
        <v>0.88</v>
      </c>
      <c r="G414" s="43">
        <v>6</v>
      </c>
      <c r="H414" s="66">
        <v>5.28</v>
      </c>
      <c r="I414" s="66">
        <v>5.64</v>
      </c>
      <c r="J414" s="43">
        <v>104</v>
      </c>
      <c r="K414" s="43" t="s">
        <v>98</v>
      </c>
      <c r="L414" s="44" t="s">
        <v>99</v>
      </c>
      <c r="M414" s="43">
        <v>55</v>
      </c>
      <c r="N414" s="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4" s="72"/>
      <c r="P414" s="72"/>
      <c r="Q414" s="72"/>
      <c r="R414" s="73"/>
      <c r="S414" s="45"/>
      <c r="T414" s="45"/>
      <c r="U414" s="46" t="s">
        <v>65</v>
      </c>
      <c r="V414" s="67">
        <v>0</v>
      </c>
      <c r="W414" s="68">
        <f>IFERROR(IF(V414="",0,CEILING((V414/$H414),1)*$H414),"")</f>
        <v>0</v>
      </c>
      <c r="X414" s="47" t="str">
        <f>IFERROR(IF(W414=0,"",ROUNDUP(W414/H414,0)*0.01196),"")</f>
        <v/>
      </c>
      <c r="Y414" s="48"/>
      <c r="Z414" s="49"/>
      <c r="AD414" s="50"/>
      <c r="BA414" s="51" t="s">
        <v>1</v>
      </c>
    </row>
    <row r="415" spans="1:53" ht="16.5" customHeight="1" x14ac:dyDescent="0.25">
      <c r="A415" s="41" t="s">
        <v>578</v>
      </c>
      <c r="B415" s="41" t="s">
        <v>579</v>
      </c>
      <c r="C415" s="42">
        <v>4301020206</v>
      </c>
      <c r="D415" s="74">
        <v>4680115880054</v>
      </c>
      <c r="E415" s="73"/>
      <c r="F415" s="66">
        <v>0.6</v>
      </c>
      <c r="G415" s="43">
        <v>6</v>
      </c>
      <c r="H415" s="66">
        <v>3.6</v>
      </c>
      <c r="I415" s="66">
        <v>3.84</v>
      </c>
      <c r="J415" s="43">
        <v>120</v>
      </c>
      <c r="K415" s="43" t="s">
        <v>63</v>
      </c>
      <c r="L415" s="44" t="s">
        <v>99</v>
      </c>
      <c r="M415" s="43">
        <v>55</v>
      </c>
      <c r="N415" s="7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5" s="72"/>
      <c r="P415" s="72"/>
      <c r="Q415" s="72"/>
      <c r="R415" s="73"/>
      <c r="S415" s="45"/>
      <c r="T415" s="45"/>
      <c r="U415" s="46" t="s">
        <v>65</v>
      </c>
      <c r="V415" s="67">
        <v>0</v>
      </c>
      <c r="W415" s="68">
        <f>IFERROR(IF(V415="",0,CEILING((V415/$H415),1)*$H415),"")</f>
        <v>0</v>
      </c>
      <c r="X415" s="47" t="str">
        <f>IFERROR(IF(W415=0,"",ROUNDUP(W415/H415,0)*0.00937),"")</f>
        <v/>
      </c>
      <c r="Y415" s="48"/>
      <c r="Z415" s="49"/>
      <c r="AD415" s="50"/>
      <c r="BA415" s="51" t="s">
        <v>1</v>
      </c>
    </row>
    <row r="416" spans="1:53" x14ac:dyDescent="0.2">
      <c r="A416" s="81"/>
      <c r="B416" s="76"/>
      <c r="C416" s="76"/>
      <c r="D416" s="76"/>
      <c r="E416" s="76"/>
      <c r="F416" s="76"/>
      <c r="G416" s="76"/>
      <c r="H416" s="76"/>
      <c r="I416" s="76"/>
      <c r="J416" s="76"/>
      <c r="K416" s="76"/>
      <c r="L416" s="76"/>
      <c r="M416" s="82"/>
      <c r="N416" s="78" t="s">
        <v>66</v>
      </c>
      <c r="O416" s="79"/>
      <c r="P416" s="79"/>
      <c r="Q416" s="79"/>
      <c r="R416" s="79"/>
      <c r="S416" s="79"/>
      <c r="T416" s="80"/>
      <c r="U416" s="52" t="s">
        <v>67</v>
      </c>
      <c r="V416" s="69">
        <f>IFERROR(V414/H414,"0")+IFERROR(V415/H415,"0")</f>
        <v>0</v>
      </c>
      <c r="W416" s="69">
        <f>IFERROR(W414/H414,"0")+IFERROR(W415/H415,"0")</f>
        <v>0</v>
      </c>
      <c r="X416" s="69">
        <f>IFERROR(IF(X414="",0,X414),"0")+IFERROR(IF(X415="",0,X415),"0")</f>
        <v>0</v>
      </c>
      <c r="Y416" s="70"/>
      <c r="Z416" s="70"/>
    </row>
    <row r="417" spans="1:53" x14ac:dyDescent="0.2">
      <c r="A417" s="76"/>
      <c r="B417" s="76"/>
      <c r="C417" s="76"/>
      <c r="D417" s="76"/>
      <c r="E417" s="76"/>
      <c r="F417" s="76"/>
      <c r="G417" s="76"/>
      <c r="H417" s="76"/>
      <c r="I417" s="76"/>
      <c r="J417" s="76"/>
      <c r="K417" s="76"/>
      <c r="L417" s="76"/>
      <c r="M417" s="82"/>
      <c r="N417" s="78" t="s">
        <v>66</v>
      </c>
      <c r="O417" s="79"/>
      <c r="P417" s="79"/>
      <c r="Q417" s="79"/>
      <c r="R417" s="79"/>
      <c r="S417" s="79"/>
      <c r="T417" s="80"/>
      <c r="U417" s="52" t="s">
        <v>65</v>
      </c>
      <c r="V417" s="69">
        <f>IFERROR(SUM(V414:V415),"0")</f>
        <v>0</v>
      </c>
      <c r="W417" s="69">
        <f>IFERROR(SUM(W414:W415),"0")</f>
        <v>0</v>
      </c>
      <c r="X417" s="52"/>
      <c r="Y417" s="70"/>
      <c r="Z417" s="70"/>
    </row>
    <row r="418" spans="1:53" ht="14.25" customHeight="1" x14ac:dyDescent="0.25">
      <c r="A418" s="77" t="s">
        <v>60</v>
      </c>
      <c r="B418" s="76"/>
      <c r="C418" s="76"/>
      <c r="D418" s="76"/>
      <c r="E418" s="76"/>
      <c r="F418" s="76"/>
      <c r="G418" s="76"/>
      <c r="H418" s="76"/>
      <c r="I418" s="76"/>
      <c r="J418" s="76"/>
      <c r="K418" s="76"/>
      <c r="L418" s="76"/>
      <c r="M418" s="76"/>
      <c r="N418" s="76"/>
      <c r="O418" s="76"/>
      <c r="P418" s="76"/>
      <c r="Q418" s="76"/>
      <c r="R418" s="76"/>
      <c r="S418" s="76"/>
      <c r="T418" s="76"/>
      <c r="U418" s="76"/>
      <c r="V418" s="76"/>
      <c r="W418" s="76"/>
      <c r="X418" s="76"/>
      <c r="Y418" s="61"/>
      <c r="Z418" s="61"/>
    </row>
    <row r="419" spans="1:53" ht="27" customHeight="1" x14ac:dyDescent="0.25">
      <c r="A419" s="41" t="s">
        <v>580</v>
      </c>
      <c r="B419" s="41" t="s">
        <v>581</v>
      </c>
      <c r="C419" s="42">
        <v>4301031252</v>
      </c>
      <c r="D419" s="74">
        <v>4680115883116</v>
      </c>
      <c r="E419" s="73"/>
      <c r="F419" s="66">
        <v>0.88</v>
      </c>
      <c r="G419" s="43">
        <v>6</v>
      </c>
      <c r="H419" s="66">
        <v>5.28</v>
      </c>
      <c r="I419" s="66">
        <v>5.64</v>
      </c>
      <c r="J419" s="43">
        <v>104</v>
      </c>
      <c r="K419" s="43" t="s">
        <v>98</v>
      </c>
      <c r="L419" s="44" t="s">
        <v>99</v>
      </c>
      <c r="M419" s="43">
        <v>60</v>
      </c>
      <c r="N419" s="7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9" s="72"/>
      <c r="P419" s="72"/>
      <c r="Q419" s="72"/>
      <c r="R419" s="73"/>
      <c r="S419" s="45"/>
      <c r="T419" s="45"/>
      <c r="U419" s="46" t="s">
        <v>65</v>
      </c>
      <c r="V419" s="67">
        <v>0</v>
      </c>
      <c r="W419" s="68">
        <f t="shared" ref="W419:W424" si="19">IFERROR(IF(V419="",0,CEILING((V419/$H419),1)*$H419),"")</f>
        <v>0</v>
      </c>
      <c r="X419" s="47" t="str">
        <f>IFERROR(IF(W419=0,"",ROUNDUP(W419/H419,0)*0.01196),"")</f>
        <v/>
      </c>
      <c r="Y419" s="48"/>
      <c r="Z419" s="49"/>
      <c r="AD419" s="50"/>
      <c r="BA419" s="51" t="s">
        <v>1</v>
      </c>
    </row>
    <row r="420" spans="1:53" ht="27" customHeight="1" x14ac:dyDescent="0.25">
      <c r="A420" s="41" t="s">
        <v>582</v>
      </c>
      <c r="B420" s="41" t="s">
        <v>583</v>
      </c>
      <c r="C420" s="42">
        <v>4301031248</v>
      </c>
      <c r="D420" s="74">
        <v>4680115883093</v>
      </c>
      <c r="E420" s="73"/>
      <c r="F420" s="66">
        <v>0.88</v>
      </c>
      <c r="G420" s="43">
        <v>6</v>
      </c>
      <c r="H420" s="66">
        <v>5.28</v>
      </c>
      <c r="I420" s="66">
        <v>5.64</v>
      </c>
      <c r="J420" s="43">
        <v>104</v>
      </c>
      <c r="K420" s="43" t="s">
        <v>98</v>
      </c>
      <c r="L420" s="44" t="s">
        <v>64</v>
      </c>
      <c r="M420" s="43">
        <v>60</v>
      </c>
      <c r="N420" s="7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0" s="72"/>
      <c r="P420" s="72"/>
      <c r="Q420" s="72"/>
      <c r="R420" s="73"/>
      <c r="S420" s="45"/>
      <c r="T420" s="45"/>
      <c r="U420" s="46" t="s">
        <v>65</v>
      </c>
      <c r="V420" s="67">
        <v>0</v>
      </c>
      <c r="W420" s="68">
        <f t="shared" si="19"/>
        <v>0</v>
      </c>
      <c r="X420" s="47" t="str">
        <f>IFERROR(IF(W420=0,"",ROUNDUP(W420/H420,0)*0.01196),"")</f>
        <v/>
      </c>
      <c r="Y420" s="48"/>
      <c r="Z420" s="49"/>
      <c r="AD420" s="50"/>
      <c r="BA420" s="51" t="s">
        <v>1</v>
      </c>
    </row>
    <row r="421" spans="1:53" ht="27" customHeight="1" x14ac:dyDescent="0.25">
      <c r="A421" s="41" t="s">
        <v>584</v>
      </c>
      <c r="B421" s="41" t="s">
        <v>585</v>
      </c>
      <c r="C421" s="42">
        <v>4301031250</v>
      </c>
      <c r="D421" s="74">
        <v>4680115883109</v>
      </c>
      <c r="E421" s="73"/>
      <c r="F421" s="66">
        <v>0.88</v>
      </c>
      <c r="G421" s="43">
        <v>6</v>
      </c>
      <c r="H421" s="66">
        <v>5.28</v>
      </c>
      <c r="I421" s="66">
        <v>5.64</v>
      </c>
      <c r="J421" s="43">
        <v>104</v>
      </c>
      <c r="K421" s="43" t="s">
        <v>98</v>
      </c>
      <c r="L421" s="44" t="s">
        <v>64</v>
      </c>
      <c r="M421" s="43">
        <v>60</v>
      </c>
      <c r="N421" s="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1" s="72"/>
      <c r="P421" s="72"/>
      <c r="Q421" s="72"/>
      <c r="R421" s="73"/>
      <c r="S421" s="45"/>
      <c r="T421" s="45"/>
      <c r="U421" s="46" t="s">
        <v>65</v>
      </c>
      <c r="V421" s="67">
        <v>0</v>
      </c>
      <c r="W421" s="68">
        <f t="shared" si="19"/>
        <v>0</v>
      </c>
      <c r="X421" s="47" t="str">
        <f>IFERROR(IF(W421=0,"",ROUNDUP(W421/H421,0)*0.01196),"")</f>
        <v/>
      </c>
      <c r="Y421" s="48"/>
      <c r="Z421" s="49"/>
      <c r="AD421" s="50"/>
      <c r="BA421" s="51" t="s">
        <v>1</v>
      </c>
    </row>
    <row r="422" spans="1:53" ht="27" customHeight="1" x14ac:dyDescent="0.25">
      <c r="A422" s="41" t="s">
        <v>586</v>
      </c>
      <c r="B422" s="41" t="s">
        <v>587</v>
      </c>
      <c r="C422" s="42">
        <v>4301031249</v>
      </c>
      <c r="D422" s="74">
        <v>4680115882072</v>
      </c>
      <c r="E422" s="73"/>
      <c r="F422" s="66">
        <v>0.6</v>
      </c>
      <c r="G422" s="43">
        <v>6</v>
      </c>
      <c r="H422" s="66">
        <v>3.6</v>
      </c>
      <c r="I422" s="66">
        <v>3.81</v>
      </c>
      <c r="J422" s="43">
        <v>120</v>
      </c>
      <c r="K422" s="43" t="s">
        <v>63</v>
      </c>
      <c r="L422" s="44" t="s">
        <v>99</v>
      </c>
      <c r="M422" s="43">
        <v>60</v>
      </c>
      <c r="N422" s="92" t="s">
        <v>588</v>
      </c>
      <c r="O422" s="72"/>
      <c r="P422" s="72"/>
      <c r="Q422" s="72"/>
      <c r="R422" s="73"/>
      <c r="S422" s="45"/>
      <c r="T422" s="45"/>
      <c r="U422" s="46" t="s">
        <v>65</v>
      </c>
      <c r="V422" s="67">
        <v>0</v>
      </c>
      <c r="W422" s="68">
        <f t="shared" si="19"/>
        <v>0</v>
      </c>
      <c r="X422" s="47" t="str">
        <f>IFERROR(IF(W422=0,"",ROUNDUP(W422/H422,0)*0.00937),"")</f>
        <v/>
      </c>
      <c r="Y422" s="48"/>
      <c r="Z422" s="49"/>
      <c r="AD422" s="50"/>
      <c r="BA422" s="51" t="s">
        <v>1</v>
      </c>
    </row>
    <row r="423" spans="1:53" ht="27" customHeight="1" x14ac:dyDescent="0.25">
      <c r="A423" s="41" t="s">
        <v>589</v>
      </c>
      <c r="B423" s="41" t="s">
        <v>590</v>
      </c>
      <c r="C423" s="42">
        <v>4301031251</v>
      </c>
      <c r="D423" s="74">
        <v>4680115882102</v>
      </c>
      <c r="E423" s="73"/>
      <c r="F423" s="66">
        <v>0.6</v>
      </c>
      <c r="G423" s="43">
        <v>6</v>
      </c>
      <c r="H423" s="66">
        <v>3.6</v>
      </c>
      <c r="I423" s="66">
        <v>3.81</v>
      </c>
      <c r="J423" s="43">
        <v>120</v>
      </c>
      <c r="K423" s="43" t="s">
        <v>63</v>
      </c>
      <c r="L423" s="44" t="s">
        <v>64</v>
      </c>
      <c r="M423" s="43">
        <v>60</v>
      </c>
      <c r="N423" s="92" t="s">
        <v>591</v>
      </c>
      <c r="O423" s="72"/>
      <c r="P423" s="72"/>
      <c r="Q423" s="72"/>
      <c r="R423" s="73"/>
      <c r="S423" s="45"/>
      <c r="T423" s="45"/>
      <c r="U423" s="46" t="s">
        <v>65</v>
      </c>
      <c r="V423" s="67">
        <v>0</v>
      </c>
      <c r="W423" s="68">
        <f t="shared" si="19"/>
        <v>0</v>
      </c>
      <c r="X423" s="47" t="str">
        <f>IFERROR(IF(W423=0,"",ROUNDUP(W423/H423,0)*0.00937),"")</f>
        <v/>
      </c>
      <c r="Y423" s="48"/>
      <c r="Z423" s="49"/>
      <c r="AD423" s="50"/>
      <c r="BA423" s="51" t="s">
        <v>1</v>
      </c>
    </row>
    <row r="424" spans="1:53" ht="27" customHeight="1" x14ac:dyDescent="0.25">
      <c r="A424" s="41" t="s">
        <v>592</v>
      </c>
      <c r="B424" s="41" t="s">
        <v>593</v>
      </c>
      <c r="C424" s="42">
        <v>4301031253</v>
      </c>
      <c r="D424" s="74">
        <v>4680115882096</v>
      </c>
      <c r="E424" s="73"/>
      <c r="F424" s="66">
        <v>0.6</v>
      </c>
      <c r="G424" s="43">
        <v>6</v>
      </c>
      <c r="H424" s="66">
        <v>3.6</v>
      </c>
      <c r="I424" s="66">
        <v>3.81</v>
      </c>
      <c r="J424" s="43">
        <v>120</v>
      </c>
      <c r="K424" s="43" t="s">
        <v>63</v>
      </c>
      <c r="L424" s="44" t="s">
        <v>64</v>
      </c>
      <c r="M424" s="43">
        <v>60</v>
      </c>
      <c r="N424" s="92" t="s">
        <v>594</v>
      </c>
      <c r="O424" s="72"/>
      <c r="P424" s="72"/>
      <c r="Q424" s="72"/>
      <c r="R424" s="73"/>
      <c r="S424" s="45"/>
      <c r="T424" s="45"/>
      <c r="U424" s="46" t="s">
        <v>65</v>
      </c>
      <c r="V424" s="67">
        <v>0</v>
      </c>
      <c r="W424" s="68">
        <f t="shared" si="19"/>
        <v>0</v>
      </c>
      <c r="X424" s="47" t="str">
        <f>IFERROR(IF(W424=0,"",ROUNDUP(W424/H424,0)*0.00937),"")</f>
        <v/>
      </c>
      <c r="Y424" s="48"/>
      <c r="Z424" s="49"/>
      <c r="AD424" s="50"/>
      <c r="BA424" s="51" t="s">
        <v>1</v>
      </c>
    </row>
    <row r="425" spans="1:53" x14ac:dyDescent="0.2">
      <c r="A425" s="81"/>
      <c r="B425" s="76"/>
      <c r="C425" s="76"/>
      <c r="D425" s="76"/>
      <c r="E425" s="76"/>
      <c r="F425" s="76"/>
      <c r="G425" s="76"/>
      <c r="H425" s="76"/>
      <c r="I425" s="76"/>
      <c r="J425" s="76"/>
      <c r="K425" s="76"/>
      <c r="L425" s="76"/>
      <c r="M425" s="82"/>
      <c r="N425" s="78" t="s">
        <v>66</v>
      </c>
      <c r="O425" s="79"/>
      <c r="P425" s="79"/>
      <c r="Q425" s="79"/>
      <c r="R425" s="79"/>
      <c r="S425" s="79"/>
      <c r="T425" s="80"/>
      <c r="U425" s="52" t="s">
        <v>67</v>
      </c>
      <c r="V425" s="69">
        <f>IFERROR(V419/H419,"0")+IFERROR(V420/H420,"0")+IFERROR(V421/H421,"0")+IFERROR(V422/H422,"0")+IFERROR(V423/H423,"0")+IFERROR(V424/H424,"0")</f>
        <v>0</v>
      </c>
      <c r="W425" s="69">
        <f>IFERROR(W419/H419,"0")+IFERROR(W420/H420,"0")+IFERROR(W421/H421,"0")+IFERROR(W422/H422,"0")+IFERROR(W423/H423,"0")+IFERROR(W424/H424,"0")</f>
        <v>0</v>
      </c>
      <c r="X425" s="69">
        <f>IFERROR(IF(X419="",0,X419),"0")+IFERROR(IF(X420="",0,X420),"0")+IFERROR(IF(X421="",0,X421),"0")+IFERROR(IF(X422="",0,X422),"0")+IFERROR(IF(X423="",0,X423),"0")+IFERROR(IF(X424="",0,X424),"0")</f>
        <v>0</v>
      </c>
      <c r="Y425" s="70"/>
      <c r="Z425" s="70"/>
    </row>
    <row r="426" spans="1:53" x14ac:dyDescent="0.2">
      <c r="A426" s="76"/>
      <c r="B426" s="76"/>
      <c r="C426" s="76"/>
      <c r="D426" s="76"/>
      <c r="E426" s="76"/>
      <c r="F426" s="76"/>
      <c r="G426" s="76"/>
      <c r="H426" s="76"/>
      <c r="I426" s="76"/>
      <c r="J426" s="76"/>
      <c r="K426" s="76"/>
      <c r="L426" s="76"/>
      <c r="M426" s="82"/>
      <c r="N426" s="78" t="s">
        <v>66</v>
      </c>
      <c r="O426" s="79"/>
      <c r="P426" s="79"/>
      <c r="Q426" s="79"/>
      <c r="R426" s="79"/>
      <c r="S426" s="79"/>
      <c r="T426" s="80"/>
      <c r="U426" s="52" t="s">
        <v>65</v>
      </c>
      <c r="V426" s="69">
        <f>IFERROR(SUM(V419:V424),"0")</f>
        <v>0</v>
      </c>
      <c r="W426" s="69">
        <f>IFERROR(SUM(W419:W424),"0")</f>
        <v>0</v>
      </c>
      <c r="X426" s="52"/>
      <c r="Y426" s="70"/>
      <c r="Z426" s="70"/>
    </row>
    <row r="427" spans="1:53" ht="14.25" customHeight="1" x14ac:dyDescent="0.25">
      <c r="A427" s="77" t="s">
        <v>68</v>
      </c>
      <c r="B427" s="76"/>
      <c r="C427" s="76"/>
      <c r="D427" s="76"/>
      <c r="E427" s="76"/>
      <c r="F427" s="76"/>
      <c r="G427" s="76"/>
      <c r="H427" s="76"/>
      <c r="I427" s="76"/>
      <c r="J427" s="76"/>
      <c r="K427" s="76"/>
      <c r="L427" s="76"/>
      <c r="M427" s="76"/>
      <c r="N427" s="76"/>
      <c r="O427" s="76"/>
      <c r="P427" s="76"/>
      <c r="Q427" s="76"/>
      <c r="R427" s="76"/>
      <c r="S427" s="76"/>
      <c r="T427" s="76"/>
      <c r="U427" s="76"/>
      <c r="V427" s="76"/>
      <c r="W427" s="76"/>
      <c r="X427" s="76"/>
      <c r="Y427" s="61"/>
      <c r="Z427" s="61"/>
    </row>
    <row r="428" spans="1:53" ht="16.5" customHeight="1" x14ac:dyDescent="0.25">
      <c r="A428" s="41" t="s">
        <v>595</v>
      </c>
      <c r="B428" s="41" t="s">
        <v>596</v>
      </c>
      <c r="C428" s="42">
        <v>4301051230</v>
      </c>
      <c r="D428" s="74">
        <v>4607091383409</v>
      </c>
      <c r="E428" s="73"/>
      <c r="F428" s="66">
        <v>1.3</v>
      </c>
      <c r="G428" s="43">
        <v>6</v>
      </c>
      <c r="H428" s="66">
        <v>7.8</v>
      </c>
      <c r="I428" s="66">
        <v>8.3460000000000001</v>
      </c>
      <c r="J428" s="43">
        <v>56</v>
      </c>
      <c r="K428" s="43" t="s">
        <v>98</v>
      </c>
      <c r="L428" s="44" t="s">
        <v>64</v>
      </c>
      <c r="M428" s="43">
        <v>45</v>
      </c>
      <c r="N428" s="7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8" s="72"/>
      <c r="P428" s="72"/>
      <c r="Q428" s="72"/>
      <c r="R428" s="73"/>
      <c r="S428" s="45"/>
      <c r="T428" s="45"/>
      <c r="U428" s="46" t="s">
        <v>65</v>
      </c>
      <c r="V428" s="67">
        <v>0</v>
      </c>
      <c r="W428" s="68">
        <f>IFERROR(IF(V428="",0,CEILING((V428/$H428),1)*$H428),"")</f>
        <v>0</v>
      </c>
      <c r="X428" s="47" t="str">
        <f>IFERROR(IF(W428=0,"",ROUNDUP(W428/H428,0)*0.02175),"")</f>
        <v/>
      </c>
      <c r="Y428" s="48"/>
      <c r="Z428" s="49"/>
      <c r="AD428" s="50"/>
      <c r="BA428" s="51" t="s">
        <v>1</v>
      </c>
    </row>
    <row r="429" spans="1:53" ht="16.5" customHeight="1" x14ac:dyDescent="0.25">
      <c r="A429" s="41" t="s">
        <v>597</v>
      </c>
      <c r="B429" s="41" t="s">
        <v>598</v>
      </c>
      <c r="C429" s="42">
        <v>4301051231</v>
      </c>
      <c r="D429" s="74">
        <v>4607091383416</v>
      </c>
      <c r="E429" s="73"/>
      <c r="F429" s="66">
        <v>1.3</v>
      </c>
      <c r="G429" s="43">
        <v>6</v>
      </c>
      <c r="H429" s="66">
        <v>7.8</v>
      </c>
      <c r="I429" s="66">
        <v>8.3460000000000001</v>
      </c>
      <c r="J429" s="43">
        <v>56</v>
      </c>
      <c r="K429" s="43" t="s">
        <v>98</v>
      </c>
      <c r="L429" s="44" t="s">
        <v>64</v>
      </c>
      <c r="M429" s="43">
        <v>45</v>
      </c>
      <c r="N429" s="7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9" s="72"/>
      <c r="P429" s="72"/>
      <c r="Q429" s="72"/>
      <c r="R429" s="73"/>
      <c r="S429" s="45"/>
      <c r="T429" s="45"/>
      <c r="U429" s="46" t="s">
        <v>65</v>
      </c>
      <c r="V429" s="67">
        <v>0</v>
      </c>
      <c r="W429" s="68">
        <f>IFERROR(IF(V429="",0,CEILING((V429/$H429),1)*$H429),"")</f>
        <v>0</v>
      </c>
      <c r="X429" s="47" t="str">
        <f>IFERROR(IF(W429=0,"",ROUNDUP(W429/H429,0)*0.02175),"")</f>
        <v/>
      </c>
      <c r="Y429" s="48"/>
      <c r="Z429" s="49"/>
      <c r="AD429" s="50"/>
      <c r="BA429" s="51" t="s">
        <v>1</v>
      </c>
    </row>
    <row r="430" spans="1:53" x14ac:dyDescent="0.2">
      <c r="A430" s="81"/>
      <c r="B430" s="76"/>
      <c r="C430" s="76"/>
      <c r="D430" s="76"/>
      <c r="E430" s="76"/>
      <c r="F430" s="76"/>
      <c r="G430" s="76"/>
      <c r="H430" s="76"/>
      <c r="I430" s="76"/>
      <c r="J430" s="76"/>
      <c r="K430" s="76"/>
      <c r="L430" s="76"/>
      <c r="M430" s="82"/>
      <c r="N430" s="78" t="s">
        <v>66</v>
      </c>
      <c r="O430" s="79"/>
      <c r="P430" s="79"/>
      <c r="Q430" s="79"/>
      <c r="R430" s="79"/>
      <c r="S430" s="79"/>
      <c r="T430" s="80"/>
      <c r="U430" s="52" t="s">
        <v>67</v>
      </c>
      <c r="V430" s="69">
        <f>IFERROR(V428/H428,"0")+IFERROR(V429/H429,"0")</f>
        <v>0</v>
      </c>
      <c r="W430" s="69">
        <f>IFERROR(W428/H428,"0")+IFERROR(W429/H429,"0")</f>
        <v>0</v>
      </c>
      <c r="X430" s="69">
        <f>IFERROR(IF(X428="",0,X428),"0")+IFERROR(IF(X429="",0,X429),"0")</f>
        <v>0</v>
      </c>
      <c r="Y430" s="70"/>
      <c r="Z430" s="70"/>
    </row>
    <row r="431" spans="1:53" x14ac:dyDescent="0.2">
      <c r="A431" s="76"/>
      <c r="B431" s="76"/>
      <c r="C431" s="76"/>
      <c r="D431" s="76"/>
      <c r="E431" s="76"/>
      <c r="F431" s="76"/>
      <c r="G431" s="76"/>
      <c r="H431" s="76"/>
      <c r="I431" s="76"/>
      <c r="J431" s="76"/>
      <c r="K431" s="76"/>
      <c r="L431" s="76"/>
      <c r="M431" s="82"/>
      <c r="N431" s="78" t="s">
        <v>66</v>
      </c>
      <c r="O431" s="79"/>
      <c r="P431" s="79"/>
      <c r="Q431" s="79"/>
      <c r="R431" s="79"/>
      <c r="S431" s="79"/>
      <c r="T431" s="80"/>
      <c r="U431" s="52" t="s">
        <v>65</v>
      </c>
      <c r="V431" s="69">
        <f>IFERROR(SUM(V428:V429),"0")</f>
        <v>0</v>
      </c>
      <c r="W431" s="69">
        <f>IFERROR(SUM(W428:W429),"0")</f>
        <v>0</v>
      </c>
      <c r="X431" s="52"/>
      <c r="Y431" s="70"/>
      <c r="Z431" s="70"/>
    </row>
    <row r="432" spans="1:53" ht="27.75" customHeight="1" x14ac:dyDescent="0.2">
      <c r="A432" s="83" t="s">
        <v>599</v>
      </c>
      <c r="B432" s="84"/>
      <c r="C432" s="84"/>
      <c r="D432" s="84"/>
      <c r="E432" s="84"/>
      <c r="F432" s="84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40"/>
      <c r="Z432" s="40"/>
    </row>
    <row r="433" spans="1:53" ht="16.5" customHeight="1" x14ac:dyDescent="0.25">
      <c r="A433" s="75" t="s">
        <v>600</v>
      </c>
      <c r="B433" s="76"/>
      <c r="C433" s="76"/>
      <c r="D433" s="76"/>
      <c r="E433" s="76"/>
      <c r="F433" s="76"/>
      <c r="G433" s="76"/>
      <c r="H433" s="76"/>
      <c r="I433" s="76"/>
      <c r="J433" s="76"/>
      <c r="K433" s="76"/>
      <c r="L433" s="76"/>
      <c r="M433" s="76"/>
      <c r="N433" s="76"/>
      <c r="O433" s="76"/>
      <c r="P433" s="76"/>
      <c r="Q433" s="76"/>
      <c r="R433" s="76"/>
      <c r="S433" s="76"/>
      <c r="T433" s="76"/>
      <c r="U433" s="76"/>
      <c r="V433" s="76"/>
      <c r="W433" s="76"/>
      <c r="X433" s="76"/>
      <c r="Y433" s="60"/>
      <c r="Z433" s="60"/>
    </row>
    <row r="434" spans="1:53" ht="14.25" customHeight="1" x14ac:dyDescent="0.25">
      <c r="A434" s="77" t="s">
        <v>103</v>
      </c>
      <c r="B434" s="76"/>
      <c r="C434" s="76"/>
      <c r="D434" s="76"/>
      <c r="E434" s="76"/>
      <c r="F434" s="76"/>
      <c r="G434" s="76"/>
      <c r="H434" s="76"/>
      <c r="I434" s="76"/>
      <c r="J434" s="76"/>
      <c r="K434" s="76"/>
      <c r="L434" s="76"/>
      <c r="M434" s="76"/>
      <c r="N434" s="76"/>
      <c r="O434" s="76"/>
      <c r="P434" s="76"/>
      <c r="Q434" s="76"/>
      <c r="R434" s="76"/>
      <c r="S434" s="76"/>
      <c r="T434" s="76"/>
      <c r="U434" s="76"/>
      <c r="V434" s="76"/>
      <c r="W434" s="76"/>
      <c r="X434" s="76"/>
      <c r="Y434" s="61"/>
      <c r="Z434" s="61"/>
    </row>
    <row r="435" spans="1:53" ht="27" customHeight="1" x14ac:dyDescent="0.25">
      <c r="A435" s="41" t="s">
        <v>601</v>
      </c>
      <c r="B435" s="41" t="s">
        <v>602</v>
      </c>
      <c r="C435" s="42">
        <v>4301011585</v>
      </c>
      <c r="D435" s="74">
        <v>4640242180441</v>
      </c>
      <c r="E435" s="73"/>
      <c r="F435" s="66">
        <v>1.5</v>
      </c>
      <c r="G435" s="43">
        <v>8</v>
      </c>
      <c r="H435" s="66">
        <v>12</v>
      </c>
      <c r="I435" s="66">
        <v>12.48</v>
      </c>
      <c r="J435" s="43">
        <v>56</v>
      </c>
      <c r="K435" s="43" t="s">
        <v>98</v>
      </c>
      <c r="L435" s="44" t="s">
        <v>99</v>
      </c>
      <c r="M435" s="43">
        <v>50</v>
      </c>
      <c r="N435" s="92" t="s">
        <v>603</v>
      </c>
      <c r="O435" s="72"/>
      <c r="P435" s="72"/>
      <c r="Q435" s="72"/>
      <c r="R435" s="73"/>
      <c r="S435" s="45"/>
      <c r="T435" s="45"/>
      <c r="U435" s="46" t="s">
        <v>65</v>
      </c>
      <c r="V435" s="67">
        <v>0</v>
      </c>
      <c r="W435" s="68">
        <f>IFERROR(IF(V435="",0,CEILING((V435/$H435),1)*$H435),"")</f>
        <v>0</v>
      </c>
      <c r="X435" s="47" t="str">
        <f>IFERROR(IF(W435=0,"",ROUNDUP(W435/H435,0)*0.02175),"")</f>
        <v/>
      </c>
      <c r="Y435" s="48"/>
      <c r="Z435" s="49"/>
      <c r="AD435" s="50"/>
      <c r="BA435" s="51" t="s">
        <v>1</v>
      </c>
    </row>
    <row r="436" spans="1:53" ht="27" customHeight="1" x14ac:dyDescent="0.25">
      <c r="A436" s="41" t="s">
        <v>604</v>
      </c>
      <c r="B436" s="41" t="s">
        <v>605</v>
      </c>
      <c r="C436" s="42">
        <v>4301011584</v>
      </c>
      <c r="D436" s="74">
        <v>4640242180564</v>
      </c>
      <c r="E436" s="73"/>
      <c r="F436" s="66">
        <v>1.5</v>
      </c>
      <c r="G436" s="43">
        <v>8</v>
      </c>
      <c r="H436" s="66">
        <v>12</v>
      </c>
      <c r="I436" s="66">
        <v>12.48</v>
      </c>
      <c r="J436" s="43">
        <v>56</v>
      </c>
      <c r="K436" s="43" t="s">
        <v>98</v>
      </c>
      <c r="L436" s="44" t="s">
        <v>99</v>
      </c>
      <c r="M436" s="43">
        <v>50</v>
      </c>
      <c r="N436" s="92" t="s">
        <v>606</v>
      </c>
      <c r="O436" s="72"/>
      <c r="P436" s="72"/>
      <c r="Q436" s="72"/>
      <c r="R436" s="73"/>
      <c r="S436" s="45"/>
      <c r="T436" s="45"/>
      <c r="U436" s="46" t="s">
        <v>65</v>
      </c>
      <c r="V436" s="67">
        <v>0</v>
      </c>
      <c r="W436" s="68">
        <f>IFERROR(IF(V436="",0,CEILING((V436/$H436),1)*$H436),"")</f>
        <v>0</v>
      </c>
      <c r="X436" s="47" t="str">
        <f>IFERROR(IF(W436=0,"",ROUNDUP(W436/H436,0)*0.02175),"")</f>
        <v/>
      </c>
      <c r="Y436" s="48"/>
      <c r="Z436" s="49"/>
      <c r="AD436" s="50"/>
      <c r="BA436" s="51" t="s">
        <v>1</v>
      </c>
    </row>
    <row r="437" spans="1:53" x14ac:dyDescent="0.2">
      <c r="A437" s="81"/>
      <c r="B437" s="76"/>
      <c r="C437" s="76"/>
      <c r="D437" s="76"/>
      <c r="E437" s="76"/>
      <c r="F437" s="76"/>
      <c r="G437" s="76"/>
      <c r="H437" s="76"/>
      <c r="I437" s="76"/>
      <c r="J437" s="76"/>
      <c r="K437" s="76"/>
      <c r="L437" s="76"/>
      <c r="M437" s="82"/>
      <c r="N437" s="78" t="s">
        <v>66</v>
      </c>
      <c r="O437" s="79"/>
      <c r="P437" s="79"/>
      <c r="Q437" s="79"/>
      <c r="R437" s="79"/>
      <c r="S437" s="79"/>
      <c r="T437" s="80"/>
      <c r="U437" s="52" t="s">
        <v>67</v>
      </c>
      <c r="V437" s="69">
        <f>IFERROR(V435/H435,"0")+IFERROR(V436/H436,"0")</f>
        <v>0</v>
      </c>
      <c r="W437" s="69">
        <f>IFERROR(W435/H435,"0")+IFERROR(W436/H436,"0")</f>
        <v>0</v>
      </c>
      <c r="X437" s="69">
        <f>IFERROR(IF(X435="",0,X435),"0")+IFERROR(IF(X436="",0,X436),"0")</f>
        <v>0</v>
      </c>
      <c r="Y437" s="70"/>
      <c r="Z437" s="70"/>
    </row>
    <row r="438" spans="1:53" x14ac:dyDescent="0.2">
      <c r="A438" s="76"/>
      <c r="B438" s="76"/>
      <c r="C438" s="76"/>
      <c r="D438" s="76"/>
      <c r="E438" s="76"/>
      <c r="F438" s="76"/>
      <c r="G438" s="76"/>
      <c r="H438" s="76"/>
      <c r="I438" s="76"/>
      <c r="J438" s="76"/>
      <c r="K438" s="76"/>
      <c r="L438" s="76"/>
      <c r="M438" s="82"/>
      <c r="N438" s="78" t="s">
        <v>66</v>
      </c>
      <c r="O438" s="79"/>
      <c r="P438" s="79"/>
      <c r="Q438" s="79"/>
      <c r="R438" s="79"/>
      <c r="S438" s="79"/>
      <c r="T438" s="80"/>
      <c r="U438" s="52" t="s">
        <v>65</v>
      </c>
      <c r="V438" s="69">
        <f>IFERROR(SUM(V435:V436),"0")</f>
        <v>0</v>
      </c>
      <c r="W438" s="69">
        <f>IFERROR(SUM(W435:W436),"0")</f>
        <v>0</v>
      </c>
      <c r="X438" s="52"/>
      <c r="Y438" s="70"/>
      <c r="Z438" s="70"/>
    </row>
    <row r="439" spans="1:53" ht="14.25" customHeight="1" x14ac:dyDescent="0.25">
      <c r="A439" s="77" t="s">
        <v>95</v>
      </c>
      <c r="B439" s="76"/>
      <c r="C439" s="76"/>
      <c r="D439" s="76"/>
      <c r="E439" s="76"/>
      <c r="F439" s="76"/>
      <c r="G439" s="76"/>
      <c r="H439" s="76"/>
      <c r="I439" s="76"/>
      <c r="J439" s="76"/>
      <c r="K439" s="76"/>
      <c r="L439" s="76"/>
      <c r="M439" s="76"/>
      <c r="N439" s="76"/>
      <c r="O439" s="76"/>
      <c r="P439" s="76"/>
      <c r="Q439" s="76"/>
      <c r="R439" s="76"/>
      <c r="S439" s="76"/>
      <c r="T439" s="76"/>
      <c r="U439" s="76"/>
      <c r="V439" s="76"/>
      <c r="W439" s="76"/>
      <c r="X439" s="76"/>
      <c r="Y439" s="61"/>
      <c r="Z439" s="61"/>
    </row>
    <row r="440" spans="1:53" ht="27" customHeight="1" x14ac:dyDescent="0.25">
      <c r="A440" s="41" t="s">
        <v>607</v>
      </c>
      <c r="B440" s="41" t="s">
        <v>608</v>
      </c>
      <c r="C440" s="42">
        <v>4301020260</v>
      </c>
      <c r="D440" s="74">
        <v>4640242180526</v>
      </c>
      <c r="E440" s="73"/>
      <c r="F440" s="66">
        <v>1.8</v>
      </c>
      <c r="G440" s="43">
        <v>6</v>
      </c>
      <c r="H440" s="66">
        <v>10.8</v>
      </c>
      <c r="I440" s="66">
        <v>11.28</v>
      </c>
      <c r="J440" s="43">
        <v>56</v>
      </c>
      <c r="K440" s="43" t="s">
        <v>98</v>
      </c>
      <c r="L440" s="44" t="s">
        <v>99</v>
      </c>
      <c r="M440" s="43">
        <v>50</v>
      </c>
      <c r="N440" s="92" t="s">
        <v>609</v>
      </c>
      <c r="O440" s="72"/>
      <c r="P440" s="72"/>
      <c r="Q440" s="72"/>
      <c r="R440" s="73"/>
      <c r="S440" s="45"/>
      <c r="T440" s="45"/>
      <c r="U440" s="46" t="s">
        <v>65</v>
      </c>
      <c r="V440" s="67">
        <v>0</v>
      </c>
      <c r="W440" s="68">
        <f>IFERROR(IF(V440="",0,CEILING((V440/$H440),1)*$H440),"")</f>
        <v>0</v>
      </c>
      <c r="X440" s="47" t="str">
        <f>IFERROR(IF(W440=0,"",ROUNDUP(W440/H440,0)*0.02175),"")</f>
        <v/>
      </c>
      <c r="Y440" s="48"/>
      <c r="Z440" s="49"/>
      <c r="AD440" s="50"/>
      <c r="BA440" s="51" t="s">
        <v>1</v>
      </c>
    </row>
    <row r="441" spans="1:53" ht="16.5" customHeight="1" x14ac:dyDescent="0.25">
      <c r="A441" s="41" t="s">
        <v>610</v>
      </c>
      <c r="B441" s="41" t="s">
        <v>611</v>
      </c>
      <c r="C441" s="42">
        <v>4301020269</v>
      </c>
      <c r="D441" s="74">
        <v>4640242180519</v>
      </c>
      <c r="E441" s="73"/>
      <c r="F441" s="66">
        <v>1.35</v>
      </c>
      <c r="G441" s="43">
        <v>8</v>
      </c>
      <c r="H441" s="66">
        <v>10.8</v>
      </c>
      <c r="I441" s="66">
        <v>11.28</v>
      </c>
      <c r="J441" s="43">
        <v>56</v>
      </c>
      <c r="K441" s="43" t="s">
        <v>98</v>
      </c>
      <c r="L441" s="44" t="s">
        <v>128</v>
      </c>
      <c r="M441" s="43">
        <v>50</v>
      </c>
      <c r="N441" s="92" t="s">
        <v>612</v>
      </c>
      <c r="O441" s="72"/>
      <c r="P441" s="72"/>
      <c r="Q441" s="72"/>
      <c r="R441" s="73"/>
      <c r="S441" s="45"/>
      <c r="T441" s="45"/>
      <c r="U441" s="46" t="s">
        <v>65</v>
      </c>
      <c r="V441" s="67">
        <v>0</v>
      </c>
      <c r="W441" s="68">
        <f>IFERROR(IF(V441="",0,CEILING((V441/$H441),1)*$H441),"")</f>
        <v>0</v>
      </c>
      <c r="X441" s="47" t="str">
        <f>IFERROR(IF(W441=0,"",ROUNDUP(W441/H441,0)*0.02175),"")</f>
        <v/>
      </c>
      <c r="Y441" s="48"/>
      <c r="Z441" s="49"/>
      <c r="AD441" s="50"/>
      <c r="BA441" s="51" t="s">
        <v>1</v>
      </c>
    </row>
    <row r="442" spans="1:53" x14ac:dyDescent="0.2">
      <c r="A442" s="81"/>
      <c r="B442" s="76"/>
      <c r="C442" s="76"/>
      <c r="D442" s="76"/>
      <c r="E442" s="76"/>
      <c r="F442" s="76"/>
      <c r="G442" s="76"/>
      <c r="H442" s="76"/>
      <c r="I442" s="76"/>
      <c r="J442" s="76"/>
      <c r="K442" s="76"/>
      <c r="L442" s="76"/>
      <c r="M442" s="82"/>
      <c r="N442" s="78" t="s">
        <v>66</v>
      </c>
      <c r="O442" s="79"/>
      <c r="P442" s="79"/>
      <c r="Q442" s="79"/>
      <c r="R442" s="79"/>
      <c r="S442" s="79"/>
      <c r="T442" s="80"/>
      <c r="U442" s="52" t="s">
        <v>67</v>
      </c>
      <c r="V442" s="69">
        <f>IFERROR(V440/H440,"0")+IFERROR(V441/H441,"0")</f>
        <v>0</v>
      </c>
      <c r="W442" s="69">
        <f>IFERROR(W440/H440,"0")+IFERROR(W441/H441,"0")</f>
        <v>0</v>
      </c>
      <c r="X442" s="69">
        <f>IFERROR(IF(X440="",0,X440),"0")+IFERROR(IF(X441="",0,X441),"0")</f>
        <v>0</v>
      </c>
      <c r="Y442" s="70"/>
      <c r="Z442" s="70"/>
    </row>
    <row r="443" spans="1:53" x14ac:dyDescent="0.2">
      <c r="A443" s="76"/>
      <c r="B443" s="76"/>
      <c r="C443" s="76"/>
      <c r="D443" s="76"/>
      <c r="E443" s="76"/>
      <c r="F443" s="76"/>
      <c r="G443" s="76"/>
      <c r="H443" s="76"/>
      <c r="I443" s="76"/>
      <c r="J443" s="76"/>
      <c r="K443" s="76"/>
      <c r="L443" s="76"/>
      <c r="M443" s="82"/>
      <c r="N443" s="78" t="s">
        <v>66</v>
      </c>
      <c r="O443" s="79"/>
      <c r="P443" s="79"/>
      <c r="Q443" s="79"/>
      <c r="R443" s="79"/>
      <c r="S443" s="79"/>
      <c r="T443" s="80"/>
      <c r="U443" s="52" t="s">
        <v>65</v>
      </c>
      <c r="V443" s="69">
        <f>IFERROR(SUM(V440:V441),"0")</f>
        <v>0</v>
      </c>
      <c r="W443" s="69">
        <f>IFERROR(SUM(W440:W441),"0")</f>
        <v>0</v>
      </c>
      <c r="X443" s="52"/>
      <c r="Y443" s="70"/>
      <c r="Z443" s="70"/>
    </row>
    <row r="444" spans="1:53" ht="14.25" customHeight="1" x14ac:dyDescent="0.25">
      <c r="A444" s="77" t="s">
        <v>60</v>
      </c>
      <c r="B444" s="76"/>
      <c r="C444" s="76"/>
      <c r="D444" s="76"/>
      <c r="E444" s="76"/>
      <c r="F444" s="76"/>
      <c r="G444" s="76"/>
      <c r="H444" s="76"/>
      <c r="I444" s="76"/>
      <c r="J444" s="76"/>
      <c r="K444" s="76"/>
      <c r="L444" s="76"/>
      <c r="M444" s="76"/>
      <c r="N444" s="76"/>
      <c r="O444" s="76"/>
      <c r="P444" s="76"/>
      <c r="Q444" s="76"/>
      <c r="R444" s="76"/>
      <c r="S444" s="76"/>
      <c r="T444" s="76"/>
      <c r="U444" s="76"/>
      <c r="V444" s="76"/>
      <c r="W444" s="76"/>
      <c r="X444" s="76"/>
      <c r="Y444" s="61"/>
      <c r="Z444" s="61"/>
    </row>
    <row r="445" spans="1:53" ht="27" customHeight="1" x14ac:dyDescent="0.25">
      <c r="A445" s="41" t="s">
        <v>613</v>
      </c>
      <c r="B445" s="41" t="s">
        <v>614</v>
      </c>
      <c r="C445" s="42">
        <v>4301031280</v>
      </c>
      <c r="D445" s="74">
        <v>4640242180816</v>
      </c>
      <c r="E445" s="73"/>
      <c r="F445" s="66">
        <v>0.7</v>
      </c>
      <c r="G445" s="43">
        <v>6</v>
      </c>
      <c r="H445" s="66">
        <v>4.2</v>
      </c>
      <c r="I445" s="66">
        <v>4.46</v>
      </c>
      <c r="J445" s="43">
        <v>156</v>
      </c>
      <c r="K445" s="43" t="s">
        <v>63</v>
      </c>
      <c r="L445" s="44" t="s">
        <v>64</v>
      </c>
      <c r="M445" s="43">
        <v>40</v>
      </c>
      <c r="N445" s="92" t="s">
        <v>615</v>
      </c>
      <c r="O445" s="72"/>
      <c r="P445" s="72"/>
      <c r="Q445" s="72"/>
      <c r="R445" s="73"/>
      <c r="S445" s="45"/>
      <c r="T445" s="45"/>
      <c r="U445" s="46" t="s">
        <v>65</v>
      </c>
      <c r="V445" s="67">
        <v>0</v>
      </c>
      <c r="W445" s="68">
        <f>IFERROR(IF(V445="",0,CEILING((V445/$H445),1)*$H445),"")</f>
        <v>0</v>
      </c>
      <c r="X445" s="47" t="str">
        <f>IFERROR(IF(W445=0,"",ROUNDUP(W445/H445,0)*0.00753),"")</f>
        <v/>
      </c>
      <c r="Y445" s="48"/>
      <c r="Z445" s="49"/>
      <c r="AD445" s="50"/>
      <c r="BA445" s="51" t="s">
        <v>1</v>
      </c>
    </row>
    <row r="446" spans="1:53" ht="27" customHeight="1" x14ac:dyDescent="0.25">
      <c r="A446" s="41" t="s">
        <v>616</v>
      </c>
      <c r="B446" s="41" t="s">
        <v>617</v>
      </c>
      <c r="C446" s="42">
        <v>4301031244</v>
      </c>
      <c r="D446" s="74">
        <v>4640242180595</v>
      </c>
      <c r="E446" s="73"/>
      <c r="F446" s="66">
        <v>0.7</v>
      </c>
      <c r="G446" s="43">
        <v>6</v>
      </c>
      <c r="H446" s="66">
        <v>4.2</v>
      </c>
      <c r="I446" s="66">
        <v>4.46</v>
      </c>
      <c r="J446" s="43">
        <v>156</v>
      </c>
      <c r="K446" s="43" t="s">
        <v>63</v>
      </c>
      <c r="L446" s="44" t="s">
        <v>64</v>
      </c>
      <c r="M446" s="43">
        <v>40</v>
      </c>
      <c r="N446" s="92" t="s">
        <v>618</v>
      </c>
      <c r="O446" s="72"/>
      <c r="P446" s="72"/>
      <c r="Q446" s="72"/>
      <c r="R446" s="73"/>
      <c r="S446" s="45"/>
      <c r="T446" s="45"/>
      <c r="U446" s="46" t="s">
        <v>65</v>
      </c>
      <c r="V446" s="67">
        <v>0</v>
      </c>
      <c r="W446" s="68">
        <f>IFERROR(IF(V446="",0,CEILING((V446/$H446),1)*$H446),"")</f>
        <v>0</v>
      </c>
      <c r="X446" s="47" t="str">
        <f>IFERROR(IF(W446=0,"",ROUNDUP(W446/H446,0)*0.00753),"")</f>
        <v/>
      </c>
      <c r="Y446" s="48"/>
      <c r="Z446" s="49"/>
      <c r="AD446" s="50"/>
      <c r="BA446" s="51" t="s">
        <v>1</v>
      </c>
    </row>
    <row r="447" spans="1:53" x14ac:dyDescent="0.2">
      <c r="A447" s="81"/>
      <c r="B447" s="76"/>
      <c r="C447" s="76"/>
      <c r="D447" s="76"/>
      <c r="E447" s="76"/>
      <c r="F447" s="76"/>
      <c r="G447" s="76"/>
      <c r="H447" s="76"/>
      <c r="I447" s="76"/>
      <c r="J447" s="76"/>
      <c r="K447" s="76"/>
      <c r="L447" s="76"/>
      <c r="M447" s="82"/>
      <c r="N447" s="78" t="s">
        <v>66</v>
      </c>
      <c r="O447" s="79"/>
      <c r="P447" s="79"/>
      <c r="Q447" s="79"/>
      <c r="R447" s="79"/>
      <c r="S447" s="79"/>
      <c r="T447" s="80"/>
      <c r="U447" s="52" t="s">
        <v>67</v>
      </c>
      <c r="V447" s="69">
        <f>IFERROR(V445/H445,"0")+IFERROR(V446/H446,"0")</f>
        <v>0</v>
      </c>
      <c r="W447" s="69">
        <f>IFERROR(W445/H445,"0")+IFERROR(W446/H446,"0")</f>
        <v>0</v>
      </c>
      <c r="X447" s="69">
        <f>IFERROR(IF(X445="",0,X445),"0")+IFERROR(IF(X446="",0,X446),"0")</f>
        <v>0</v>
      </c>
      <c r="Y447" s="70"/>
      <c r="Z447" s="70"/>
    </row>
    <row r="448" spans="1:53" x14ac:dyDescent="0.2">
      <c r="A448" s="76"/>
      <c r="B448" s="76"/>
      <c r="C448" s="76"/>
      <c r="D448" s="76"/>
      <c r="E448" s="76"/>
      <c r="F448" s="76"/>
      <c r="G448" s="76"/>
      <c r="H448" s="76"/>
      <c r="I448" s="76"/>
      <c r="J448" s="76"/>
      <c r="K448" s="76"/>
      <c r="L448" s="76"/>
      <c r="M448" s="82"/>
      <c r="N448" s="78" t="s">
        <v>66</v>
      </c>
      <c r="O448" s="79"/>
      <c r="P448" s="79"/>
      <c r="Q448" s="79"/>
      <c r="R448" s="79"/>
      <c r="S448" s="79"/>
      <c r="T448" s="80"/>
      <c r="U448" s="52" t="s">
        <v>65</v>
      </c>
      <c r="V448" s="69">
        <f>IFERROR(SUM(V445:V446),"0")</f>
        <v>0</v>
      </c>
      <c r="W448" s="69">
        <f>IFERROR(SUM(W445:W446),"0")</f>
        <v>0</v>
      </c>
      <c r="X448" s="52"/>
      <c r="Y448" s="70"/>
      <c r="Z448" s="70"/>
    </row>
    <row r="449" spans="1:53" ht="14.25" customHeight="1" x14ac:dyDescent="0.25">
      <c r="A449" s="77" t="s">
        <v>68</v>
      </c>
      <c r="B449" s="76"/>
      <c r="C449" s="76"/>
      <c r="D449" s="76"/>
      <c r="E449" s="76"/>
      <c r="F449" s="76"/>
      <c r="G449" s="76"/>
      <c r="H449" s="76"/>
      <c r="I449" s="76"/>
      <c r="J449" s="76"/>
      <c r="K449" s="76"/>
      <c r="L449" s="76"/>
      <c r="M449" s="76"/>
      <c r="N449" s="76"/>
      <c r="O449" s="76"/>
      <c r="P449" s="76"/>
      <c r="Q449" s="76"/>
      <c r="R449" s="76"/>
      <c r="S449" s="76"/>
      <c r="T449" s="76"/>
      <c r="U449" s="76"/>
      <c r="V449" s="76"/>
      <c r="W449" s="76"/>
      <c r="X449" s="76"/>
      <c r="Y449" s="61"/>
      <c r="Z449" s="61"/>
    </row>
    <row r="450" spans="1:53" ht="27" customHeight="1" x14ac:dyDescent="0.25">
      <c r="A450" s="41" t="s">
        <v>619</v>
      </c>
      <c r="B450" s="41" t="s">
        <v>620</v>
      </c>
      <c r="C450" s="42">
        <v>4301051510</v>
      </c>
      <c r="D450" s="74">
        <v>4640242180540</v>
      </c>
      <c r="E450" s="73"/>
      <c r="F450" s="66">
        <v>1.3</v>
      </c>
      <c r="G450" s="43">
        <v>6</v>
      </c>
      <c r="H450" s="66">
        <v>7.8</v>
      </c>
      <c r="I450" s="66">
        <v>8.3640000000000008</v>
      </c>
      <c r="J450" s="43">
        <v>56</v>
      </c>
      <c r="K450" s="43" t="s">
        <v>98</v>
      </c>
      <c r="L450" s="44" t="s">
        <v>64</v>
      </c>
      <c r="M450" s="43">
        <v>30</v>
      </c>
      <c r="N450" s="92" t="s">
        <v>621</v>
      </c>
      <c r="O450" s="72"/>
      <c r="P450" s="72"/>
      <c r="Q450" s="72"/>
      <c r="R450" s="73"/>
      <c r="S450" s="45"/>
      <c r="T450" s="45"/>
      <c r="U450" s="46" t="s">
        <v>65</v>
      </c>
      <c r="V450" s="67">
        <v>0</v>
      </c>
      <c r="W450" s="68">
        <f>IFERROR(IF(V450="",0,CEILING((V450/$H450),1)*$H450),"")</f>
        <v>0</v>
      </c>
      <c r="X450" s="47" t="str">
        <f>IFERROR(IF(W450=0,"",ROUNDUP(W450/H450,0)*0.02175),"")</f>
        <v/>
      </c>
      <c r="Y450" s="48"/>
      <c r="Z450" s="49"/>
      <c r="AD450" s="50"/>
      <c r="BA450" s="51" t="s">
        <v>1</v>
      </c>
    </row>
    <row r="451" spans="1:53" ht="27" customHeight="1" x14ac:dyDescent="0.25">
      <c r="A451" s="41" t="s">
        <v>622</v>
      </c>
      <c r="B451" s="41" t="s">
        <v>623</v>
      </c>
      <c r="C451" s="42">
        <v>4301051508</v>
      </c>
      <c r="D451" s="74">
        <v>4640242180557</v>
      </c>
      <c r="E451" s="73"/>
      <c r="F451" s="66">
        <v>0.5</v>
      </c>
      <c r="G451" s="43">
        <v>6</v>
      </c>
      <c r="H451" s="66">
        <v>3</v>
      </c>
      <c r="I451" s="66">
        <v>3.2839999999999998</v>
      </c>
      <c r="J451" s="43">
        <v>156</v>
      </c>
      <c r="K451" s="43" t="s">
        <v>63</v>
      </c>
      <c r="L451" s="44" t="s">
        <v>64</v>
      </c>
      <c r="M451" s="43">
        <v>30</v>
      </c>
      <c r="N451" s="92" t="s">
        <v>624</v>
      </c>
      <c r="O451" s="72"/>
      <c r="P451" s="72"/>
      <c r="Q451" s="72"/>
      <c r="R451" s="73"/>
      <c r="S451" s="45"/>
      <c r="T451" s="45"/>
      <c r="U451" s="46" t="s">
        <v>65</v>
      </c>
      <c r="V451" s="67">
        <v>0</v>
      </c>
      <c r="W451" s="68">
        <f>IFERROR(IF(V451="",0,CEILING((V451/$H451),1)*$H451),"")</f>
        <v>0</v>
      </c>
      <c r="X451" s="47" t="str">
        <f>IFERROR(IF(W451=0,"",ROUNDUP(W451/H451,0)*0.00753),"")</f>
        <v/>
      </c>
      <c r="Y451" s="48"/>
      <c r="Z451" s="49"/>
      <c r="AD451" s="50"/>
      <c r="BA451" s="51" t="s">
        <v>1</v>
      </c>
    </row>
    <row r="452" spans="1:53" x14ac:dyDescent="0.2">
      <c r="A452" s="81"/>
      <c r="B452" s="76"/>
      <c r="C452" s="76"/>
      <c r="D452" s="76"/>
      <c r="E452" s="76"/>
      <c r="F452" s="76"/>
      <c r="G452" s="76"/>
      <c r="H452" s="76"/>
      <c r="I452" s="76"/>
      <c r="J452" s="76"/>
      <c r="K452" s="76"/>
      <c r="L452" s="76"/>
      <c r="M452" s="82"/>
      <c r="N452" s="78" t="s">
        <v>66</v>
      </c>
      <c r="O452" s="79"/>
      <c r="P452" s="79"/>
      <c r="Q452" s="79"/>
      <c r="R452" s="79"/>
      <c r="S452" s="79"/>
      <c r="T452" s="80"/>
      <c r="U452" s="52" t="s">
        <v>67</v>
      </c>
      <c r="V452" s="69">
        <f>IFERROR(V450/H450,"0")+IFERROR(V451/H451,"0")</f>
        <v>0</v>
      </c>
      <c r="W452" s="69">
        <f>IFERROR(W450/H450,"0")+IFERROR(W451/H451,"0")</f>
        <v>0</v>
      </c>
      <c r="X452" s="69">
        <f>IFERROR(IF(X450="",0,X450),"0")+IFERROR(IF(X451="",0,X451),"0")</f>
        <v>0</v>
      </c>
      <c r="Y452" s="70"/>
      <c r="Z452" s="70"/>
    </row>
    <row r="453" spans="1:53" x14ac:dyDescent="0.2">
      <c r="A453" s="76"/>
      <c r="B453" s="76"/>
      <c r="C453" s="76"/>
      <c r="D453" s="76"/>
      <c r="E453" s="76"/>
      <c r="F453" s="76"/>
      <c r="G453" s="76"/>
      <c r="H453" s="76"/>
      <c r="I453" s="76"/>
      <c r="J453" s="76"/>
      <c r="K453" s="76"/>
      <c r="L453" s="76"/>
      <c r="M453" s="82"/>
      <c r="N453" s="78" t="s">
        <v>66</v>
      </c>
      <c r="O453" s="79"/>
      <c r="P453" s="79"/>
      <c r="Q453" s="79"/>
      <c r="R453" s="79"/>
      <c r="S453" s="79"/>
      <c r="T453" s="80"/>
      <c r="U453" s="52" t="s">
        <v>65</v>
      </c>
      <c r="V453" s="69">
        <f>IFERROR(SUM(V450:V451),"0")</f>
        <v>0</v>
      </c>
      <c r="W453" s="69">
        <f>IFERROR(SUM(W450:W451),"0")</f>
        <v>0</v>
      </c>
      <c r="X453" s="52"/>
      <c r="Y453" s="70"/>
      <c r="Z453" s="70"/>
    </row>
    <row r="454" spans="1:53" ht="16.5" customHeight="1" x14ac:dyDescent="0.25">
      <c r="A454" s="75" t="s">
        <v>625</v>
      </c>
      <c r="B454" s="76"/>
      <c r="C454" s="76"/>
      <c r="D454" s="76"/>
      <c r="E454" s="76"/>
      <c r="F454" s="76"/>
      <c r="G454" s="76"/>
      <c r="H454" s="76"/>
      <c r="I454" s="76"/>
      <c r="J454" s="76"/>
      <c r="K454" s="76"/>
      <c r="L454" s="76"/>
      <c r="M454" s="76"/>
      <c r="N454" s="76"/>
      <c r="O454" s="76"/>
      <c r="P454" s="76"/>
      <c r="Q454" s="76"/>
      <c r="R454" s="76"/>
      <c r="S454" s="76"/>
      <c r="T454" s="76"/>
      <c r="U454" s="76"/>
      <c r="V454" s="76"/>
      <c r="W454" s="76"/>
      <c r="X454" s="76"/>
      <c r="Y454" s="60"/>
      <c r="Z454" s="60"/>
    </row>
    <row r="455" spans="1:53" ht="14.25" customHeight="1" x14ac:dyDescent="0.25">
      <c r="A455" s="77" t="s">
        <v>68</v>
      </c>
      <c r="B455" s="76"/>
      <c r="C455" s="76"/>
      <c r="D455" s="76"/>
      <c r="E455" s="76"/>
      <c r="F455" s="76"/>
      <c r="G455" s="76"/>
      <c r="H455" s="76"/>
      <c r="I455" s="76"/>
      <c r="J455" s="76"/>
      <c r="K455" s="76"/>
      <c r="L455" s="76"/>
      <c r="M455" s="76"/>
      <c r="N455" s="76"/>
      <c r="O455" s="76"/>
      <c r="P455" s="76"/>
      <c r="Q455" s="76"/>
      <c r="R455" s="76"/>
      <c r="S455" s="76"/>
      <c r="T455" s="76"/>
      <c r="U455" s="76"/>
      <c r="V455" s="76"/>
      <c r="W455" s="76"/>
      <c r="X455" s="76"/>
      <c r="Y455" s="61"/>
      <c r="Z455" s="61"/>
    </row>
    <row r="456" spans="1:53" ht="16.5" customHeight="1" x14ac:dyDescent="0.25">
      <c r="A456" s="41" t="s">
        <v>626</v>
      </c>
      <c r="B456" s="41" t="s">
        <v>627</v>
      </c>
      <c r="C456" s="42">
        <v>4301051310</v>
      </c>
      <c r="D456" s="74">
        <v>4680115880870</v>
      </c>
      <c r="E456" s="73"/>
      <c r="F456" s="66">
        <v>1.3</v>
      </c>
      <c r="G456" s="43">
        <v>6</v>
      </c>
      <c r="H456" s="66">
        <v>7.8</v>
      </c>
      <c r="I456" s="66">
        <v>8.3640000000000008</v>
      </c>
      <c r="J456" s="43">
        <v>56</v>
      </c>
      <c r="K456" s="43" t="s">
        <v>98</v>
      </c>
      <c r="L456" s="44" t="s">
        <v>128</v>
      </c>
      <c r="M456" s="43">
        <v>40</v>
      </c>
      <c r="N456" s="7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6" s="72"/>
      <c r="P456" s="72"/>
      <c r="Q456" s="72"/>
      <c r="R456" s="73"/>
      <c r="S456" s="45"/>
      <c r="T456" s="45"/>
      <c r="U456" s="46" t="s">
        <v>65</v>
      </c>
      <c r="V456" s="67">
        <v>0</v>
      </c>
      <c r="W456" s="68">
        <f>IFERROR(IF(V456="",0,CEILING((V456/$H456),1)*$H456),"")</f>
        <v>0</v>
      </c>
      <c r="X456" s="47" t="str">
        <f>IFERROR(IF(W456=0,"",ROUNDUP(W456/H456,0)*0.02175),"")</f>
        <v/>
      </c>
      <c r="Y456" s="48"/>
      <c r="Z456" s="49"/>
      <c r="AD456" s="50"/>
      <c r="BA456" s="51" t="s">
        <v>1</v>
      </c>
    </row>
    <row r="457" spans="1:53" x14ac:dyDescent="0.2">
      <c r="A457" s="81"/>
      <c r="B457" s="76"/>
      <c r="C457" s="76"/>
      <c r="D457" s="76"/>
      <c r="E457" s="76"/>
      <c r="F457" s="76"/>
      <c r="G457" s="76"/>
      <c r="H457" s="76"/>
      <c r="I457" s="76"/>
      <c r="J457" s="76"/>
      <c r="K457" s="76"/>
      <c r="L457" s="76"/>
      <c r="M457" s="82"/>
      <c r="N457" s="78" t="s">
        <v>66</v>
      </c>
      <c r="O457" s="79"/>
      <c r="P457" s="79"/>
      <c r="Q457" s="79"/>
      <c r="R457" s="79"/>
      <c r="S457" s="79"/>
      <c r="T457" s="80"/>
      <c r="U457" s="52" t="s">
        <v>67</v>
      </c>
      <c r="V457" s="69">
        <f>IFERROR(V456/H456,"0")</f>
        <v>0</v>
      </c>
      <c r="W457" s="69">
        <f>IFERROR(W456/H456,"0")</f>
        <v>0</v>
      </c>
      <c r="X457" s="69">
        <f>IFERROR(IF(X456="",0,X456),"0")</f>
        <v>0</v>
      </c>
      <c r="Y457" s="70"/>
      <c r="Z457" s="70"/>
    </row>
    <row r="458" spans="1:53" x14ac:dyDescent="0.2">
      <c r="A458" s="76"/>
      <c r="B458" s="76"/>
      <c r="C458" s="76"/>
      <c r="D458" s="76"/>
      <c r="E458" s="76"/>
      <c r="F458" s="76"/>
      <c r="G458" s="76"/>
      <c r="H458" s="76"/>
      <c r="I458" s="76"/>
      <c r="J458" s="76"/>
      <c r="K458" s="76"/>
      <c r="L458" s="76"/>
      <c r="M458" s="82"/>
      <c r="N458" s="78" t="s">
        <v>66</v>
      </c>
      <c r="O458" s="79"/>
      <c r="P458" s="79"/>
      <c r="Q458" s="79"/>
      <c r="R458" s="79"/>
      <c r="S458" s="79"/>
      <c r="T458" s="80"/>
      <c r="U458" s="52" t="s">
        <v>65</v>
      </c>
      <c r="V458" s="69">
        <f>IFERROR(SUM(V456:V456),"0")</f>
        <v>0</v>
      </c>
      <c r="W458" s="69">
        <f>IFERROR(SUM(W456:W456),"0")</f>
        <v>0</v>
      </c>
      <c r="X458" s="52"/>
      <c r="Y458" s="70"/>
      <c r="Z458" s="70"/>
    </row>
    <row r="459" spans="1:53" ht="15" customHeight="1" x14ac:dyDescent="0.2">
      <c r="A459" s="107"/>
      <c r="B459" s="76"/>
      <c r="C459" s="76"/>
      <c r="D459" s="76"/>
      <c r="E459" s="76"/>
      <c r="F459" s="76"/>
      <c r="G459" s="76"/>
      <c r="H459" s="76"/>
      <c r="I459" s="76"/>
      <c r="J459" s="76"/>
      <c r="K459" s="76"/>
      <c r="L459" s="76"/>
      <c r="M459" s="104"/>
      <c r="N459" s="99" t="s">
        <v>628</v>
      </c>
      <c r="O459" s="100"/>
      <c r="P459" s="100"/>
      <c r="Q459" s="100"/>
      <c r="R459" s="100"/>
      <c r="S459" s="100"/>
      <c r="T459" s="101"/>
      <c r="U459" s="52" t="s">
        <v>65</v>
      </c>
      <c r="V459" s="69">
        <f>IFERROR(V24+V33+V37+V41+V45+V52+V60+V81+V91+V104+V117+V125+V132+V140+V152+V158+V163+V170+V190+V195+V214+V218+V225+V236+V242+V248+V254+V265+V270+V275+V281+V285+V289+V302+V308+V312+V316+V324+V329+V336+V340+V347+V363+V370+V374+V378+V384+V394+V398+V412+V417+V426+V431+V438+V443+V448+V453+V458,"0")</f>
        <v>300</v>
      </c>
      <c r="W459" s="69">
        <f>IFERROR(W24+W33+W37+W41+W45+W52+W60+W81+W91+W104+W117+W125+W132+W140+W152+W158+W163+W170+W190+W195+W214+W218+W225+W236+W242+W248+W254+W265+W270+W275+W281+W285+W289+W302+W308+W312+W316+W324+W329+W336+W340+W347+W363+W370+W374+W378+W384+W394+W398+W412+W417+W426+W431+W438+W443+W448+W453+W458,"0")</f>
        <v>304.8</v>
      </c>
      <c r="X459" s="52"/>
      <c r="Y459" s="70"/>
      <c r="Z459" s="70"/>
    </row>
    <row r="460" spans="1:53" x14ac:dyDescent="0.2">
      <c r="A460" s="76"/>
      <c r="B460" s="76"/>
      <c r="C460" s="76"/>
      <c r="D460" s="76"/>
      <c r="E460" s="76"/>
      <c r="F460" s="76"/>
      <c r="G460" s="76"/>
      <c r="H460" s="76"/>
      <c r="I460" s="76"/>
      <c r="J460" s="76"/>
      <c r="K460" s="76"/>
      <c r="L460" s="76"/>
      <c r="M460" s="104"/>
      <c r="N460" s="99" t="s">
        <v>629</v>
      </c>
      <c r="O460" s="100"/>
      <c r="P460" s="100"/>
      <c r="Q460" s="100"/>
      <c r="R460" s="100"/>
      <c r="S460" s="100"/>
      <c r="T460" s="101"/>
      <c r="U460" s="52" t="s">
        <v>65</v>
      </c>
      <c r="V460" s="69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250*I250/H250,"0")+IFERROR(V251*I251/H251,"0")+IFERROR(V252*I252/H252,"0")+IFERROR(V257*I257/H257,"0")+IFERROR(V258*I258/H258,"0")+IFERROR(V259*I259/H259,"0")+IFERROR(V260*I260/H260,"0")+IFERROR(V261*I261/H261,"0")+IFERROR(V262*I262/H262,"0")+IFERROR(V263*I263/H263,"0")+IFERROR(V267*I267/H267,"0")+IFERROR(V268*I268/H268,"0")+IFERROR(V273*I273/H273,"0")+IFERROR(V277*I277/H277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306*I306/H306,"0")+IFERROR(V310*I310/H310,"0")+IFERROR(V314*I314/H314,"0")+IFERROR(V319*I319/H319,"0")+IFERROR(V320*I320/H320,"0")+IFERROR(V321*I321/H321,"0")+IFERROR(V322*I322/H322,"0")+IFERROR(V326*I326/H326,"0")+IFERROR(V327*I327/H327,"0")+IFERROR(V331*I331/H331,"0")+IFERROR(V332*I332/H332,"0")+IFERROR(V333*I333/H333,"0")+IFERROR(V334*I334/H334,"0")+IFERROR(V338*I338/H338,"0")+IFERROR(V344*I344/H344,"0")+IFERROR(V345*I345/H345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365*I365/H365,"0")+IFERROR(V366*I366/H366,"0")+IFERROR(V367*I367/H367,"0")+IFERROR(V368*I368/H368,"0")+IFERROR(V372*I372/H372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446*I446/H446,"0")+IFERROR(V450*I450/H450,"0")+IFERROR(V451*I451/H451,"0")+IFERROR(V456*I456/H456,"0"),"0")</f>
        <v>320.82587412587412</v>
      </c>
      <c r="W460" s="69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238*I238/H238,"0")+IFERROR(W239*I239/H239,"0")+IFERROR(W240*I240/H240,"0")+IFERROR(W244*I244/H244,"0")+IFERROR(W245*I245/H245,"0")+IFERROR(W246*I246/H246,"0")+IFERROR(W250*I250/H250,"0")+IFERROR(W251*I251/H251,"0")+IFERROR(W252*I252/H252,"0")+IFERROR(W257*I257/H257,"0")+IFERROR(W258*I258/H258,"0")+IFERROR(W259*I259/H259,"0")+IFERROR(W260*I260/H260,"0")+IFERROR(W261*I261/H261,"0")+IFERROR(W262*I262/H262,"0")+IFERROR(W263*I263/H263,"0")+IFERROR(W267*I267/H267,"0")+IFERROR(W268*I268/H268,"0")+IFERROR(W273*I273/H273,"0")+IFERROR(W277*I277/H277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306*I306/H306,"0")+IFERROR(W310*I310/H310,"0")+IFERROR(W314*I314/H314,"0")+IFERROR(W319*I319/H319,"0")+IFERROR(W320*I320/H320,"0")+IFERROR(W321*I321/H321,"0")+IFERROR(W322*I322/H322,"0")+IFERROR(W326*I326/H326,"0")+IFERROR(W327*I327/H327,"0")+IFERROR(W331*I331/H331,"0")+IFERROR(W332*I332/H332,"0")+IFERROR(W333*I333/H333,"0")+IFERROR(W334*I334/H334,"0")+IFERROR(W338*I338/H338,"0")+IFERROR(W344*I344/H344,"0")+IFERROR(W345*I345/H345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365*I365/H365,"0")+IFERROR(W366*I366/H366,"0")+IFERROR(W367*I367/H367,"0")+IFERROR(W368*I368/H368,"0")+IFERROR(W372*I372/H372,"0")+IFERROR(W376*I376/H376,"0")+IFERROR(W381*I381/H381,"0")+IFERROR(W382*I382/H382,"0")+IFERROR(W386*I386/H386,"0")+IFERROR(W387*I387/H387,"0")+IFERROR(W388*I388/H388,"0")+IFERROR(W389*I389/H389,"0")+IFERROR(W390*I390/H390,"0")+IFERROR(W391*I391/H391,"0")+IFERROR(W392*I392/H392,"0")+IFERROR(W396*I396/H396,"0")+IFERROR(W402*I402/H402,"0")+IFERROR(W403*I403/H403,"0")+IFERROR(W404*I404/H404,"0")+IFERROR(W405*I405/H405,"0")+IFERROR(W406*I406/H406,"0")+IFERROR(W407*I407/H407,"0")+IFERROR(W408*I408/H408,"0")+IFERROR(W409*I409/H409,"0")+IFERROR(W410*I410/H410,"0")+IFERROR(W414*I414/H414,"0")+IFERROR(W415*I415/H415,"0")+IFERROR(W419*I419/H419,"0")+IFERROR(W420*I420/H420,"0")+IFERROR(W421*I421/H421,"0")+IFERROR(W422*I422/H422,"0")+IFERROR(W423*I423/H423,"0")+IFERROR(W424*I424/H424,"0")+IFERROR(W428*I428/H428,"0")+IFERROR(W429*I429/H429,"0")+IFERROR(W435*I435/H435,"0")+IFERROR(W436*I436/H436,"0")+IFERROR(W440*I440/H440,"0")+IFERROR(W441*I441/H441,"0")+IFERROR(W445*I445/H445,"0")+IFERROR(W446*I446/H446,"0")+IFERROR(W450*I450/H450,"0")+IFERROR(W451*I451/H451,"0")+IFERROR(W456*I456/H456,"0"),"0")</f>
        <v>325.96800000000002</v>
      </c>
      <c r="X460" s="52"/>
      <c r="Y460" s="70"/>
      <c r="Z460" s="70"/>
    </row>
    <row r="461" spans="1:53" x14ac:dyDescent="0.2">
      <c r="A461" s="76"/>
      <c r="B461" s="76"/>
      <c r="C461" s="76"/>
      <c r="D461" s="76"/>
      <c r="E461" s="76"/>
      <c r="F461" s="76"/>
      <c r="G461" s="76"/>
      <c r="H461" s="76"/>
      <c r="I461" s="76"/>
      <c r="J461" s="76"/>
      <c r="K461" s="76"/>
      <c r="L461" s="76"/>
      <c r="M461" s="104"/>
      <c r="N461" s="99" t="s">
        <v>630</v>
      </c>
      <c r="O461" s="100"/>
      <c r="P461" s="100"/>
      <c r="Q461" s="100"/>
      <c r="R461" s="100"/>
      <c r="S461" s="100"/>
      <c r="T461" s="101"/>
      <c r="U461" s="52" t="s">
        <v>631</v>
      </c>
      <c r="V461" s="53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234*(V227:V234/H227:H234)),"0")+IFERROR(SUMPRODUCT(1/J238:J240*(V238:V240/H238:H240)),"0")+IFERROR(SUMPRODUCT(1/J244:J246*(V244:V246/H244:H246)),"0")+IFERROR(SUMPRODUCT(1/J250:J252*(V250:V252/H250:H252)),"0")+IFERROR(SUMPRODUCT(1/J257:J263*(V257:V263/H257:H263)),"0")+IFERROR(SUMPRODUCT(1/J267:J268*(V267:V268/H267:H268)),"0")+IFERROR(SUMPRODUCT(1/J273:J273*(V273:V273/H273:H273)),"0")+IFERROR(SUMPRODUCT(1/J277:J279*(V277:V279/H277:H279)),"0")+IFERROR(SUMPRODUCT(1/J283:J283*(V283:V283/H283:H283)),"0")+IFERROR(SUMPRODUCT(1/J287:J287*(V287:V287/H287:H287)),"0")+IFERROR(SUMPRODUCT(1/J293:J300*(V293:V300/H293:H300)),"0")+IFERROR(SUMPRODUCT(1/J304:J306*(V304:V306/H304:H306)),"0")+IFERROR(SUMPRODUCT(1/J310:J310*(V310:V310/H310:H310)),"0")+IFERROR(SUMPRODUCT(1/J314:J314*(V314:V314/H314:H314)),"0")+IFERROR(SUMPRODUCT(1/J319:J322*(V319:V322/H319:H322)),"0")+IFERROR(SUMPRODUCT(1/J326:J327*(V326:V327/H326:H327)),"0")+IFERROR(SUMPRODUCT(1/J331:J334*(V331:V334/H331:H334)),"0")+IFERROR(SUMPRODUCT(1/J338:J338*(V338:V338/H338:H338)),"0")+IFERROR(SUMPRODUCT(1/J344:J345*(V344:V345/H344:H345)),"0")+IFERROR(SUMPRODUCT(1/J349:J361*(V349:V361/H349:H361)),"0")+IFERROR(SUMPRODUCT(1/J365:J368*(V365:V368/H365:H368)),"0")+IFERROR(SUMPRODUCT(1/J372:J372*(V372:V372/H372:H372)),"0")+IFERROR(SUMPRODUCT(1/J376:J376*(V376:V376/H376:H376)),"0")+IFERROR(SUMPRODUCT(1/J381:J382*(V381:V382/H381:H382)),"0")+IFERROR(SUMPRODUCT(1/J386:J392*(V386:V392/H386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446*(V445:V446/H445:H446)),"0")+IFERROR(SUMPRODUCT(1/J450:J451*(V450:V451/H450:H451)),"0")+IFERROR(SUMPRODUCT(1/J456:J456*(V456:V456/H456:H456)),"0"),0)</f>
        <v>1</v>
      </c>
      <c r="W461" s="53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234*(W227:W234/H227:H234)),"0")+IFERROR(SUMPRODUCT(1/J238:J240*(W238:W240/H238:H240)),"0")+IFERROR(SUMPRODUCT(1/J244:J246*(W244:W246/H244:H246)),"0")+IFERROR(SUMPRODUCT(1/J250:J252*(W250:W252/H250:H252)),"0")+IFERROR(SUMPRODUCT(1/J257:J263*(W257:W263/H257:H263)),"0")+IFERROR(SUMPRODUCT(1/J267:J268*(W267:W268/H267:H268)),"0")+IFERROR(SUMPRODUCT(1/J273:J273*(W273:W273/H273:H273)),"0")+IFERROR(SUMPRODUCT(1/J277:J279*(W277:W279/H277:H279)),"0")+IFERROR(SUMPRODUCT(1/J283:J283*(W283:W283/H283:H283)),"0")+IFERROR(SUMPRODUCT(1/J287:J287*(W287:W287/H287:H287)),"0")+IFERROR(SUMPRODUCT(1/J293:J300*(W293:W300/H293:H300)),"0")+IFERROR(SUMPRODUCT(1/J304:J306*(W304:W306/H304:H306)),"0")+IFERROR(SUMPRODUCT(1/J310:J310*(W310:W310/H310:H310)),"0")+IFERROR(SUMPRODUCT(1/J314:J314*(W314:W314/H314:H314)),"0")+IFERROR(SUMPRODUCT(1/J319:J322*(W319:W322/H319:H322)),"0")+IFERROR(SUMPRODUCT(1/J326:J327*(W326:W327/H326:H327)),"0")+IFERROR(SUMPRODUCT(1/J331:J334*(W331:W334/H331:H334)),"0")+IFERROR(SUMPRODUCT(1/J338:J338*(W338:W338/H338:H338)),"0")+IFERROR(SUMPRODUCT(1/J344:J345*(W344:W345/H344:H345)),"0")+IFERROR(SUMPRODUCT(1/J349:J361*(W349:W361/H349:H361)),"0")+IFERROR(SUMPRODUCT(1/J365:J368*(W365:W368/H365:H368)),"0")+IFERROR(SUMPRODUCT(1/J372:J372*(W372:W372/H372:H372)),"0")+IFERROR(SUMPRODUCT(1/J376:J376*(W376:W376/H376:H376)),"0")+IFERROR(SUMPRODUCT(1/J381:J382*(W381:W382/H381:H382)),"0")+IFERROR(SUMPRODUCT(1/J386:J392*(W386:W392/H386:H392)),"0")+IFERROR(SUMPRODUCT(1/J396:J396*(W396:W396/H396:H396)),"0")+IFERROR(SUMPRODUCT(1/J402:J410*(W402:W410/H402:H410)),"0")+IFERROR(SUMPRODUCT(1/J414:J415*(W414:W415/H414:H415)),"0")+IFERROR(SUMPRODUCT(1/J419:J424*(W419:W424/H419:H424)),"0")+IFERROR(SUMPRODUCT(1/J428:J429*(W428:W429/H428:H429)),"0")+IFERROR(SUMPRODUCT(1/J435:J436*(W435:W436/H435:H436)),"0")+IFERROR(SUMPRODUCT(1/J440:J441*(W440:W441/H440:H441)),"0")+IFERROR(SUMPRODUCT(1/J445:J446*(W445:W446/H445:H446)),"0")+IFERROR(SUMPRODUCT(1/J450:J451*(W450:W451/H450:H451)),"0")+IFERROR(SUMPRODUCT(1/J456:J456*(W456:W456/H456:H456)),"0"),0)</f>
        <v>1</v>
      </c>
      <c r="X461" s="52"/>
      <c r="Y461" s="70"/>
      <c r="Z461" s="70"/>
    </row>
    <row r="462" spans="1:53" x14ac:dyDescent="0.2">
      <c r="A462" s="76"/>
      <c r="B462" s="76"/>
      <c r="C462" s="76"/>
      <c r="D462" s="76"/>
      <c r="E462" s="76"/>
      <c r="F462" s="76"/>
      <c r="G462" s="76"/>
      <c r="H462" s="76"/>
      <c r="I462" s="76"/>
      <c r="J462" s="76"/>
      <c r="K462" s="76"/>
      <c r="L462" s="76"/>
      <c r="M462" s="104"/>
      <c r="N462" s="99" t="s">
        <v>632</v>
      </c>
      <c r="O462" s="100"/>
      <c r="P462" s="100"/>
      <c r="Q462" s="100"/>
      <c r="R462" s="100"/>
      <c r="S462" s="100"/>
      <c r="T462" s="101"/>
      <c r="U462" s="52" t="s">
        <v>65</v>
      </c>
      <c r="V462" s="69">
        <f>GrossWeightTotal+PalletQtyTotal*25</f>
        <v>345.82587412587412</v>
      </c>
      <c r="W462" s="69">
        <f>GrossWeightTotalR+PalletQtyTotalR*25</f>
        <v>350.96800000000002</v>
      </c>
      <c r="X462" s="52"/>
      <c r="Y462" s="70"/>
      <c r="Z462" s="70"/>
    </row>
    <row r="463" spans="1:53" x14ac:dyDescent="0.2">
      <c r="A463" s="76"/>
      <c r="B463" s="76"/>
      <c r="C463" s="76"/>
      <c r="D463" s="76"/>
      <c r="E463" s="76"/>
      <c r="F463" s="76"/>
      <c r="G463" s="76"/>
      <c r="H463" s="76"/>
      <c r="I463" s="76"/>
      <c r="J463" s="76"/>
      <c r="K463" s="76"/>
      <c r="L463" s="76"/>
      <c r="M463" s="104"/>
      <c r="N463" s="99" t="s">
        <v>633</v>
      </c>
      <c r="O463" s="100"/>
      <c r="P463" s="100"/>
      <c r="Q463" s="100"/>
      <c r="R463" s="100"/>
      <c r="S463" s="100"/>
      <c r="T463" s="101"/>
      <c r="U463" s="52" t="s">
        <v>631</v>
      </c>
      <c r="V463" s="69">
        <f>IFERROR(V23+V32+V36+V40+V44+V51+V59+V80+V90+V103+V116+V124+V131+V139+V151+V157+V162+V169+V189+V194+V213+V217+V224+V235+V241+V247+V253+V264+V269+V274+V280+V284+V288+V301+V307+V311+V315+V323+V328+V335+V339+V346+V362+V369+V373+V377+V383+V393+V397+V411+V416+V425+V430+V437+V442+V447+V452+V457,"0")</f>
        <v>51.311188811188813</v>
      </c>
      <c r="W463" s="69">
        <f>IFERROR(W23+W32+W36+W40+W44+W51+W59+W80+W90+W103+W116+W124+W131+W139+W151+W157+W162+W169+W189+W194+W213+W217+W224+W235+W241+W247+W253+W264+W269+W274+W280+W284+W288+W301+W307+W311+W315+W323+W328+W335+W339+W346+W362+W369+W373+W377+W383+W393+W397+W411+W416+W425+W430+W437+W442+W447+W452+W457,"0")</f>
        <v>52</v>
      </c>
      <c r="X463" s="52"/>
      <c r="Y463" s="70"/>
      <c r="Z463" s="70"/>
    </row>
    <row r="464" spans="1:53" ht="14.25" customHeight="1" x14ac:dyDescent="0.2">
      <c r="A464" s="76"/>
      <c r="B464" s="76"/>
      <c r="C464" s="76"/>
      <c r="D464" s="76"/>
      <c r="E464" s="76"/>
      <c r="F464" s="76"/>
      <c r="G464" s="76"/>
      <c r="H464" s="76"/>
      <c r="I464" s="76"/>
      <c r="J464" s="76"/>
      <c r="K464" s="76"/>
      <c r="L464" s="76"/>
      <c r="M464" s="104"/>
      <c r="N464" s="99" t="s">
        <v>634</v>
      </c>
      <c r="O464" s="100"/>
      <c r="P464" s="100"/>
      <c r="Q464" s="100"/>
      <c r="R464" s="100"/>
      <c r="S464" s="100"/>
      <c r="T464" s="101"/>
      <c r="U464" s="54" t="s">
        <v>635</v>
      </c>
      <c r="V464" s="52"/>
      <c r="W464" s="52"/>
      <c r="X464" s="52">
        <f>IFERROR(X23+X32+X36+X40+X44+X51+X59+X80+X90+X103+X116+X124+X131+X139+X151+X157+X162+X169+X189+X194+X213+X217+X224+X235+X241+X247+X253+X264+X269+X274+X280+X284+X288+X301+X307+X311+X315+X323+X328+X335+X339+X346+X362+X369+X373+X377+X383+X393+X397+X411+X416+X425+X430+X437+X442+X447+X452+X457,"0")</f>
        <v>0.73940000000000006</v>
      </c>
      <c r="Y464" s="70"/>
      <c r="Z464" s="70"/>
    </row>
    <row r="466" spans="1:29" ht="27" customHeight="1" x14ac:dyDescent="0.2">
      <c r="A466" s="55" t="s">
        <v>636</v>
      </c>
      <c r="B466" s="59" t="s">
        <v>59</v>
      </c>
      <c r="C466" s="85" t="s">
        <v>93</v>
      </c>
      <c r="D466" s="156"/>
      <c r="E466" s="156"/>
      <c r="F466" s="102"/>
      <c r="G466" s="85" t="s">
        <v>238</v>
      </c>
      <c r="H466" s="156"/>
      <c r="I466" s="156"/>
      <c r="J466" s="156"/>
      <c r="K466" s="156"/>
      <c r="L466" s="156"/>
      <c r="M466" s="102"/>
      <c r="N466" s="85" t="s">
        <v>436</v>
      </c>
      <c r="O466" s="102"/>
      <c r="P466" s="85" t="s">
        <v>487</v>
      </c>
      <c r="Q466" s="102"/>
      <c r="R466" s="59" t="s">
        <v>557</v>
      </c>
      <c r="S466" s="85" t="s">
        <v>599</v>
      </c>
      <c r="T466" s="102"/>
      <c r="U466" s="1"/>
      <c r="Z466" s="57"/>
      <c r="AC466" s="1"/>
    </row>
    <row r="467" spans="1:29" s="1" customFormat="1" ht="14.25" customHeight="1" x14ac:dyDescent="0.2">
      <c r="A467" s="130" t="s">
        <v>637</v>
      </c>
      <c r="B467" s="85" t="s">
        <v>59</v>
      </c>
      <c r="C467" s="85" t="s">
        <v>94</v>
      </c>
      <c r="D467" s="85" t="s">
        <v>102</v>
      </c>
      <c r="E467" s="85" t="s">
        <v>93</v>
      </c>
      <c r="F467" s="85" t="s">
        <v>231</v>
      </c>
      <c r="G467" s="85" t="s">
        <v>239</v>
      </c>
      <c r="H467" s="85" t="s">
        <v>246</v>
      </c>
      <c r="I467" s="85" t="s">
        <v>263</v>
      </c>
      <c r="J467" s="85" t="s">
        <v>323</v>
      </c>
      <c r="L467" s="85" t="s">
        <v>404</v>
      </c>
      <c r="M467" s="85" t="s">
        <v>422</v>
      </c>
      <c r="N467" s="85" t="s">
        <v>437</v>
      </c>
      <c r="O467" s="85" t="s">
        <v>464</v>
      </c>
      <c r="P467" s="85" t="s">
        <v>488</v>
      </c>
      <c r="Q467" s="85" t="s">
        <v>535</v>
      </c>
      <c r="R467" s="85" t="s">
        <v>557</v>
      </c>
      <c r="S467" s="85" t="s">
        <v>600</v>
      </c>
      <c r="T467" s="85" t="s">
        <v>625</v>
      </c>
      <c r="Z467" s="57"/>
      <c r="AA467" s="57"/>
      <c r="AB467" s="57"/>
    </row>
    <row r="468" spans="1:29" s="1" customFormat="1" x14ac:dyDescent="0.2">
      <c r="A468" s="131"/>
      <c r="B468" s="86"/>
      <c r="C468" s="86"/>
      <c r="D468" s="86"/>
      <c r="E468" s="86"/>
      <c r="F468" s="86"/>
      <c r="G468" s="86"/>
      <c r="H468" s="86"/>
      <c r="I468" s="86"/>
      <c r="J468" s="86"/>
      <c r="L468" s="86"/>
      <c r="M468" s="86"/>
      <c r="N468" s="86"/>
      <c r="O468" s="86"/>
      <c r="P468" s="86"/>
      <c r="Q468" s="86"/>
      <c r="R468" s="86"/>
      <c r="S468" s="86"/>
      <c r="T468" s="86"/>
      <c r="Z468" s="57"/>
      <c r="AA468" s="57"/>
      <c r="AB468" s="57"/>
    </row>
    <row r="469" spans="1:29" s="1" customFormat="1" ht="16.5" customHeight="1" x14ac:dyDescent="0.2">
      <c r="A469" s="55" t="s">
        <v>638</v>
      </c>
      <c r="B469" s="56">
        <f>IFERROR(W22*1,"0")+IFERROR(W26*1,"0")+IFERROR(W27*1,"0")+IFERROR(W28*1,"0")+IFERROR(W29*1,"0")+IFERROR(W30*1,"0")+IFERROR(W31*1,"0")+IFERROR(W35*1,"0")+IFERROR(W39*1,"0")+IFERROR(W43*1,"0")</f>
        <v>0</v>
      </c>
      <c r="C469" s="56">
        <f>IFERROR(W49*1,"0")+IFERROR(W50*1,"0")</f>
        <v>0</v>
      </c>
      <c r="D469" s="56">
        <f>IFERROR(W55*1,"0")+IFERROR(W56*1,"0")+IFERROR(W57*1,"0")+IFERROR(W58*1,"0")</f>
        <v>0</v>
      </c>
      <c r="E469" s="5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0</v>
      </c>
      <c r="F469" s="56">
        <f>IFERROR(W128*1,"0")+IFERROR(W129*1,"0")+IFERROR(W130*1,"0")</f>
        <v>0</v>
      </c>
      <c r="G469" s="56">
        <f>IFERROR(W136*1,"0")+IFERROR(W137*1,"0")+IFERROR(W138*1,"0")</f>
        <v>0</v>
      </c>
      <c r="H469" s="56">
        <f>IFERROR(W143*1,"0")+IFERROR(W144*1,"0")+IFERROR(W145*1,"0")+IFERROR(W146*1,"0")+IFERROR(W147*1,"0")+IFERROR(W148*1,"0")+IFERROR(W149*1,"0")+IFERROR(W150*1,"0")</f>
        <v>0</v>
      </c>
      <c r="I469" s="5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0</v>
      </c>
      <c r="J469" s="56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234*1,"0")+IFERROR(W238*1,"0")+IFERROR(W239*1,"0")+IFERROR(W240*1,"0")+IFERROR(W244*1,"0")+IFERROR(W245*1,"0")+IFERROR(W246*1,"0")+IFERROR(W250*1,"0")+IFERROR(W251*1,"0")+IFERROR(W252*1,"0")</f>
        <v>0</v>
      </c>
      <c r="L469" s="56">
        <f>IFERROR(W257*1,"0")+IFERROR(W258*1,"0")+IFERROR(W259*1,"0")+IFERROR(W260*1,"0")+IFERROR(W261*1,"0")+IFERROR(W262*1,"0")+IFERROR(W263*1,"0")+IFERROR(W267*1,"0")+IFERROR(W268*1,"0")</f>
        <v>0</v>
      </c>
      <c r="M469" s="56">
        <f>IFERROR(W273*1,"0")+IFERROR(W277*1,"0")+IFERROR(W278*1,"0")+IFERROR(W279*1,"0")+IFERROR(W283*1,"0")+IFERROR(W287*1,"0")</f>
        <v>0</v>
      </c>
      <c r="N469" s="56">
        <f>IFERROR(W293*1,"0")+IFERROR(W294*1,"0")+IFERROR(W295*1,"0")+IFERROR(W296*1,"0")+IFERROR(W297*1,"0")+IFERROR(W298*1,"0")+IFERROR(W299*1,"0")+IFERROR(W300*1,"0")+IFERROR(W304*1,"0")+IFERROR(W305*1,"0")+IFERROR(W306*1,"0")+IFERROR(W310*1,"0")+IFERROR(W314*1,"0")</f>
        <v>93.6</v>
      </c>
      <c r="O469" s="56">
        <f>IFERROR(W319*1,"0")+IFERROR(W320*1,"0")+IFERROR(W321*1,"0")+IFERROR(W322*1,"0")+IFERROR(W326*1,"0")+IFERROR(W327*1,"0")+IFERROR(W331*1,"0")+IFERROR(W332*1,"0")+IFERROR(W333*1,"0")+IFERROR(W334*1,"0")+IFERROR(W338*1,"0")</f>
        <v>0</v>
      </c>
      <c r="P469" s="56">
        <f>IFERROR(W344*1,"0")+IFERROR(W345*1,"0")+IFERROR(W349*1,"0")+IFERROR(W350*1,"0")+IFERROR(W351*1,"0")+IFERROR(W352*1,"0")+IFERROR(W353*1,"0")+IFERROR(W354*1,"0")+IFERROR(W355*1,"0")+IFERROR(W356*1,"0")+IFERROR(W357*1,"0")+IFERROR(W358*1,"0")+IFERROR(W359*1,"0")+IFERROR(W360*1,"0")+IFERROR(W361*1,"0")+IFERROR(W365*1,"0")+IFERROR(W366*1,"0")+IFERROR(W367*1,"0")+IFERROR(W368*1,"0")+IFERROR(W372*1,"0")+IFERROR(W376*1,"0")</f>
        <v>0</v>
      </c>
      <c r="Q469" s="56">
        <f>IFERROR(W381*1,"0")+IFERROR(W382*1,"0")+IFERROR(W386*1,"0")+IFERROR(W387*1,"0")+IFERROR(W388*1,"0")+IFERROR(W389*1,"0")+IFERROR(W390*1,"0")+IFERROR(W391*1,"0")+IFERROR(W392*1,"0")+IFERROR(W396*1,"0")</f>
        <v>0</v>
      </c>
      <c r="R469" s="56">
        <f>IFERROR(W402*1,"0")+IFERROR(W403*1,"0")+IFERROR(W404*1,"0")+IFERROR(W405*1,"0")+IFERROR(W406*1,"0")+IFERROR(W407*1,"0")+IFERROR(W408*1,"0")+IFERROR(W409*1,"0")+IFERROR(W410*1,"0")+IFERROR(W414*1,"0")+IFERROR(W415*1,"0")+IFERROR(W419*1,"0")+IFERROR(W420*1,"0")+IFERROR(W421*1,"0")+IFERROR(W422*1,"0")+IFERROR(W423*1,"0")+IFERROR(W424*1,"0")+IFERROR(W428*1,"0")+IFERROR(W429*1,"0")</f>
        <v>211.20000000000002</v>
      </c>
      <c r="S469" s="56">
        <f>IFERROR(W435*1,"0")+IFERROR(W436*1,"0")+IFERROR(W440*1,"0")+IFERROR(W441*1,"0")+IFERROR(W445*1,"0")+IFERROR(W446*1,"0")+IFERROR(W450*1,"0")+IFERROR(W451*1,"0")</f>
        <v>0</v>
      </c>
      <c r="T469" s="56">
        <f>IFERROR(W456*1,"0")</f>
        <v>0</v>
      </c>
      <c r="Z469" s="57"/>
      <c r="AA469" s="57"/>
      <c r="AB469" s="57"/>
    </row>
  </sheetData>
  <sheetProtection algorithmName="SHA-512" hashValue="qIcmQCjUMRdp6HahZQNLdFj3hU0GuciQFg288gR2a7As+q5uhaKYqI/AbSfKQI/yQ9Xe+QYdp8KbL7d0nkqq6A==" saltValue="+3u2sfh1w7vHJcj5YEKXQw==" spinCount="100000" sheet="1" objects="1" scenarios="1" sort="0" autoFilter="0" pivotTables="0"/>
  <autoFilter ref="B18:X464"/>
  <mergeCells count="835">
    <mergeCell ref="P1:R1"/>
    <mergeCell ref="N338:R338"/>
    <mergeCell ref="D17:E18"/>
    <mergeCell ref="D173:E173"/>
    <mergeCell ref="D344:E344"/>
    <mergeCell ref="V17:V18"/>
    <mergeCell ref="X17:X18"/>
    <mergeCell ref="D123:E123"/>
    <mergeCell ref="D421:E421"/>
    <mergeCell ref="A325:X325"/>
    <mergeCell ref="A59:M60"/>
    <mergeCell ref="N265:T265"/>
    <mergeCell ref="D408:E408"/>
    <mergeCell ref="Y17:Y18"/>
    <mergeCell ref="A272:X272"/>
    <mergeCell ref="D57:E57"/>
    <mergeCell ref="A8:C8"/>
    <mergeCell ref="N163:T163"/>
    <mergeCell ref="D331:E331"/>
    <mergeCell ref="D355:E355"/>
    <mergeCell ref="D293:E293"/>
    <mergeCell ref="D97:E97"/>
    <mergeCell ref="A217:M218"/>
    <mergeCell ref="N180:R180"/>
    <mergeCell ref="D268:E268"/>
    <mergeCell ref="A10:C10"/>
    <mergeCell ref="A269:M270"/>
    <mergeCell ref="N140:T140"/>
    <mergeCell ref="N311:T311"/>
    <mergeCell ref="N182:R182"/>
    <mergeCell ref="D184:E184"/>
    <mergeCell ref="N84:R84"/>
    <mergeCell ref="N169:T169"/>
    <mergeCell ref="D121:E121"/>
    <mergeCell ref="N320:R320"/>
    <mergeCell ref="D192:E192"/>
    <mergeCell ref="J9:L9"/>
    <mergeCell ref="R5:S5"/>
    <mergeCell ref="N27:R27"/>
    <mergeCell ref="N83:R83"/>
    <mergeCell ref="A362:M363"/>
    <mergeCell ref="N390:R390"/>
    <mergeCell ref="N258:R258"/>
    <mergeCell ref="D262:E262"/>
    <mergeCell ref="N285:T285"/>
    <mergeCell ref="N85:R85"/>
    <mergeCell ref="A315:M316"/>
    <mergeCell ref="N156:R156"/>
    <mergeCell ref="N327:R327"/>
    <mergeCell ref="N389:R389"/>
    <mergeCell ref="A379:X379"/>
    <mergeCell ref="D239:E239"/>
    <mergeCell ref="D95:E95"/>
    <mergeCell ref="S17:T17"/>
    <mergeCell ref="N316:T316"/>
    <mergeCell ref="A346:M347"/>
    <mergeCell ref="N374:T374"/>
    <mergeCell ref="A377:M378"/>
    <mergeCell ref="D407:E407"/>
    <mergeCell ref="N242:T242"/>
    <mergeCell ref="C467:C468"/>
    <mergeCell ref="A13:L13"/>
    <mergeCell ref="A19:X19"/>
    <mergeCell ref="N81:T81"/>
    <mergeCell ref="D102:E102"/>
    <mergeCell ref="N88:R88"/>
    <mergeCell ref="N152:T152"/>
    <mergeCell ref="N259:R259"/>
    <mergeCell ref="A280:M281"/>
    <mergeCell ref="A15:L15"/>
    <mergeCell ref="N23:T23"/>
    <mergeCell ref="A48:X48"/>
    <mergeCell ref="N194:T194"/>
    <mergeCell ref="N261:R261"/>
    <mergeCell ref="N388:R388"/>
    <mergeCell ref="N452:T452"/>
    <mergeCell ref="A142:X142"/>
    <mergeCell ref="N397:T397"/>
    <mergeCell ref="E467:E468"/>
    <mergeCell ref="N467:N468"/>
    <mergeCell ref="C466:F466"/>
    <mergeCell ref="N458:T458"/>
    <mergeCell ref="A309:X309"/>
    <mergeCell ref="N384:T384"/>
    <mergeCell ref="N136:R136"/>
    <mergeCell ref="N185:R185"/>
    <mergeCell ref="D405:E405"/>
    <mergeCell ref="A126:X126"/>
    <mergeCell ref="D244:E244"/>
    <mergeCell ref="N299:R299"/>
    <mergeCell ref="A53:X53"/>
    <mergeCell ref="D450:E450"/>
    <mergeCell ref="F467:F468"/>
    <mergeCell ref="G466:M466"/>
    <mergeCell ref="D29:E29"/>
    <mergeCell ref="N344:R344"/>
    <mergeCell ref="N319:R319"/>
    <mergeCell ref="D216:E216"/>
    <mergeCell ref="N437:T437"/>
    <mergeCell ref="N431:T431"/>
    <mergeCell ref="D252:E252"/>
    <mergeCell ref="A40:M41"/>
    <mergeCell ref="N308:T308"/>
    <mergeCell ref="N204:R204"/>
    <mergeCell ref="N289:T289"/>
    <mergeCell ref="A430:M431"/>
    <mergeCell ref="N440:R440"/>
    <mergeCell ref="A51:M52"/>
    <mergeCell ref="N160:R160"/>
    <mergeCell ref="A164:X164"/>
    <mergeCell ref="N246:R246"/>
    <mergeCell ref="N233:R233"/>
    <mergeCell ref="N72:R72"/>
    <mergeCell ref="N143:R143"/>
    <mergeCell ref="D49:E49"/>
    <mergeCell ref="F5:G5"/>
    <mergeCell ref="A14:L14"/>
    <mergeCell ref="A425:M426"/>
    <mergeCell ref="A47:X47"/>
    <mergeCell ref="N251:R251"/>
    <mergeCell ref="N322:R322"/>
    <mergeCell ref="N411:T411"/>
    <mergeCell ref="D175:E175"/>
    <mergeCell ref="A247:M248"/>
    <mergeCell ref="T11:U11"/>
    <mergeCell ref="D221:E221"/>
    <mergeCell ref="A134:X134"/>
    <mergeCell ref="D392:E392"/>
    <mergeCell ref="A401:X401"/>
    <mergeCell ref="N57:R57"/>
    <mergeCell ref="N293:R293"/>
    <mergeCell ref="D165:E165"/>
    <mergeCell ref="N146:R146"/>
    <mergeCell ref="N373:T373"/>
    <mergeCell ref="D223:E223"/>
    <mergeCell ref="D279:E279"/>
    <mergeCell ref="N33:T33"/>
    <mergeCell ref="O5:P5"/>
    <mergeCell ref="F17:F18"/>
    <mergeCell ref="F10:G10"/>
    <mergeCell ref="D305:E305"/>
    <mergeCell ref="N227:R227"/>
    <mergeCell ref="N110:R110"/>
    <mergeCell ref="N420:R420"/>
    <mergeCell ref="D99:E99"/>
    <mergeCell ref="N447:T447"/>
    <mergeCell ref="N241:T241"/>
    <mergeCell ref="A12:L12"/>
    <mergeCell ref="D310:E310"/>
    <mergeCell ref="N80:T80"/>
    <mergeCell ref="D101:E101"/>
    <mergeCell ref="N209:R209"/>
    <mergeCell ref="N378:T378"/>
    <mergeCell ref="D76:E76"/>
    <mergeCell ref="N441:R441"/>
    <mergeCell ref="D120:E120"/>
    <mergeCell ref="N297:R297"/>
    <mergeCell ref="A369:M370"/>
    <mergeCell ref="N435:R435"/>
    <mergeCell ref="D107:E107"/>
    <mergeCell ref="D278:E278"/>
    <mergeCell ref="N213:T213"/>
    <mergeCell ref="D234:E234"/>
    <mergeCell ref="A235:M236"/>
    <mergeCell ref="N236:T236"/>
    <mergeCell ref="N230:R230"/>
    <mergeCell ref="A253:M254"/>
    <mergeCell ref="O8:P8"/>
    <mergeCell ref="N69:R69"/>
    <mergeCell ref="A274:M275"/>
    <mergeCell ref="S467:S468"/>
    <mergeCell ref="N367:R367"/>
    <mergeCell ref="D177:E177"/>
    <mergeCell ref="N354:R354"/>
    <mergeCell ref="D467:D468"/>
    <mergeCell ref="A328:M329"/>
    <mergeCell ref="N198:R198"/>
    <mergeCell ref="N296:R296"/>
    <mergeCell ref="N356:R356"/>
    <mergeCell ref="D35:E35"/>
    <mergeCell ref="D228:E228"/>
    <mergeCell ref="D333:E333"/>
    <mergeCell ref="A237:X237"/>
    <mergeCell ref="N383:T383"/>
    <mergeCell ref="D404:E404"/>
    <mergeCell ref="D10:E10"/>
    <mergeCell ref="N306:R306"/>
    <mergeCell ref="D6:L6"/>
    <mergeCell ref="N103:T103"/>
    <mergeCell ref="O13:P13"/>
    <mergeCell ref="N419:R419"/>
    <mergeCell ref="N339:T339"/>
    <mergeCell ref="N201:R201"/>
    <mergeCell ref="N250:R250"/>
    <mergeCell ref="N406:R406"/>
    <mergeCell ref="D389:E389"/>
    <mergeCell ref="N212:R212"/>
    <mergeCell ref="N283:R283"/>
    <mergeCell ref="D84:E84"/>
    <mergeCell ref="D22:E22"/>
    <mergeCell ref="D155:E155"/>
    <mergeCell ref="N203:R203"/>
    <mergeCell ref="D149:E149"/>
    <mergeCell ref="N277:R277"/>
    <mergeCell ref="D320:E320"/>
    <mergeCell ref="N239:R239"/>
    <mergeCell ref="N122:R122"/>
    <mergeCell ref="N217:T217"/>
    <mergeCell ref="N43:R43"/>
    <mergeCell ref="D86:E86"/>
    <mergeCell ref="D257:E257"/>
    <mergeCell ref="A9:C9"/>
    <mergeCell ref="S466:T466"/>
    <mergeCell ref="D202:E202"/>
    <mergeCell ref="D58:E58"/>
    <mergeCell ref="A116:M117"/>
    <mergeCell ref="N248:T248"/>
    <mergeCell ref="O12:P12"/>
    <mergeCell ref="D294:E294"/>
    <mergeCell ref="N52:T52"/>
    <mergeCell ref="D231:E231"/>
    <mergeCell ref="N312:T312"/>
    <mergeCell ref="D358:E358"/>
    <mergeCell ref="A416:M417"/>
    <mergeCell ref="N208:R208"/>
    <mergeCell ref="N116:T116"/>
    <mergeCell ref="N300:R300"/>
    <mergeCell ref="N183:R183"/>
    <mergeCell ref="N363:T363"/>
    <mergeCell ref="N107:R107"/>
    <mergeCell ref="N278:R278"/>
    <mergeCell ref="D150:E150"/>
    <mergeCell ref="A303:X303"/>
    <mergeCell ref="A159:X159"/>
    <mergeCell ref="D321:E321"/>
    <mergeCell ref="H10:L10"/>
    <mergeCell ref="N287:R287"/>
    <mergeCell ref="N414:R414"/>
    <mergeCell ref="A169:M170"/>
    <mergeCell ref="A46:X46"/>
    <mergeCell ref="N66:R66"/>
    <mergeCell ref="N188:R188"/>
    <mergeCell ref="A282:X282"/>
    <mergeCell ref="N284:T284"/>
    <mergeCell ref="N351:R351"/>
    <mergeCell ref="A105:X105"/>
    <mergeCell ref="A162:M163"/>
    <mergeCell ref="N130:R130"/>
    <mergeCell ref="N68:R68"/>
    <mergeCell ref="N295:R295"/>
    <mergeCell ref="D136:E136"/>
    <mergeCell ref="A313:X313"/>
    <mergeCell ref="N353:R353"/>
    <mergeCell ref="D200:E200"/>
    <mergeCell ref="A380:X380"/>
    <mergeCell ref="A371:X371"/>
    <mergeCell ref="A171:X171"/>
    <mergeCell ref="D227:E227"/>
    <mergeCell ref="A219:X219"/>
    <mergeCell ref="Q467:Q468"/>
    <mergeCell ref="N211:R211"/>
    <mergeCell ref="D83:E83"/>
    <mergeCell ref="A92:X92"/>
    <mergeCell ref="D143:E143"/>
    <mergeCell ref="D319:E319"/>
    <mergeCell ref="D441:E441"/>
    <mergeCell ref="N347:T347"/>
    <mergeCell ref="D368:E368"/>
    <mergeCell ref="N177:R177"/>
    <mergeCell ref="N412:T412"/>
    <mergeCell ref="D85:E85"/>
    <mergeCell ref="D207:E207"/>
    <mergeCell ref="N362:T362"/>
    <mergeCell ref="A343:X343"/>
    <mergeCell ref="N114:R114"/>
    <mergeCell ref="D299:E299"/>
    <mergeCell ref="N206:R206"/>
    <mergeCell ref="D222:E222"/>
    <mergeCell ref="A427:X427"/>
    <mergeCell ref="N426:T426"/>
    <mergeCell ref="D314:E314"/>
    <mergeCell ref="D436:E436"/>
    <mergeCell ref="D386:E386"/>
    <mergeCell ref="D428:E428"/>
    <mergeCell ref="N394:T394"/>
    <mergeCell ref="D415:E415"/>
    <mergeCell ref="Z17:Z18"/>
    <mergeCell ref="A301:M302"/>
    <mergeCell ref="N167:R167"/>
    <mergeCell ref="N336:T336"/>
    <mergeCell ref="A393:M394"/>
    <mergeCell ref="D446:E446"/>
    <mergeCell ref="N111:R111"/>
    <mergeCell ref="D367:E367"/>
    <mergeCell ref="A32:M33"/>
    <mergeCell ref="N125:T125"/>
    <mergeCell ref="D146:E146"/>
    <mergeCell ref="D212:E212"/>
    <mergeCell ref="N119:R119"/>
    <mergeCell ref="D304:E304"/>
    <mergeCell ref="N35:R35"/>
    <mergeCell ref="G17:G18"/>
    <mergeCell ref="A290:X290"/>
    <mergeCell ref="A395:X395"/>
    <mergeCell ref="M17:M18"/>
    <mergeCell ref="N67:R67"/>
    <mergeCell ref="N131:T131"/>
    <mergeCell ref="A291:X291"/>
    <mergeCell ref="N216:R216"/>
    <mergeCell ref="D420:E420"/>
    <mergeCell ref="N430:T430"/>
    <mergeCell ref="N59:T59"/>
    <mergeCell ref="D128:E128"/>
    <mergeCell ref="P467:P468"/>
    <mergeCell ref="N109:R109"/>
    <mergeCell ref="H1:O1"/>
    <mergeCell ref="D199:E199"/>
    <mergeCell ref="A330:X330"/>
    <mergeCell ref="R467:R468"/>
    <mergeCell ref="A243:X243"/>
    <mergeCell ref="D186:E186"/>
    <mergeCell ref="N270:T270"/>
    <mergeCell ref="O9:P9"/>
    <mergeCell ref="N345:R345"/>
    <mergeCell ref="N22:R22"/>
    <mergeCell ref="N193:R193"/>
    <mergeCell ref="D435:E435"/>
    <mergeCell ref="D65:E65"/>
    <mergeCell ref="N288:T288"/>
    <mergeCell ref="N463:T463"/>
    <mergeCell ref="N36:T36"/>
    <mergeCell ref="N457:T457"/>
    <mergeCell ref="N331:R331"/>
    <mergeCell ref="D203:E203"/>
    <mergeCell ref="N97:R97"/>
    <mergeCell ref="N268:R268"/>
    <mergeCell ref="D267:E267"/>
    <mergeCell ref="A385:X385"/>
    <mergeCell ref="N96:R96"/>
    <mergeCell ref="D359:E359"/>
    <mergeCell ref="A264:M265"/>
    <mergeCell ref="A434:X434"/>
    <mergeCell ref="N161:R161"/>
    <mergeCell ref="N332:R332"/>
    <mergeCell ref="D204:E204"/>
    <mergeCell ref="D198:E198"/>
    <mergeCell ref="D440:E440"/>
    <mergeCell ref="N104:T104"/>
    <mergeCell ref="N275:T275"/>
    <mergeCell ref="D296:E296"/>
    <mergeCell ref="N346:T346"/>
    <mergeCell ref="A449:X449"/>
    <mergeCell ref="N98:R98"/>
    <mergeCell ref="N396:R396"/>
    <mergeCell ref="D206:E206"/>
    <mergeCell ref="J467:J468"/>
    <mergeCell ref="N121:R121"/>
    <mergeCell ref="N315:T315"/>
    <mergeCell ref="N115:R115"/>
    <mergeCell ref="N382:R382"/>
    <mergeCell ref="N238:R238"/>
    <mergeCell ref="A139:M140"/>
    <mergeCell ref="N302:T302"/>
    <mergeCell ref="N79:R79"/>
    <mergeCell ref="N148:R148"/>
    <mergeCell ref="N179:R179"/>
    <mergeCell ref="N446:R446"/>
    <mergeCell ref="N240:R240"/>
    <mergeCell ref="D112:E112"/>
    <mergeCell ref="D283:E283"/>
    <mergeCell ref="N460:T460"/>
    <mergeCell ref="D193:E193"/>
    <mergeCell ref="N304:R304"/>
    <mergeCell ref="D176:E176"/>
    <mergeCell ref="N264:T264"/>
    <mergeCell ref="D114:E114"/>
    <mergeCell ref="N462:T462"/>
    <mergeCell ref="N170:T170"/>
    <mergeCell ref="A266:X266"/>
    <mergeCell ref="N26:R26"/>
    <mergeCell ref="D172:E172"/>
    <mergeCell ref="N40:T40"/>
    <mergeCell ref="A442:M443"/>
    <mergeCell ref="A118:X118"/>
    <mergeCell ref="N234:R234"/>
    <mergeCell ref="N405:R405"/>
    <mergeCell ref="N184:R184"/>
    <mergeCell ref="D7:L7"/>
    <mergeCell ref="N269:T269"/>
    <mergeCell ref="N340:T340"/>
    <mergeCell ref="D56:E56"/>
    <mergeCell ref="D64:E64"/>
    <mergeCell ref="N157:T157"/>
    <mergeCell ref="N328:T328"/>
    <mergeCell ref="D349:E349"/>
    <mergeCell ref="N108:R108"/>
    <mergeCell ref="A197:X197"/>
    <mergeCell ref="N95:R95"/>
    <mergeCell ref="N70:R70"/>
    <mergeCell ref="D138:E138"/>
    <mergeCell ref="H17:H18"/>
    <mergeCell ref="A42:X42"/>
    <mergeCell ref="D75:E75"/>
    <mergeCell ref="N451:R451"/>
    <mergeCell ref="D74:E74"/>
    <mergeCell ref="D130:E130"/>
    <mergeCell ref="A34:X34"/>
    <mergeCell ref="D68:E68"/>
    <mergeCell ref="D201:E201"/>
    <mergeCell ref="N202:R202"/>
    <mergeCell ref="N245:R245"/>
    <mergeCell ref="A276:X276"/>
    <mergeCell ref="D188:E188"/>
    <mergeCell ref="D372:E372"/>
    <mergeCell ref="N168:R168"/>
    <mergeCell ref="D424:E424"/>
    <mergeCell ref="N247:T247"/>
    <mergeCell ref="N89:R89"/>
    <mergeCell ref="N260:R260"/>
    <mergeCell ref="N274:T274"/>
    <mergeCell ref="D295:E295"/>
    <mergeCell ref="D178:E178"/>
    <mergeCell ref="N41:T41"/>
    <mergeCell ref="A215:X215"/>
    <mergeCell ref="D298:E298"/>
    <mergeCell ref="D181:E181"/>
    <mergeCell ref="D273:E273"/>
    <mergeCell ref="T5:U5"/>
    <mergeCell ref="D119:E119"/>
    <mergeCell ref="N174:R174"/>
    <mergeCell ref="N445:R445"/>
    <mergeCell ref="U17:U18"/>
    <mergeCell ref="D246:E246"/>
    <mergeCell ref="A255:X255"/>
    <mergeCell ref="N361:R361"/>
    <mergeCell ref="A364:X364"/>
    <mergeCell ref="N90:T90"/>
    <mergeCell ref="D111:E111"/>
    <mergeCell ref="D233:E233"/>
    <mergeCell ref="D338:E338"/>
    <mergeCell ref="D409:E409"/>
    <mergeCell ref="A413:X413"/>
    <mergeCell ref="D183:E183"/>
    <mergeCell ref="A335:M336"/>
    <mergeCell ref="A21:X21"/>
    <mergeCell ref="N232:R232"/>
    <mergeCell ref="D419:E419"/>
    <mergeCell ref="N254:T254"/>
    <mergeCell ref="T6:U9"/>
    <mergeCell ref="N77:R77"/>
    <mergeCell ref="D185:E185"/>
    <mergeCell ref="I467:I468"/>
    <mergeCell ref="D251:E251"/>
    <mergeCell ref="N99:R99"/>
    <mergeCell ref="N74:R74"/>
    <mergeCell ref="N145:R145"/>
    <mergeCell ref="N372:R372"/>
    <mergeCell ref="N310:R310"/>
    <mergeCell ref="D182:E182"/>
    <mergeCell ref="N101:R101"/>
    <mergeCell ref="D109:E109"/>
    <mergeCell ref="N324:T324"/>
    <mergeCell ref="D345:E345"/>
    <mergeCell ref="N138:R138"/>
    <mergeCell ref="N76:R76"/>
    <mergeCell ref="H467:H468"/>
    <mergeCell ref="N91:T91"/>
    <mergeCell ref="D277:E277"/>
    <mergeCell ref="N263:R263"/>
    <mergeCell ref="A213:M214"/>
    <mergeCell ref="A151:M152"/>
    <mergeCell ref="N200:R200"/>
    <mergeCell ref="N229:R229"/>
    <mergeCell ref="N387:R387"/>
    <mergeCell ref="D137:E137"/>
    <mergeCell ref="D27:E27"/>
    <mergeCell ref="N15:R16"/>
    <mergeCell ref="N450:R450"/>
    <mergeCell ref="D396:E396"/>
    <mergeCell ref="D456:E456"/>
    <mergeCell ref="D414:E414"/>
    <mergeCell ref="N464:T464"/>
    <mergeCell ref="D352:E352"/>
    <mergeCell ref="A342:X342"/>
    <mergeCell ref="D156:E156"/>
    <mergeCell ref="D327:E327"/>
    <mergeCell ref="N377:T377"/>
    <mergeCell ref="N37:T37"/>
    <mergeCell ref="A62:X62"/>
    <mergeCell ref="D106:E106"/>
    <mergeCell ref="D93:E93"/>
    <mergeCell ref="N370:T370"/>
    <mergeCell ref="D220:E220"/>
    <mergeCell ref="D391:E391"/>
    <mergeCell ref="A400:X400"/>
    <mergeCell ref="N235:T235"/>
    <mergeCell ref="N456:R456"/>
    <mergeCell ref="A44:M45"/>
    <mergeCell ref="A337:X337"/>
    <mergeCell ref="A5:C5"/>
    <mergeCell ref="N71:R71"/>
    <mergeCell ref="N58:R58"/>
    <mergeCell ref="D179:E179"/>
    <mergeCell ref="N294:R294"/>
    <mergeCell ref="D166:E166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A318:X318"/>
    <mergeCell ref="N358:R358"/>
    <mergeCell ref="D230:E230"/>
    <mergeCell ref="D168:E168"/>
    <mergeCell ref="A348:X348"/>
    <mergeCell ref="N137:R137"/>
    <mergeCell ref="D9:E9"/>
    <mergeCell ref="D180:E180"/>
    <mergeCell ref="F9:G9"/>
    <mergeCell ref="A6:C6"/>
    <mergeCell ref="D113:E113"/>
    <mergeCell ref="N422:R422"/>
    <mergeCell ref="N360:R360"/>
    <mergeCell ref="AD17:AD18"/>
    <mergeCell ref="D88:E88"/>
    <mergeCell ref="D26:E26"/>
    <mergeCell ref="D148:E148"/>
    <mergeCell ref="N132:T132"/>
    <mergeCell ref="N403:R403"/>
    <mergeCell ref="A399:X399"/>
    <mergeCell ref="N55:R55"/>
    <mergeCell ref="D115:E115"/>
    <mergeCell ref="D261:E261"/>
    <mergeCell ref="A25:X25"/>
    <mergeCell ref="A292:X292"/>
    <mergeCell ref="D388:E388"/>
    <mergeCell ref="A286:X286"/>
    <mergeCell ref="N158:T158"/>
    <mergeCell ref="N369:T369"/>
    <mergeCell ref="D390:E390"/>
    <mergeCell ref="N225:T225"/>
    <mergeCell ref="A411:M412"/>
    <mergeCell ref="A127:X127"/>
    <mergeCell ref="T12:U12"/>
    <mergeCell ref="N301:T301"/>
    <mergeCell ref="N51:T51"/>
    <mergeCell ref="D72:E72"/>
    <mergeCell ref="N368:R368"/>
    <mergeCell ref="N214:T214"/>
    <mergeCell ref="T467:T468"/>
    <mergeCell ref="D451:E451"/>
    <mergeCell ref="A23:M24"/>
    <mergeCell ref="N78:R78"/>
    <mergeCell ref="N149:R149"/>
    <mergeCell ref="N205:R205"/>
    <mergeCell ref="N314:R314"/>
    <mergeCell ref="A226:X226"/>
    <mergeCell ref="D260:E260"/>
    <mergeCell ref="D322:E322"/>
    <mergeCell ref="N376:R376"/>
    <mergeCell ref="A467:A468"/>
    <mergeCell ref="N424:R424"/>
    <mergeCell ref="N438:T438"/>
    <mergeCell ref="N425:T425"/>
    <mergeCell ref="N436:R436"/>
    <mergeCell ref="G467:G468"/>
    <mergeCell ref="N224:T224"/>
    <mergeCell ref="A455:X455"/>
    <mergeCell ref="D240:E240"/>
    <mergeCell ref="N417:T417"/>
    <mergeCell ref="D334:E334"/>
    <mergeCell ref="N65:R65"/>
    <mergeCell ref="N192:R192"/>
    <mergeCell ref="N428:R428"/>
    <mergeCell ref="N228:R228"/>
    <mergeCell ref="N17:R18"/>
    <mergeCell ref="D100:E100"/>
    <mergeCell ref="N355:R355"/>
    <mergeCell ref="N415:R415"/>
    <mergeCell ref="N129:R129"/>
    <mergeCell ref="N63:R63"/>
    <mergeCell ref="N305:R305"/>
    <mergeCell ref="N442:T442"/>
    <mergeCell ref="N365:R365"/>
    <mergeCell ref="N50:R50"/>
    <mergeCell ref="N221:R221"/>
    <mergeCell ref="D50:E50"/>
    <mergeCell ref="D31:E31"/>
    <mergeCell ref="A103:M104"/>
    <mergeCell ref="A317:X317"/>
    <mergeCell ref="N357:R357"/>
    <mergeCell ref="A454:X454"/>
    <mergeCell ref="D122:E122"/>
    <mergeCell ref="A311:M312"/>
    <mergeCell ref="N352:R352"/>
    <mergeCell ref="N416:T416"/>
    <mergeCell ref="D250:E250"/>
    <mergeCell ref="D211:E211"/>
    <mergeCell ref="D382:E382"/>
    <mergeCell ref="D1:F1"/>
    <mergeCell ref="N117:T117"/>
    <mergeCell ref="N210:R210"/>
    <mergeCell ref="J17:J18"/>
    <mergeCell ref="L17:L18"/>
    <mergeCell ref="O6:P6"/>
    <mergeCell ref="D229:E229"/>
    <mergeCell ref="A339:M340"/>
    <mergeCell ref="D77:E77"/>
    <mergeCell ref="N429:R429"/>
    <mergeCell ref="D108:E108"/>
    <mergeCell ref="N223:R223"/>
    <mergeCell ref="N350:R350"/>
    <mergeCell ref="N139:T139"/>
    <mergeCell ref="D160:E160"/>
    <mergeCell ref="N443:T443"/>
    <mergeCell ref="D8:L8"/>
    <mergeCell ref="N39:R39"/>
    <mergeCell ref="N166:R166"/>
    <mergeCell ref="D87:E87"/>
    <mergeCell ref="D209:E209"/>
    <mergeCell ref="D147:E147"/>
    <mergeCell ref="N402:R402"/>
    <mergeCell ref="D445:E445"/>
    <mergeCell ref="D245:E245"/>
    <mergeCell ref="I17:I18"/>
    <mergeCell ref="D306:E306"/>
    <mergeCell ref="O11:P11"/>
    <mergeCell ref="D167:E167"/>
    <mergeCell ref="A249:X249"/>
    <mergeCell ref="N189:T189"/>
    <mergeCell ref="D161:E161"/>
    <mergeCell ref="D232:E232"/>
    <mergeCell ref="D403:E403"/>
    <mergeCell ref="A191:X191"/>
    <mergeCell ref="N253:T253"/>
    <mergeCell ref="N86:R86"/>
    <mergeCell ref="D63:E63"/>
    <mergeCell ref="N150:R150"/>
    <mergeCell ref="D96:E96"/>
    <mergeCell ref="O467:O468"/>
    <mergeCell ref="N124:T124"/>
    <mergeCell ref="A154:X154"/>
    <mergeCell ref="D406:E406"/>
    <mergeCell ref="N45:T45"/>
    <mergeCell ref="A341:X341"/>
    <mergeCell ref="N281:T281"/>
    <mergeCell ref="B467:B468"/>
    <mergeCell ref="N280:T280"/>
    <mergeCell ref="N218:T218"/>
    <mergeCell ref="N176:R176"/>
    <mergeCell ref="N64:R64"/>
    <mergeCell ref="N120:R120"/>
    <mergeCell ref="D259:E259"/>
    <mergeCell ref="N349:R349"/>
    <mergeCell ref="D326:E326"/>
    <mergeCell ref="N128:R128"/>
    <mergeCell ref="A323:M324"/>
    <mergeCell ref="N220:R220"/>
    <mergeCell ref="D55:E55"/>
    <mergeCell ref="N407:R407"/>
    <mergeCell ref="N307:T307"/>
    <mergeCell ref="D353:E353"/>
    <mergeCell ref="D67:E67"/>
    <mergeCell ref="L467:L468"/>
    <mergeCell ref="D365:E365"/>
    <mergeCell ref="N2:U3"/>
    <mergeCell ref="N207:R207"/>
    <mergeCell ref="A437:M438"/>
    <mergeCell ref="A61:X61"/>
    <mergeCell ref="D79:E79"/>
    <mergeCell ref="BA17:BA18"/>
    <mergeCell ref="N334:R334"/>
    <mergeCell ref="D144:E144"/>
    <mergeCell ref="A459:M464"/>
    <mergeCell ref="A153:X153"/>
    <mergeCell ref="N113:R113"/>
    <mergeCell ref="N173:R173"/>
    <mergeCell ref="D429:E429"/>
    <mergeCell ref="N100:R100"/>
    <mergeCell ref="A54:X54"/>
    <mergeCell ref="N94:R94"/>
    <mergeCell ref="N60:T60"/>
    <mergeCell ref="D208:E208"/>
    <mergeCell ref="AA17:AC18"/>
    <mergeCell ref="D366:E366"/>
    <mergeCell ref="D300:E300"/>
    <mergeCell ref="A375:X375"/>
    <mergeCell ref="W17:W18"/>
    <mergeCell ref="N459:T459"/>
    <mergeCell ref="N466:O466"/>
    <mergeCell ref="P466:Q466"/>
    <mergeCell ref="N178:R178"/>
    <mergeCell ref="D110:E110"/>
    <mergeCell ref="A373:M374"/>
    <mergeCell ref="N461:T461"/>
    <mergeCell ref="N49:R49"/>
    <mergeCell ref="D129:E129"/>
    <mergeCell ref="N359:R359"/>
    <mergeCell ref="D28:E28"/>
    <mergeCell ref="D30:E30"/>
    <mergeCell ref="N222:R222"/>
    <mergeCell ref="A452:M453"/>
    <mergeCell ref="D94:E94"/>
    <mergeCell ref="D361:E361"/>
    <mergeCell ref="D69:E69"/>
    <mergeCell ref="A271:X271"/>
    <mergeCell ref="N162:T162"/>
    <mergeCell ref="D354:E354"/>
    <mergeCell ref="A241:M242"/>
    <mergeCell ref="N398:T398"/>
    <mergeCell ref="A444:X444"/>
    <mergeCell ref="A457:M458"/>
    <mergeCell ref="A80:M81"/>
    <mergeCell ref="D360:E360"/>
    <mergeCell ref="D287:E287"/>
    <mergeCell ref="N393:T393"/>
    <mergeCell ref="D66:E66"/>
    <mergeCell ref="A141:X141"/>
    <mergeCell ref="N381:R381"/>
    <mergeCell ref="N181:R181"/>
    <mergeCell ref="A135:X135"/>
    <mergeCell ref="A439:X439"/>
    <mergeCell ref="A433:X433"/>
    <mergeCell ref="D351:E351"/>
    <mergeCell ref="N147:R147"/>
    <mergeCell ref="N335:T335"/>
    <mergeCell ref="N75:R75"/>
    <mergeCell ref="D356:E356"/>
    <mergeCell ref="A397:M398"/>
    <mergeCell ref="N298:R298"/>
    <mergeCell ref="N102:R102"/>
    <mergeCell ref="N273:R273"/>
    <mergeCell ref="A307:M308"/>
    <mergeCell ref="D145:E145"/>
    <mergeCell ref="D387:E387"/>
    <mergeCell ref="H5:L5"/>
    <mergeCell ref="N409:R409"/>
    <mergeCell ref="N190:T190"/>
    <mergeCell ref="N257:R257"/>
    <mergeCell ref="N448:T448"/>
    <mergeCell ref="A383:M384"/>
    <mergeCell ref="N175:R175"/>
    <mergeCell ref="A157:M158"/>
    <mergeCell ref="B17:B18"/>
    <mergeCell ref="A284:M285"/>
    <mergeCell ref="N321:R321"/>
    <mergeCell ref="N112:R112"/>
    <mergeCell ref="D258:E258"/>
    <mergeCell ref="A447:M448"/>
    <mergeCell ref="N106:R106"/>
    <mergeCell ref="N404:R404"/>
    <mergeCell ref="N252:R252"/>
    <mergeCell ref="N56:R56"/>
    <mergeCell ref="T10:U10"/>
    <mergeCell ref="N32:T32"/>
    <mergeCell ref="R6:S9"/>
    <mergeCell ref="D5:E5"/>
    <mergeCell ref="O10:P10"/>
    <mergeCell ref="D210:E210"/>
    <mergeCell ref="N28:R28"/>
    <mergeCell ref="N199:R199"/>
    <mergeCell ref="N392:R392"/>
    <mergeCell ref="D71:E71"/>
    <mergeCell ref="A432:X432"/>
    <mergeCell ref="N186:R186"/>
    <mergeCell ref="D332:E332"/>
    <mergeCell ref="N30:R30"/>
    <mergeCell ref="D98:E98"/>
    <mergeCell ref="D73:E73"/>
    <mergeCell ref="A82:X82"/>
    <mergeCell ref="N44:T44"/>
    <mergeCell ref="D381:E381"/>
    <mergeCell ref="N326:R326"/>
    <mergeCell ref="N386:R386"/>
    <mergeCell ref="A124:M125"/>
    <mergeCell ref="N165:R165"/>
    <mergeCell ref="D350:E350"/>
    <mergeCell ref="A189:M190"/>
    <mergeCell ref="D43:E43"/>
    <mergeCell ref="N29:R29"/>
    <mergeCell ref="D422:E422"/>
    <mergeCell ref="N31:R31"/>
    <mergeCell ref="N87:R87"/>
    <mergeCell ref="M467:M468"/>
    <mergeCell ref="N195:T195"/>
    <mergeCell ref="N24:T24"/>
    <mergeCell ref="H9:I9"/>
    <mergeCell ref="A418:X418"/>
    <mergeCell ref="N267:R267"/>
    <mergeCell ref="N453:T453"/>
    <mergeCell ref="A90:M91"/>
    <mergeCell ref="D297:E297"/>
    <mergeCell ref="N155:R155"/>
    <mergeCell ref="N93:R93"/>
    <mergeCell ref="N391:R391"/>
    <mergeCell ref="D70:E70"/>
    <mergeCell ref="D263:E263"/>
    <mergeCell ref="N366:R366"/>
    <mergeCell ref="D238:E238"/>
    <mergeCell ref="N262:R262"/>
    <mergeCell ref="D78:E78"/>
    <mergeCell ref="N333:R333"/>
    <mergeCell ref="A38:X38"/>
    <mergeCell ref="D205:E205"/>
    <mergeCell ref="D376:E376"/>
    <mergeCell ref="A131:M132"/>
    <mergeCell ref="N172:R172"/>
    <mergeCell ref="N144:R144"/>
    <mergeCell ref="D187:E187"/>
    <mergeCell ref="A196:X196"/>
    <mergeCell ref="A256:X256"/>
    <mergeCell ref="D423:E423"/>
    <mergeCell ref="D174:E174"/>
    <mergeCell ref="N329:T329"/>
    <mergeCell ref="D410:E410"/>
    <mergeCell ref="A36:M37"/>
    <mergeCell ref="A133:X133"/>
    <mergeCell ref="D357:E357"/>
    <mergeCell ref="N151:T151"/>
    <mergeCell ref="N323:T323"/>
    <mergeCell ref="N123:R123"/>
    <mergeCell ref="N421:R421"/>
    <mergeCell ref="N408:R408"/>
    <mergeCell ref="D39:E39"/>
    <mergeCell ref="A224:M225"/>
    <mergeCell ref="N187:R187"/>
    <mergeCell ref="N423:R423"/>
    <mergeCell ref="N279:R279"/>
    <mergeCell ref="N410:R410"/>
    <mergeCell ref="D89:E89"/>
    <mergeCell ref="A288:M289"/>
  </mergeCells>
  <conditionalFormatting sqref="A8:L8 A9:C10 N9:P13">
    <cfRule type="expression" dxfId="7" priority="2">
      <formula>IF($T$5="самовывоз",1,0)</formula>
    </cfRule>
  </conditionalFormatting>
  <conditionalFormatting sqref="H10:L10">
    <cfRule type="expression" dxfId="6" priority="3">
      <formula>IF($T$5="самовывоз",1,0)</formula>
    </cfRule>
  </conditionalFormatting>
  <conditionalFormatting sqref="J9:L9">
    <cfRule type="expression" dxfId="5" priority="4">
      <formula>IF($T$5="самовывоз",1,0)</formula>
    </cfRule>
  </conditionalFormatting>
  <conditionalFormatting sqref="H9:I9">
    <cfRule type="expression" dxfId="4" priority="5">
      <formula>IF($T$5="самовывоз",1,0)</formula>
    </cfRule>
  </conditionalFormatting>
  <conditionalFormatting sqref="F9:G9">
    <cfRule type="expression" dxfId="3" priority="6">
      <formula>IF($T$5="самовывоз",1,0)</formula>
    </cfRule>
  </conditionalFormatting>
  <conditionalFormatting sqref="F10:G10">
    <cfRule type="expression" dxfId="2" priority="7">
      <formula>IF($T$5="самовывоз",1,0)</formula>
    </cfRule>
  </conditionalFormatting>
  <conditionalFormatting sqref="D9:E9">
    <cfRule type="expression" dxfId="1" priority="8">
      <formula>IF($T$5="самовывоз",1,0)</formula>
    </cfRule>
  </conditionalFormatting>
  <conditionalFormatting sqref="D10:E10">
    <cfRule type="expression" dxfId="0" priority="9">
      <formula>IF($T$5="самовывоз",1,0)</formula>
    </cfRule>
  </conditionalFormatting>
  <dataValidations count="17">
    <dataValidation showInputMessage="1" showErrorMessage="1" prompt="День недели загрузки. Считается сам." sqref="O6:O7">
      <formula1>0</formula1>
      <formula2>0</formula2>
    </dataValidation>
    <dataValidation type="list" showInputMessage="1" showErrorMessage="1" sqref="V16:Z16">
      <formula1>"80-60,60-40,40-10,70-10"</formula1>
      <formula2>0</formula2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>
      <formula1>0</formula1>
      <formula2>0</formula2>
    </dataValidation>
    <dataValidation showInputMessage="1" showErrorMessage="1" prompt="Введите код клиента в системе Axapta" sqref="T10">
      <formula1>0</formula1>
      <formula2>0</formula2>
    </dataValidation>
    <dataValidation type="list" showInputMessage="1" showErrorMessage="1" prompt="Определите тип Вашего заказа" sqref="T11:U11">
      <formula1>"Основной заказ,Дозаказ,Замена"</formula1>
      <formula2>0</formula2>
    </dataValidation>
    <dataValidation type="list" showInputMessage="1" showErrorMessage="1" sqref="D6:L6">
      <formula1>DeliveryAdressList</formula1>
      <formula2>0</formula2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  <formula2>0</formula2>
    </dataValidation>
    <dataValidation type="list" showInputMessage="1" showErrorMessage="1" sqref="L8">
      <formula1>CHOOSE($D$7,unloadadresslist)</formula1>
      <formula2>0</formula2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  <formula2>0</formula2>
    </dataValidation>
    <dataValidation type="list" showInputMessage="1" showErrorMessage="1" sqref="D10:E10">
      <formula1>IF(TypeProxy="Уполномоченное лицо",NumProxySet,null)</formula1>
      <formula2>0</formula2>
    </dataValidation>
    <dataValidation operator="equal" showInputMessage="1" showErrorMessage="1" error="укажите вес, кратный весу коробки" sqref="X22:Z22">
      <formula1>0</formula1>
      <formula2>0</formula2>
    </dataValidation>
    <dataValidation type="list" showInputMessage="1" showErrorMessage="1" sqref="T12">
      <formula1>DeliveryConditionsList</formula1>
      <formula2>0</formula2>
    </dataValidation>
    <dataValidation type="list" showInputMessage="1" showErrorMessage="1" sqref="D8:K8">
      <formula1>CHOOSE($D$7,UnloadAdressList0001,UnloadAdressList0002)</formula1>
      <formula2>0</formula2>
    </dataValidation>
  </dataValidations>
  <pageMargins left="0.23611111111111099" right="0.23611111111111099" top="0.74791666666666701" bottom="0.74791666666666701" header="0.51180555555555496" footer="0.51180555555555496"/>
  <pageSetup paperSize="9" scale="45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zoomScaleNormal="100"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639</v>
      </c>
      <c r="H1" s="57"/>
    </row>
    <row r="3" spans="2:8" x14ac:dyDescent="0.2">
      <c r="B3" s="58" t="s">
        <v>640</v>
      </c>
      <c r="C3" s="58"/>
      <c r="D3" s="58"/>
      <c r="E3" s="58"/>
    </row>
    <row r="4" spans="2:8" x14ac:dyDescent="0.2">
      <c r="B4" s="58" t="s">
        <v>12</v>
      </c>
      <c r="C4" s="58"/>
      <c r="D4" s="58"/>
      <c r="E4" s="58"/>
    </row>
    <row r="6" spans="2:8" x14ac:dyDescent="0.2">
      <c r="B6" s="58" t="s">
        <v>14</v>
      </c>
      <c r="C6" s="58" t="s">
        <v>641</v>
      </c>
      <c r="D6" s="58" t="s">
        <v>642</v>
      </c>
      <c r="E6" s="58"/>
    </row>
    <row r="7" spans="2:8" x14ac:dyDescent="0.2">
      <c r="B7" s="58" t="s">
        <v>643</v>
      </c>
      <c r="C7" s="58" t="s">
        <v>644</v>
      </c>
      <c r="D7" s="58" t="s">
        <v>645</v>
      </c>
      <c r="E7" s="58"/>
    </row>
    <row r="9" spans="2:8" x14ac:dyDescent="0.2">
      <c r="B9" s="58" t="s">
        <v>646</v>
      </c>
      <c r="C9" s="58" t="s">
        <v>641</v>
      </c>
      <c r="D9" s="58"/>
      <c r="E9" s="58"/>
    </row>
    <row r="11" spans="2:8" x14ac:dyDescent="0.2">
      <c r="B11" s="58" t="s">
        <v>647</v>
      </c>
      <c r="C11" s="58" t="s">
        <v>644</v>
      </c>
      <c r="D11" s="58"/>
      <c r="E11" s="58"/>
    </row>
    <row r="13" spans="2:8" x14ac:dyDescent="0.2">
      <c r="B13" s="58" t="s">
        <v>648</v>
      </c>
      <c r="C13" s="58"/>
      <c r="D13" s="58"/>
      <c r="E13" s="58"/>
    </row>
    <row r="14" spans="2:8" x14ac:dyDescent="0.2">
      <c r="B14" s="58" t="s">
        <v>649</v>
      </c>
      <c r="C14" s="58"/>
      <c r="D14" s="58"/>
      <c r="E14" s="58"/>
    </row>
    <row r="15" spans="2:8" x14ac:dyDescent="0.2">
      <c r="B15" s="58" t="s">
        <v>650</v>
      </c>
      <c r="C15" s="58"/>
      <c r="D15" s="58"/>
      <c r="E15" s="58"/>
    </row>
    <row r="16" spans="2:8" x14ac:dyDescent="0.2">
      <c r="B16" s="58" t="s">
        <v>651</v>
      </c>
      <c r="C16" s="58"/>
      <c r="D16" s="58"/>
      <c r="E16" s="58"/>
    </row>
    <row r="17" spans="2:5" x14ac:dyDescent="0.2">
      <c r="B17" s="58" t="s">
        <v>652</v>
      </c>
      <c r="C17" s="58"/>
      <c r="D17" s="58"/>
      <c r="E17" s="58"/>
    </row>
    <row r="18" spans="2:5" x14ac:dyDescent="0.2">
      <c r="B18" s="58" t="s">
        <v>653</v>
      </c>
      <c r="C18" s="58"/>
      <c r="D18" s="58"/>
      <c r="E18" s="58"/>
    </row>
    <row r="19" spans="2:5" x14ac:dyDescent="0.2">
      <c r="B19" s="58" t="s">
        <v>654</v>
      </c>
      <c r="C19" s="58"/>
      <c r="D19" s="58"/>
      <c r="E19" s="58"/>
    </row>
    <row r="20" spans="2:5" x14ac:dyDescent="0.2">
      <c r="B20" s="58" t="s">
        <v>655</v>
      </c>
      <c r="C20" s="58"/>
      <c r="D20" s="58"/>
      <c r="E20" s="58"/>
    </row>
    <row r="21" spans="2:5" x14ac:dyDescent="0.2">
      <c r="B21" s="58" t="s">
        <v>656</v>
      </c>
      <c r="C21" s="58"/>
      <c r="D21" s="58"/>
      <c r="E21" s="58"/>
    </row>
    <row r="22" spans="2:5" x14ac:dyDescent="0.2">
      <c r="B22" s="58" t="s">
        <v>657</v>
      </c>
      <c r="C22" s="58"/>
      <c r="D22" s="58"/>
      <c r="E22" s="58"/>
    </row>
    <row r="23" spans="2:5" x14ac:dyDescent="0.2">
      <c r="B23" s="58" t="s">
        <v>658</v>
      </c>
      <c r="C23" s="58"/>
      <c r="D23" s="58"/>
      <c r="E23" s="58"/>
    </row>
  </sheetData>
  <sheetProtection algorithmName="SHA-512" hashValue="ufqJlk9paj6AQlvAOqj3WidMVnWUi2341oYOEwif/AFHKuLw+Y6EVfQ2ZNuPGkEmjP5eK1Rqjmu5I8Ayocao3Q==" saltValue="FLxo5sSll/tHoBs9XZXFfg==" spinCount="100000" sheet="1" objects="1" scenarios="1" sort="0" autoFilter="0" pivotTables="0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1007</vt:i4>
      </vt:variant>
    </vt:vector>
  </HeadingPairs>
  <TitlesOfParts>
    <vt:vector size="10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cp:revision>0</cp:revision>
  <dcterms:created xsi:type="dcterms:W3CDTF">2021-11-12T12:13:19Z</dcterms:created>
  <dcterms:modified xsi:type="dcterms:W3CDTF">2023-11-21T10:14:37Z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0x010100BE9B55E4B75ADC4EA022BCFE912025B5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