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E4A7CD-944C-4868-A6C8-02E6E6264E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T472" i="1" s="1"/>
  <c r="N459" i="1"/>
  <c r="V456" i="1"/>
  <c r="V455" i="1"/>
  <c r="W454" i="1"/>
  <c r="X454" i="1" s="1"/>
  <c r="W453" i="1"/>
  <c r="W455" i="1" s="1"/>
  <c r="V451" i="1"/>
  <c r="V450" i="1"/>
  <c r="W449" i="1"/>
  <c r="X449" i="1" s="1"/>
  <c r="W448" i="1"/>
  <c r="V446" i="1"/>
  <c r="V445" i="1"/>
  <c r="W444" i="1"/>
  <c r="X444" i="1" s="1"/>
  <c r="X443" i="1"/>
  <c r="X445" i="1" s="1"/>
  <c r="W443" i="1"/>
  <c r="W446" i="1" s="1"/>
  <c r="V441" i="1"/>
  <c r="V440" i="1"/>
  <c r="W439" i="1"/>
  <c r="X439" i="1" s="1"/>
  <c r="W438" i="1"/>
  <c r="V434" i="1"/>
  <c r="V433" i="1"/>
  <c r="W432" i="1"/>
  <c r="X432" i="1" s="1"/>
  <c r="N432" i="1"/>
  <c r="X431" i="1"/>
  <c r="X433" i="1" s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X418" i="1"/>
  <c r="W418" i="1"/>
  <c r="N418" i="1"/>
  <c r="W417" i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X392" i="1"/>
  <c r="W392" i="1"/>
  <c r="X391" i="1"/>
  <c r="W391" i="1"/>
  <c r="N391" i="1"/>
  <c r="W390" i="1"/>
  <c r="X390" i="1" s="1"/>
  <c r="N390" i="1"/>
  <c r="X389" i="1"/>
  <c r="X396" i="1" s="1"/>
  <c r="W389" i="1"/>
  <c r="N389" i="1"/>
  <c r="V387" i="1"/>
  <c r="V386" i="1"/>
  <c r="W385" i="1"/>
  <c r="X385" i="1" s="1"/>
  <c r="N385" i="1"/>
  <c r="W384" i="1"/>
  <c r="N384" i="1"/>
  <c r="V381" i="1"/>
  <c r="V380" i="1"/>
  <c r="W379" i="1"/>
  <c r="W378" i="1"/>
  <c r="V376" i="1"/>
  <c r="V375" i="1"/>
  <c r="W374" i="1"/>
  <c r="X374" i="1" s="1"/>
  <c r="W373" i="1"/>
  <c r="X373" i="1" s="1"/>
  <c r="W372" i="1"/>
  <c r="W371" i="1"/>
  <c r="V369" i="1"/>
  <c r="V368" i="1"/>
  <c r="X367" i="1"/>
  <c r="X368" i="1" s="1"/>
  <c r="W367" i="1"/>
  <c r="W368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X360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V334" i="1"/>
  <c r="W333" i="1"/>
  <c r="N333" i="1"/>
  <c r="V331" i="1"/>
  <c r="V330" i="1"/>
  <c r="X329" i="1"/>
  <c r="W329" i="1"/>
  <c r="N329" i="1"/>
  <c r="W328" i="1"/>
  <c r="X328" i="1" s="1"/>
  <c r="N328" i="1"/>
  <c r="W327" i="1"/>
  <c r="X327" i="1" s="1"/>
  <c r="N327" i="1"/>
  <c r="X326" i="1"/>
  <c r="X330" i="1" s="1"/>
  <c r="W326" i="1"/>
  <c r="N326" i="1"/>
  <c r="V324" i="1"/>
  <c r="V323" i="1"/>
  <c r="X322" i="1"/>
  <c r="W322" i="1"/>
  <c r="N322" i="1"/>
  <c r="W321" i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X314" i="1"/>
  <c r="W314" i="1"/>
  <c r="N314" i="1"/>
  <c r="V311" i="1"/>
  <c r="V310" i="1"/>
  <c r="X309" i="1"/>
  <c r="X310" i="1" s="1"/>
  <c r="W309" i="1"/>
  <c r="W310" i="1" s="1"/>
  <c r="N309" i="1"/>
  <c r="V307" i="1"/>
  <c r="V306" i="1"/>
  <c r="X305" i="1"/>
  <c r="X306" i="1" s="1"/>
  <c r="W305" i="1"/>
  <c r="W306" i="1" s="1"/>
  <c r="N305" i="1"/>
  <c r="V303" i="1"/>
  <c r="V302" i="1"/>
  <c r="W301" i="1"/>
  <c r="X301" i="1" s="1"/>
  <c r="N301" i="1"/>
  <c r="X300" i="1"/>
  <c r="W300" i="1"/>
  <c r="N300" i="1"/>
  <c r="W299" i="1"/>
  <c r="V297" i="1"/>
  <c r="V296" i="1"/>
  <c r="W295" i="1"/>
  <c r="X295" i="1" s="1"/>
  <c r="N295" i="1"/>
  <c r="X294" i="1"/>
  <c r="W294" i="1"/>
  <c r="N294" i="1"/>
  <c r="W293" i="1"/>
  <c r="X293" i="1" s="1"/>
  <c r="W292" i="1"/>
  <c r="X292" i="1" s="1"/>
  <c r="N292" i="1"/>
  <c r="X291" i="1"/>
  <c r="W291" i="1"/>
  <c r="N291" i="1"/>
  <c r="W290" i="1"/>
  <c r="X290" i="1" s="1"/>
  <c r="N290" i="1"/>
  <c r="W289" i="1"/>
  <c r="N289" i="1"/>
  <c r="X288" i="1"/>
  <c r="W288" i="1"/>
  <c r="N288" i="1"/>
  <c r="V284" i="1"/>
  <c r="V283" i="1"/>
  <c r="W282" i="1"/>
  <c r="N282" i="1"/>
  <c r="W280" i="1"/>
  <c r="V280" i="1"/>
  <c r="W279" i="1"/>
  <c r="V279" i="1"/>
  <c r="X278" i="1"/>
  <c r="X279" i="1" s="1"/>
  <c r="W278" i="1"/>
  <c r="N278" i="1"/>
  <c r="V276" i="1"/>
  <c r="V275" i="1"/>
  <c r="W274" i="1"/>
  <c r="X274" i="1" s="1"/>
  <c r="N274" i="1"/>
  <c r="X273" i="1"/>
  <c r="X275" i="1" s="1"/>
  <c r="W273" i="1"/>
  <c r="W276" i="1" s="1"/>
  <c r="N273" i="1"/>
  <c r="V271" i="1"/>
  <c r="V270" i="1"/>
  <c r="X269" i="1"/>
  <c r="X270" i="1" s="1"/>
  <c r="W269" i="1"/>
  <c r="W270" i="1" s="1"/>
  <c r="N269" i="1"/>
  <c r="V266" i="1"/>
  <c r="V265" i="1"/>
  <c r="X264" i="1"/>
  <c r="W264" i="1"/>
  <c r="N264" i="1"/>
  <c r="W263" i="1"/>
  <c r="N263" i="1"/>
  <c r="V261" i="1"/>
  <c r="V260" i="1"/>
  <c r="X259" i="1"/>
  <c r="W259" i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W253" i="1"/>
  <c r="N253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W240" i="1"/>
  <c r="X240" i="1" s="1"/>
  <c r="X243" i="1" s="1"/>
  <c r="V238" i="1"/>
  <c r="V237" i="1"/>
  <c r="W236" i="1"/>
  <c r="X236" i="1" s="1"/>
  <c r="N236" i="1"/>
  <c r="W235" i="1"/>
  <c r="X235" i="1" s="1"/>
  <c r="N235" i="1"/>
  <c r="W234" i="1"/>
  <c r="W237" i="1" s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W225" i="1"/>
  <c r="X225" i="1" s="1"/>
  <c r="W224" i="1"/>
  <c r="X224" i="1" s="1"/>
  <c r="N224" i="1"/>
  <c r="X223" i="1"/>
  <c r="W223" i="1"/>
  <c r="N223" i="1"/>
  <c r="W222" i="1"/>
  <c r="N222" i="1"/>
  <c r="V220" i="1"/>
  <c r="V219" i="1"/>
  <c r="W218" i="1"/>
  <c r="X218" i="1" s="1"/>
  <c r="N218" i="1"/>
  <c r="W217" i="1"/>
  <c r="X217" i="1" s="1"/>
  <c r="N217" i="1"/>
  <c r="W216" i="1"/>
  <c r="X216" i="1" s="1"/>
  <c r="N216" i="1"/>
  <c r="X215" i="1"/>
  <c r="X219" i="1" s="1"/>
  <c r="W215" i="1"/>
  <c r="N215" i="1"/>
  <c r="V213" i="1"/>
  <c r="W212" i="1"/>
  <c r="V212" i="1"/>
  <c r="X211" i="1"/>
  <c r="X212" i="1" s="1"/>
  <c r="W211" i="1"/>
  <c r="W213" i="1" s="1"/>
  <c r="N211" i="1"/>
  <c r="V209" i="1"/>
  <c r="V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X196" i="1" s="1"/>
  <c r="N196" i="1"/>
  <c r="W195" i="1"/>
  <c r="X195" i="1" s="1"/>
  <c r="N195" i="1"/>
  <c r="W194" i="1"/>
  <c r="N194" i="1"/>
  <c r="V191" i="1"/>
  <c r="V190" i="1"/>
  <c r="W189" i="1"/>
  <c r="N189" i="1"/>
  <c r="X188" i="1"/>
  <c r="W188" i="1"/>
  <c r="N188" i="1"/>
  <c r="V186" i="1"/>
  <c r="V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W175" i="1"/>
  <c r="X175" i="1" s="1"/>
  <c r="W174" i="1"/>
  <c r="X174" i="1" s="1"/>
  <c r="W173" i="1"/>
  <c r="X173" i="1" s="1"/>
  <c r="N173" i="1"/>
  <c r="X172" i="1"/>
  <c r="W172" i="1"/>
  <c r="N172" i="1"/>
  <c r="W171" i="1"/>
  <c r="X171" i="1" s="1"/>
  <c r="W170" i="1"/>
  <c r="X170" i="1" s="1"/>
  <c r="N170" i="1"/>
  <c r="X169" i="1"/>
  <c r="W169" i="1"/>
  <c r="X168" i="1"/>
  <c r="W168" i="1"/>
  <c r="N168" i="1"/>
  <c r="V166" i="1"/>
  <c r="W165" i="1"/>
  <c r="V165" i="1"/>
  <c r="X164" i="1"/>
  <c r="W164" i="1"/>
  <c r="N164" i="1"/>
  <c r="W163" i="1"/>
  <c r="X163" i="1" s="1"/>
  <c r="N163" i="1"/>
  <c r="W162" i="1"/>
  <c r="X162" i="1" s="1"/>
  <c r="N162" i="1"/>
  <c r="W161" i="1"/>
  <c r="N161" i="1"/>
  <c r="V159" i="1"/>
  <c r="V158" i="1"/>
  <c r="W157" i="1"/>
  <c r="N157" i="1"/>
  <c r="X156" i="1"/>
  <c r="W156" i="1"/>
  <c r="V154" i="1"/>
  <c r="V153" i="1"/>
  <c r="W152" i="1"/>
  <c r="X152" i="1" s="1"/>
  <c r="N152" i="1"/>
  <c r="W151" i="1"/>
  <c r="N151" i="1"/>
  <c r="V148" i="1"/>
  <c r="V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N139" i="1"/>
  <c r="V136" i="1"/>
  <c r="V135" i="1"/>
  <c r="W134" i="1"/>
  <c r="X134" i="1" s="1"/>
  <c r="N134" i="1"/>
  <c r="X133" i="1"/>
  <c r="W133" i="1"/>
  <c r="N133" i="1"/>
  <c r="W132" i="1"/>
  <c r="N132" i="1"/>
  <c r="V128" i="1"/>
  <c r="V127" i="1"/>
  <c r="W126" i="1"/>
  <c r="X126" i="1" s="1"/>
  <c r="N126" i="1"/>
  <c r="W125" i="1"/>
  <c r="X125" i="1" s="1"/>
  <c r="N125" i="1"/>
  <c r="W124" i="1"/>
  <c r="N124" i="1"/>
  <c r="V121" i="1"/>
  <c r="V120" i="1"/>
  <c r="X119" i="1"/>
  <c r="W119" i="1"/>
  <c r="X118" i="1"/>
  <c r="W118" i="1"/>
  <c r="N118" i="1"/>
  <c r="W117" i="1"/>
  <c r="X117" i="1" s="1"/>
  <c r="W116" i="1"/>
  <c r="W120" i="1" s="1"/>
  <c r="N116" i="1"/>
  <c r="X115" i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N105" i="1"/>
  <c r="W104" i="1"/>
  <c r="W112" i="1" s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W83" i="1"/>
  <c r="X83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W63" i="1"/>
  <c r="E472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N22" i="1"/>
  <c r="H10" i="1"/>
  <c r="A9" i="1"/>
  <c r="J9" i="1" s="1"/>
  <c r="D7" i="1"/>
  <c r="O6" i="1"/>
  <c r="N2" i="1"/>
  <c r="W153" i="1" l="1"/>
  <c r="X151" i="1"/>
  <c r="X153" i="1" s="1"/>
  <c r="W265" i="1"/>
  <c r="W266" i="1"/>
  <c r="X263" i="1"/>
  <c r="X265" i="1" s="1"/>
  <c r="W284" i="1"/>
  <c r="W283" i="1"/>
  <c r="X282" i="1"/>
  <c r="X283" i="1" s="1"/>
  <c r="W323" i="1"/>
  <c r="W324" i="1"/>
  <c r="X321" i="1"/>
  <c r="X323" i="1" s="1"/>
  <c r="W376" i="1"/>
  <c r="X371" i="1"/>
  <c r="W381" i="1"/>
  <c r="X378" i="1"/>
  <c r="W51" i="1"/>
  <c r="W52" i="1"/>
  <c r="W89" i="1"/>
  <c r="W90" i="1"/>
  <c r="W128" i="1"/>
  <c r="X124" i="1"/>
  <c r="W154" i="1"/>
  <c r="W335" i="1"/>
  <c r="X333" i="1"/>
  <c r="X334" i="1" s="1"/>
  <c r="W342" i="1"/>
  <c r="W358" i="1"/>
  <c r="X344" i="1"/>
  <c r="W375" i="1"/>
  <c r="X372" i="1"/>
  <c r="X375" i="1" s="1"/>
  <c r="W429" i="1"/>
  <c r="X422" i="1"/>
  <c r="X428" i="1" s="1"/>
  <c r="W441" i="1"/>
  <c r="X438" i="1"/>
  <c r="X440" i="1" s="1"/>
  <c r="W113" i="1"/>
  <c r="W121" i="1"/>
  <c r="W186" i="1"/>
  <c r="W219" i="1"/>
  <c r="W271" i="1"/>
  <c r="W275" i="1"/>
  <c r="N472" i="1"/>
  <c r="W296" i="1"/>
  <c r="W307" i="1"/>
  <c r="W311" i="1"/>
  <c r="W319" i="1"/>
  <c r="W364" i="1"/>
  <c r="W365" i="1"/>
  <c r="W369" i="1"/>
  <c r="W433" i="1"/>
  <c r="W445" i="1"/>
  <c r="W450" i="1"/>
  <c r="V465" i="1"/>
  <c r="X100" i="1"/>
  <c r="X127" i="1"/>
  <c r="W231" i="1"/>
  <c r="X222" i="1"/>
  <c r="X231" i="1" s="1"/>
  <c r="W232" i="1"/>
  <c r="B472" i="1"/>
  <c r="W463" i="1"/>
  <c r="W464" i="1"/>
  <c r="W59" i="1"/>
  <c r="W302" i="1"/>
  <c r="X299" i="1"/>
  <c r="X302" i="1" s="1"/>
  <c r="X318" i="1"/>
  <c r="F9" i="1"/>
  <c r="F10" i="1"/>
  <c r="X22" i="1"/>
  <c r="X23" i="1" s="1"/>
  <c r="V462" i="1"/>
  <c r="X26" i="1"/>
  <c r="X32" i="1" s="1"/>
  <c r="W33" i="1"/>
  <c r="X63" i="1"/>
  <c r="X79" i="1" s="1"/>
  <c r="X84" i="1"/>
  <c r="X89" i="1" s="1"/>
  <c r="W101" i="1"/>
  <c r="X104" i="1"/>
  <c r="X116" i="1"/>
  <c r="X120" i="1" s="1"/>
  <c r="W148" i="1"/>
  <c r="X157" i="1"/>
  <c r="X158" i="1" s="1"/>
  <c r="W158" i="1"/>
  <c r="W159" i="1"/>
  <c r="W185" i="1"/>
  <c r="W249" i="1"/>
  <c r="X246" i="1"/>
  <c r="X249" i="1" s="1"/>
  <c r="W250" i="1"/>
  <c r="W303" i="1"/>
  <c r="W331" i="1"/>
  <c r="X357" i="1"/>
  <c r="X379" i="1"/>
  <c r="X380" i="1" s="1"/>
  <c r="W380" i="1"/>
  <c r="W396" i="1"/>
  <c r="W209" i="1"/>
  <c r="X194" i="1"/>
  <c r="X208" i="1" s="1"/>
  <c r="J472" i="1"/>
  <c r="W208" i="1"/>
  <c r="V466" i="1"/>
  <c r="W24" i="1"/>
  <c r="D472" i="1"/>
  <c r="W80" i="1"/>
  <c r="W100" i="1"/>
  <c r="X161" i="1"/>
  <c r="X165" i="1" s="1"/>
  <c r="W166" i="1"/>
  <c r="W387" i="1"/>
  <c r="X384" i="1"/>
  <c r="X386" i="1" s="1"/>
  <c r="Q472" i="1"/>
  <c r="W386" i="1"/>
  <c r="A10" i="1"/>
  <c r="X185" i="1"/>
  <c r="X405" i="1"/>
  <c r="X414" i="1" s="1"/>
  <c r="R472" i="1"/>
  <c r="W414" i="1"/>
  <c r="W415" i="1"/>
  <c r="H9" i="1"/>
  <c r="W23" i="1"/>
  <c r="C472" i="1"/>
  <c r="X55" i="1"/>
  <c r="X59" i="1" s="1"/>
  <c r="W60" i="1"/>
  <c r="W79" i="1"/>
  <c r="X103" i="1"/>
  <c r="X112" i="1" s="1"/>
  <c r="F472" i="1"/>
  <c r="W127" i="1"/>
  <c r="G472" i="1"/>
  <c r="W135" i="1"/>
  <c r="X132" i="1"/>
  <c r="X135" i="1" s="1"/>
  <c r="W136" i="1"/>
  <c r="X189" i="1"/>
  <c r="X190" i="1" s="1"/>
  <c r="W190" i="1"/>
  <c r="W191" i="1"/>
  <c r="W243" i="1"/>
  <c r="L472" i="1"/>
  <c r="X289" i="1"/>
  <c r="X296" i="1" s="1"/>
  <c r="W297" i="1"/>
  <c r="P472" i="1"/>
  <c r="W357" i="1"/>
  <c r="X364" i="1"/>
  <c r="X399" i="1"/>
  <c r="X400" i="1" s="1"/>
  <c r="W400" i="1"/>
  <c r="W401" i="1"/>
  <c r="W420" i="1"/>
  <c r="X417" i="1"/>
  <c r="X419" i="1" s="1"/>
  <c r="W419" i="1"/>
  <c r="W147" i="1"/>
  <c r="W220" i="1"/>
  <c r="W238" i="1"/>
  <c r="W244" i="1"/>
  <c r="W260" i="1"/>
  <c r="W318" i="1"/>
  <c r="W330" i="1"/>
  <c r="W334" i="1"/>
  <c r="W397" i="1"/>
  <c r="W428" i="1"/>
  <c r="W440" i="1"/>
  <c r="H472" i="1"/>
  <c r="M472" i="1"/>
  <c r="X139" i="1"/>
  <c r="X147" i="1" s="1"/>
  <c r="X234" i="1"/>
  <c r="X237" i="1" s="1"/>
  <c r="X253" i="1"/>
  <c r="X260" i="1" s="1"/>
  <c r="W451" i="1"/>
  <c r="X459" i="1"/>
  <c r="X460" i="1" s="1"/>
  <c r="I472" i="1"/>
  <c r="W434" i="1"/>
  <c r="X448" i="1"/>
  <c r="X450" i="1" s="1"/>
  <c r="W456" i="1"/>
  <c r="W461" i="1"/>
  <c r="O472" i="1"/>
  <c r="S472" i="1"/>
  <c r="W261" i="1"/>
  <c r="W341" i="1"/>
  <c r="X453" i="1"/>
  <c r="X455" i="1" s="1"/>
  <c r="W460" i="1"/>
  <c r="X467" i="1" l="1"/>
  <c r="W466" i="1"/>
  <c r="W462" i="1"/>
  <c r="W465" i="1"/>
</calcChain>
</file>

<file path=xl/sharedStrings.xml><?xml version="1.0" encoding="utf-8"?>
<sst xmlns="http://schemas.openxmlformats.org/spreadsheetml/2006/main" count="1942" uniqueCount="658">
  <si>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</si>
  <si>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</si>
  <si>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</si>
  <si>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</si>
  <si>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</si>
  <si>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</si>
  <si>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</si>
  <si>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</si>
  <si>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</si>
  <si>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</si>
  <si>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</si>
  <si>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</si>
  <si>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</si>
  <si>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</si>
  <si>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</si>
  <si>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</si>
  <si>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</si>
  <si>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</si>
  <si>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</si>
  <si>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</si>
  <si>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</si>
  <si>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</si>
  <si>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</si>
  <si>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</si>
  <si>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</si>
  <si>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</si>
  <si>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</si>
  <si>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</si>
  <si>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</si>
  <si>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</si>
  <si>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</si>
  <si>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</si>
  <si>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</si>
  <si>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</si>
  <si>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</si>
  <si>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</si>
  <si>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</si>
  <si>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</si>
  <si>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</si>
  <si>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</si>
  <si>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</si>
  <si>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</si>
  <si>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</si>
  <si>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</si>
  <si>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</si>
  <si>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</si>
  <si>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</si>
  <si>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</si>
  <si>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</si>
  <si>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</si>
  <si>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</si>
  <si>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</si>
  <si>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</si>
  <si>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</si>
  <si>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</si>
  <si>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</si>
  <si>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</si>
  <si>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</si>
  <si>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</si>
  <si>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</si>
  <si>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</si>
  <si>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</si>
  <si>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</si>
  <si>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</si>
  <si>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</si>
  <si>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</si>
  <si>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</si>
  <si>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</si>
  <si>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</si>
  <si>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</si>
  <si>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</si>
  <si>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</si>
  <si>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</si>
  <si>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</si>
  <si>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</si>
  <si>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</si>
  <si>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</si>
  <si>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</si>
  <si>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</si>
  <si>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</si>
  <si>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</si>
  <si>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</si>
  <si>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</si>
  <si>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</si>
  <si>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</si>
  <si>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</si>
  <si>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</si>
  <si>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</si>
  <si>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</si>
  <si>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</si>
  <si>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</si>
  <si>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</si>
  <si>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</si>
  <si>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</si>
  <si>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</si>
  <si>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</si>
  <si>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</si>
  <si>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</si>
  <si>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</si>
  <si>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</si>
  <si>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</si>
  <si>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</si>
  <si>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</si>
  <si>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</si>
  <si>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</si>
  <si>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</si>
  <si>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</si>
  <si>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</si>
  <si>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</si>
  <si>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</si>
  <si>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</si>
  <si>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</si>
  <si>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</si>
  <si>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</si>
  <si>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</si>
  <si>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</si>
  <si>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</si>
  <si>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</si>
  <si>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</si>
  <si>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</si>
  <si>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</si>
  <si>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</si>
  <si>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</si>
  <si>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</si>
  <si>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</si>
  <si>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</si>
  <si>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</si>
  <si>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</si>
  <si>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</si>
  <si>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</si>
  <si>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</si>
  <si>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</si>
  <si>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</si>
  <si>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</si>
  <si>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</si>
  <si>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</si>
  <si>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</si>
  <si>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</si>
  <si>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</si>
  <si>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</si>
  <si>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</si>
  <si>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</si>
  <si>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</si>
  <si>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</si>
  <si>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</si>
  <si>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</si>
  <si>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</si>
  <si>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</si>
  <si>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</si>
  <si>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</si>
  <si>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</si>
  <si>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</si>
  <si>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</si>
  <si>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</si>
  <si>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</si>
  <si>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</si>
  <si>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</si>
  <si>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</si>
  <si>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</si>
  <si>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</si>
  <si>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</si>
  <si>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</si>
  <si>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</si>
  <si>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</si>
  <si>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</si>
  <si>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</si>
  <si>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</si>
  <si>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</si>
  <si>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</si>
  <si>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</si>
  <si>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</si>
  <si>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</si>
  <si>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</si>
  <si>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</si>
  <si>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</si>
  <si>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</si>
  <si>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</si>
  <si>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</si>
  <si>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</si>
  <si>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</si>
  <si>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</si>
  <si>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</si>
  <si>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</si>
  <si>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</si>
  <si>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</si>
  <si>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</si>
  <si>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</si>
  <si>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</si>
  <si>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</si>
  <si>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</si>
  <si>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</si>
  <si>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</si>
  <si>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</si>
  <si>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</si>
  <si>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</si>
  <si>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</si>
  <si>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</si>
  <si>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</si>
  <si>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</si>
  <si>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</si>
  <si>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</si>
  <si>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</si>
  <si>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</si>
  <si>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</si>
  <si>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</si>
  <si>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</si>
  <si>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</si>
  <si>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</si>
  <si>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</si>
  <si>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</si>
  <si>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</si>
  <si>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</si>
  <si>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</si>
  <si>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</si>
  <si>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</si>
  <si>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</si>
  <si>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</si>
  <si>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</si>
  <si>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</si>
  <si>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</si>
  <si>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</si>
  <si>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</si>
  <si>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</si>
  <si>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</si>
  <si>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</si>
  <si>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</si>
  <si>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</si>
  <si>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</si>
  <si>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</si>
  <si>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</si>
  <si>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</si>
  <si>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</si>
  <si>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</si>
  <si>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</si>
  <si>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</si>
  <si>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</si>
  <si>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</si>
  <si>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</si>
  <si>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</si>
  <si>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</si>
  <si>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</si>
  <si>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</si>
  <si>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</si>
  <si>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</si>
  <si>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</si>
  <si>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</si>
  <si>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</si>
  <si>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</si>
  <si>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</si>
  <si>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</si>
  <si>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</si>
  <si>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</si>
  <si>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</si>
  <si>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</si>
  <si>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</si>
  <si>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</si>
  <si>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</si>
  <si>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</si>
  <si>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</si>
  <si>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</si>
  <si>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</si>
  <si>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</si>
  <si>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</si>
  <si>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</si>
  <si>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</si>
  <si>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</si>
  <si>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</si>
  <si>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</si>
  <si>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</si>
  <si>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</si>
  <si>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</si>
  <si>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</si>
  <si>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</si>
  <si>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</si>
  <si>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</si>
  <si>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</si>
  <si>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</si>
  <si>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</si>
  <si>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</si>
  <si>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</si>
  <si>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</si>
  <si>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</si>
  <si>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</si>
  <si>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</si>
  <si>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</si>
  <si>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</si>
  <si>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</si>
  <si>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</si>
  <si>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</si>
  <si>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</si>
  <si>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</si>
  <si>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</si>
  <si>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</si>
  <si>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</si>
  <si>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</si>
  <si>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</si>
  <si>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</si>
  <si>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</si>
  <si>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</si>
  <si>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</si>
  <si>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</si>
  <si>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</si>
  <si>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</si>
  <si>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</si>
  <si>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</si>
  <si>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</si>
  <si>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</si>
  <si>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</si>
  <si>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</si>
  <si>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</si>
  <si>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</si>
  <si>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</si>
  <si>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</si>
  <si>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</si>
  <si>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</si>
  <si>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</si>
  <si>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</si>
  <si>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</si>
  <si>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</si>
  <si>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</si>
  <si>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</si>
  <si>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</si>
  <si>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</si>
  <si>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</si>
  <si>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</si>
  <si>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</si>
  <si>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</si>
  <si>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</si>
  <si>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</si>
  <si>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</si>
  <si>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</si>
  <si>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</si>
  <si>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</si>
  <si>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</si>
  <si>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</si>
  <si>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</si>
  <si>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</si>
  <si>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</si>
  <si>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</si>
  <si>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</si>
  <si>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</si>
  <si>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</si>
  <si>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</si>
  <si>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</si>
  <si>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</si>
  <si>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</si>
  <si>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</si>
  <si>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</si>
  <si>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</si>
  <si>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</si>
  <si>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</si>
  <si>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</si>
  <si>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</si>
  <si>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</si>
  <si>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</si>
  <si>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</si>
  <si>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</si>
  <si>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</si>
  <si>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</si>
  <si>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</si>
  <si>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30.11.2023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</si>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</sst>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45" t="s">
        <v>0</v>
      </c>
      <c r="E1" s="312"/>
      <c r="F1" s="312"/>
      <c r="G1" s="12" t="s">
        <v>1</v>
      </c>
      <c r="H1" s="445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9" t="s">
        <v>8</v>
      </c>
      <c r="B5" s="367"/>
      <c r="C5" s="351"/>
      <c r="D5" s="575"/>
      <c r="E5" s="576"/>
      <c r="F5" s="379" t="s">
        <v>9</v>
      </c>
      <c r="G5" s="351"/>
      <c r="H5" s="575"/>
      <c r="I5" s="614"/>
      <c r="J5" s="614"/>
      <c r="K5" s="614"/>
      <c r="L5" s="576"/>
      <c r="N5" s="24" t="s">
        <v>10</v>
      </c>
      <c r="O5" s="363">
        <v>45254</v>
      </c>
      <c r="P5" s="364"/>
      <c r="R5" s="340" t="s">
        <v>11</v>
      </c>
      <c r="S5" s="341"/>
      <c r="T5" s="490" t="s">
        <v>12</v>
      </c>
      <c r="U5" s="364"/>
      <c r="Z5" s="51"/>
      <c r="AA5" s="51"/>
      <c r="AB5" s="51"/>
    </row>
    <row r="6" spans="1:29" s="300" customFormat="1" ht="24" customHeight="1" x14ac:dyDescent="0.2">
      <c r="A6" s="519" t="s">
        <v>13</v>
      </c>
      <c r="B6" s="367"/>
      <c r="C6" s="351"/>
      <c r="D6" s="412" t="s">
        <v>14</v>
      </c>
      <c r="E6" s="413"/>
      <c r="F6" s="413"/>
      <c r="G6" s="413"/>
      <c r="H6" s="413"/>
      <c r="I6" s="413"/>
      <c r="J6" s="413"/>
      <c r="K6" s="413"/>
      <c r="L6" s="364"/>
      <c r="N6" s="24" t="s">
        <v>15</v>
      </c>
      <c r="O6" s="560" t="str">
        <f>IF(O5=0," ",CHOOSE(WEEKDAY(O5,2),"Понедельник","Вторник","Среда","Четверг","Пятница","Суббота","Воскресенье"))</f>
        <v>Пятница</v>
      </c>
      <c r="P6" s="314"/>
      <c r="R6" s="590" t="s">
        <v>16</v>
      </c>
      <c r="S6" s="341"/>
      <c r="T6" s="494" t="s">
        <v>17</v>
      </c>
      <c r="U6" s="495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77" t="str">
        <f>IFERROR(VLOOKUP(DeliveryAddress,Table,3,0),1)</f>
        <v>1</v>
      </c>
      <c r="E7" s="478"/>
      <c r="F7" s="478"/>
      <c r="G7" s="478"/>
      <c r="H7" s="478"/>
      <c r="I7" s="478"/>
      <c r="J7" s="478"/>
      <c r="K7" s="478"/>
      <c r="L7" s="425"/>
      <c r="N7" s="24"/>
      <c r="O7" s="42"/>
      <c r="P7" s="42"/>
      <c r="R7" s="321"/>
      <c r="S7" s="341"/>
      <c r="T7" s="496"/>
      <c r="U7" s="497"/>
      <c r="Z7" s="51"/>
      <c r="AA7" s="51"/>
      <c r="AB7" s="51"/>
    </row>
    <row r="8" spans="1:29" s="300" customFormat="1" ht="25.5" customHeight="1" x14ac:dyDescent="0.2">
      <c r="A8" s="331" t="s">
        <v>18</v>
      </c>
      <c r="B8" s="327"/>
      <c r="C8" s="328"/>
      <c r="D8" s="583" t="s">
        <v>19</v>
      </c>
      <c r="E8" s="584"/>
      <c r="F8" s="584"/>
      <c r="G8" s="584"/>
      <c r="H8" s="584"/>
      <c r="I8" s="584"/>
      <c r="J8" s="584"/>
      <c r="K8" s="584"/>
      <c r="L8" s="585"/>
      <c r="N8" s="24" t="s">
        <v>20</v>
      </c>
      <c r="O8" s="399">
        <v>0.33333333333333331</v>
      </c>
      <c r="P8" s="364"/>
      <c r="R8" s="321"/>
      <c r="S8" s="341"/>
      <c r="T8" s="496"/>
      <c r="U8" s="497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2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21</v>
      </c>
      <c r="O9" s="363"/>
      <c r="P9" s="364"/>
      <c r="R9" s="321"/>
      <c r="S9" s="341"/>
      <c r="T9" s="498"/>
      <c r="U9" s="499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2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29" t="str">
        <f>IFERROR(VLOOKUP($D$10,Proxy,2,FALSE),"")</f>
        <v/>
      </c>
      <c r="I10" s="321"/>
      <c r="J10" s="321"/>
      <c r="K10" s="321"/>
      <c r="L10" s="321"/>
      <c r="N10" s="26" t="s">
        <v>22</v>
      </c>
      <c r="O10" s="399"/>
      <c r="P10" s="364"/>
      <c r="S10" s="24" t="s">
        <v>23</v>
      </c>
      <c r="T10" s="623" t="s">
        <v>24</v>
      </c>
      <c r="U10" s="495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399"/>
      <c r="P11" s="364"/>
      <c r="S11" s="24" t="s">
        <v>27</v>
      </c>
      <c r="T11" s="386" t="s">
        <v>28</v>
      </c>
      <c r="U11" s="387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51"/>
      <c r="N12" s="24" t="s">
        <v>30</v>
      </c>
      <c r="O12" s="424"/>
      <c r="P12" s="425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51"/>
      <c r="M13" s="26"/>
      <c r="N13" s="26" t="s">
        <v>32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51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70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51"/>
      <c r="N15" s="535" t="s">
        <v>35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36</v>
      </c>
      <c r="B17" s="315" t="s">
        <v>37</v>
      </c>
      <c r="C17" s="527" t="s">
        <v>38</v>
      </c>
      <c r="D17" s="315" t="s">
        <v>39</v>
      </c>
      <c r="E17" s="316"/>
      <c r="F17" s="315" t="s">
        <v>40</v>
      </c>
      <c r="G17" s="315" t="s">
        <v>41</v>
      </c>
      <c r="H17" s="315" t="s">
        <v>42</v>
      </c>
      <c r="I17" s="315" t="s">
        <v>43</v>
      </c>
      <c r="J17" s="315" t="s">
        <v>44</v>
      </c>
      <c r="K17" s="315" t="s">
        <v>45</v>
      </c>
      <c r="L17" s="315" t="s">
        <v>46</v>
      </c>
      <c r="M17" s="315" t="s">
        <v>47</v>
      </c>
      <c r="N17" s="315" t="s">
        <v>48</v>
      </c>
      <c r="O17" s="557"/>
      <c r="P17" s="557"/>
      <c r="Q17" s="557"/>
      <c r="R17" s="316"/>
      <c r="S17" s="350" t="s">
        <v>49</v>
      </c>
      <c r="T17" s="351"/>
      <c r="U17" s="315" t="s">
        <v>50</v>
      </c>
      <c r="V17" s="315" t="s">
        <v>51</v>
      </c>
      <c r="W17" s="603" t="s">
        <v>52</v>
      </c>
      <c r="X17" s="315" t="s">
        <v>53</v>
      </c>
      <c r="Y17" s="329" t="s">
        <v>54</v>
      </c>
      <c r="Z17" s="329" t="s">
        <v>55</v>
      </c>
      <c r="AA17" s="329" t="s">
        <v>56</v>
      </c>
      <c r="AB17" s="597"/>
      <c r="AC17" s="598"/>
      <c r="AD17" s="528"/>
      <c r="BA17" s="594" t="s">
        <v>57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58"/>
      <c r="P18" s="558"/>
      <c r="Q18" s="558"/>
      <c r="R18" s="318"/>
      <c r="S18" s="301" t="s">
        <v>58</v>
      </c>
      <c r="T18" s="301" t="s">
        <v>59</v>
      </c>
      <c r="U18" s="319"/>
      <c r="V18" s="319"/>
      <c r="W18" s="604"/>
      <c r="X18" s="319"/>
      <c r="Y18" s="330"/>
      <c r="Z18" s="330"/>
      <c r="AA18" s="599"/>
      <c r="AB18" s="600"/>
      <c r="AC18" s="601"/>
      <c r="AD18" s="529"/>
      <c r="BA18" s="321"/>
    </row>
    <row r="19" spans="1:53" ht="27.75" customHeight="1" x14ac:dyDescent="0.2">
      <c r="A19" s="368" t="s">
        <v>60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48"/>
      <c r="Z19" s="48"/>
    </row>
    <row r="20" spans="1:53" ht="16.5" customHeight="1" x14ac:dyDescent="0.25">
      <c r="A20" s="339" t="s">
        <v>60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customHeight="1" x14ac:dyDescent="0.25">
      <c r="A21" s="320" t="s">
        <v>61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67</v>
      </c>
      <c r="O23" s="327"/>
      <c r="P23" s="327"/>
      <c r="Q23" s="327"/>
      <c r="R23" s="327"/>
      <c r="S23" s="327"/>
      <c r="T23" s="32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67</v>
      </c>
      <c r="O24" s="327"/>
      <c r="P24" s="327"/>
      <c r="Q24" s="327"/>
      <c r="R24" s="327"/>
      <c r="S24" s="327"/>
      <c r="T24" s="32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0" t="s">
        <v>69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4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67</v>
      </c>
      <c r="O32" s="327"/>
      <c r="P32" s="327"/>
      <c r="Q32" s="327"/>
      <c r="R32" s="327"/>
      <c r="S32" s="327"/>
      <c r="T32" s="32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67</v>
      </c>
      <c r="O33" s="327"/>
      <c r="P33" s="327"/>
      <c r="Q33" s="327"/>
      <c r="R33" s="327"/>
      <c r="S33" s="327"/>
      <c r="T33" s="32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0" t="s">
        <v>82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67</v>
      </c>
      <c r="O36" s="327"/>
      <c r="P36" s="327"/>
      <c r="Q36" s="327"/>
      <c r="R36" s="327"/>
      <c r="S36" s="327"/>
      <c r="T36" s="32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67</v>
      </c>
      <c r="O37" s="327"/>
      <c r="P37" s="327"/>
      <c r="Q37" s="327"/>
      <c r="R37" s="327"/>
      <c r="S37" s="327"/>
      <c r="T37" s="32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0" t="s">
        <v>87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67</v>
      </c>
      <c r="O40" s="327"/>
      <c r="P40" s="327"/>
      <c r="Q40" s="327"/>
      <c r="R40" s="327"/>
      <c r="S40" s="327"/>
      <c r="T40" s="32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67</v>
      </c>
      <c r="O41" s="327"/>
      <c r="P41" s="327"/>
      <c r="Q41" s="327"/>
      <c r="R41" s="327"/>
      <c r="S41" s="327"/>
      <c r="T41" s="32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0" t="s">
        <v>91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67</v>
      </c>
      <c r="O44" s="327"/>
      <c r="P44" s="327"/>
      <c r="Q44" s="327"/>
      <c r="R44" s="327"/>
      <c r="S44" s="327"/>
      <c r="T44" s="32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67</v>
      </c>
      <c r="O45" s="327"/>
      <c r="P45" s="327"/>
      <c r="Q45" s="327"/>
      <c r="R45" s="327"/>
      <c r="S45" s="327"/>
      <c r="T45" s="32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8" t="s">
        <v>94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48"/>
      <c r="Z46" s="48"/>
    </row>
    <row r="47" spans="1:53" ht="16.5" customHeight="1" x14ac:dyDescent="0.25">
      <c r="A47" s="339" t="s">
        <v>95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customHeight="1" x14ac:dyDescent="0.25">
      <c r="A48" s="320" t="s">
        <v>96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66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66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67</v>
      </c>
      <c r="O51" s="327"/>
      <c r="P51" s="327"/>
      <c r="Q51" s="327"/>
      <c r="R51" s="327"/>
      <c r="S51" s="327"/>
      <c r="T51" s="328"/>
      <c r="U51" s="37" t="s">
        <v>68</v>
      </c>
      <c r="V51" s="309">
        <f>IFERROR(V49/H49,"0")+IFERROR(V50/H50,"0")</f>
        <v>33.333333333333329</v>
      </c>
      <c r="W51" s="309">
        <f>IFERROR(W49/H49,"0")+IFERROR(W50/H50,"0")</f>
        <v>34</v>
      </c>
      <c r="X51" s="309">
        <f>IFERROR(IF(X49="",0,X49),"0")+IFERROR(IF(X50="",0,X50),"0")</f>
        <v>0.25602000000000003</v>
      </c>
      <c r="Y51" s="310"/>
      <c r="Z51" s="310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67</v>
      </c>
      <c r="O52" s="327"/>
      <c r="P52" s="327"/>
      <c r="Q52" s="327"/>
      <c r="R52" s="327"/>
      <c r="S52" s="327"/>
      <c r="T52" s="328"/>
      <c r="U52" s="37" t="s">
        <v>66</v>
      </c>
      <c r="V52" s="309">
        <f>IFERROR(SUM(V49:V50),"0")</f>
        <v>90</v>
      </c>
      <c r="W52" s="309">
        <f>IFERROR(SUM(W49:W50),"0")</f>
        <v>91.800000000000011</v>
      </c>
      <c r="X52" s="37"/>
      <c r="Y52" s="310"/>
      <c r="Z52" s="310"/>
    </row>
    <row r="53" spans="1:53" ht="16.5" customHeight="1" x14ac:dyDescent="0.25">
      <c r="A53" s="339" t="s">
        <v>103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customHeight="1" x14ac:dyDescent="0.25">
      <c r="A54" s="320" t="s">
        <v>104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14"/>
      <c r="S55" s="34"/>
      <c r="T55" s="34"/>
      <c r="U55" s="35" t="s">
        <v>66</v>
      </c>
      <c r="V55" s="307">
        <v>250</v>
      </c>
      <c r="W55" s="308">
        <f>IFERROR(IF(V55="",0,CEILING((V55/$H55),1)*$H55),"")</f>
        <v>259.20000000000005</v>
      </c>
      <c r="X55" s="36">
        <f>IFERROR(IF(W55=0,"",ROUNDUP(W55/H55,0)*0.02175),"")</f>
        <v>0.52200000000000002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22" t="s">
        <v>109</v>
      </c>
      <c r="O56" s="325"/>
      <c r="P56" s="325"/>
      <c r="Q56" s="325"/>
      <c r="R56" s="314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66</v>
      </c>
      <c r="V57" s="307">
        <v>855</v>
      </c>
      <c r="W57" s="308">
        <f>IFERROR(IF(V57="",0,CEILING((V57/$H57),1)*$H57),"")</f>
        <v>855</v>
      </c>
      <c r="X57" s="36">
        <f>IFERROR(IF(W57=0,"",ROUNDUP(W57/H57,0)*0.00937),"")</f>
        <v>1.7803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522" t="s">
        <v>114</v>
      </c>
      <c r="O58" s="325"/>
      <c r="P58" s="325"/>
      <c r="Q58" s="325"/>
      <c r="R58" s="314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67</v>
      </c>
      <c r="O59" s="327"/>
      <c r="P59" s="327"/>
      <c r="Q59" s="327"/>
      <c r="R59" s="327"/>
      <c r="S59" s="327"/>
      <c r="T59" s="328"/>
      <c r="U59" s="37" t="s">
        <v>68</v>
      </c>
      <c r="V59" s="309">
        <f>IFERROR(V55/H55,"0")+IFERROR(V56/H56,"0")+IFERROR(V57/H57,"0")+IFERROR(V58/H58,"0")</f>
        <v>213.14814814814815</v>
      </c>
      <c r="W59" s="309">
        <f>IFERROR(W55/H55,"0")+IFERROR(W56/H56,"0")+IFERROR(W57/H57,"0")+IFERROR(W58/H58,"0")</f>
        <v>214</v>
      </c>
      <c r="X59" s="309">
        <f>IFERROR(IF(X55="",0,X55),"0")+IFERROR(IF(X56="",0,X56),"0")+IFERROR(IF(X57="",0,X57),"0")+IFERROR(IF(X58="",0,X58),"0")</f>
        <v>2.3022999999999998</v>
      </c>
      <c r="Y59" s="310"/>
      <c r="Z59" s="310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67</v>
      </c>
      <c r="O60" s="327"/>
      <c r="P60" s="327"/>
      <c r="Q60" s="327"/>
      <c r="R60" s="327"/>
      <c r="S60" s="327"/>
      <c r="T60" s="328"/>
      <c r="U60" s="37" t="s">
        <v>66</v>
      </c>
      <c r="V60" s="309">
        <f>IFERROR(SUM(V55:V58),"0")</f>
        <v>1105</v>
      </c>
      <c r="W60" s="309">
        <f>IFERROR(SUM(W55:W58),"0")</f>
        <v>1114.2</v>
      </c>
      <c r="X60" s="37"/>
      <c r="Y60" s="310"/>
      <c r="Z60" s="310"/>
    </row>
    <row r="61" spans="1:53" ht="16.5" customHeight="1" x14ac:dyDescent="0.25">
      <c r="A61" s="339" t="s">
        <v>94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customHeight="1" x14ac:dyDescent="0.25">
      <c r="A62" s="320" t="s">
        <v>104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559" t="s">
        <v>117</v>
      </c>
      <c r="O63" s="325"/>
      <c r="P63" s="325"/>
      <c r="Q63" s="325"/>
      <c r="R63" s="314"/>
      <c r="S63" s="34"/>
      <c r="T63" s="34"/>
      <c r="U63" s="35" t="s">
        <v>66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4301011380</v>
      </c>
      <c r="D64" s="313">
        <v>4607091385670</v>
      </c>
      <c r="E64" s="314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5"/>
      <c r="P64" s="325"/>
      <c r="Q64" s="325"/>
      <c r="R64" s="314"/>
      <c r="S64" s="34"/>
      <c r="T64" s="34"/>
      <c r="U64" s="35" t="s">
        <v>66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122</v>
      </c>
      <c r="M65" s="32">
        <v>50</v>
      </c>
      <c r="N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66</v>
      </c>
      <c r="V65" s="307">
        <v>50</v>
      </c>
      <c r="W65" s="308">
        <f t="shared" si="2"/>
        <v>54</v>
      </c>
      <c r="X65" s="36">
        <f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4301011514</v>
      </c>
      <c r="D66" s="313">
        <v>4680115882133</v>
      </c>
      <c r="E66" s="314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99</v>
      </c>
      <c r="L66" s="33" t="s">
        <v>100</v>
      </c>
      <c r="M66" s="32">
        <v>50</v>
      </c>
      <c r="N66" s="43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5"/>
      <c r="P66" s="325"/>
      <c r="Q66" s="325"/>
      <c r="R66" s="314"/>
      <c r="S66" s="34"/>
      <c r="T66" s="34"/>
      <c r="U66" s="35" t="s">
        <v>66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66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4301011382</v>
      </c>
      <c r="D68" s="313">
        <v>4607091385687</v>
      </c>
      <c r="E68" s="314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129</v>
      </c>
      <c r="M68" s="32">
        <v>50</v>
      </c>
      <c r="N68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14"/>
      <c r="S68" s="34"/>
      <c r="T68" s="34"/>
      <c r="U68" s="35" t="s">
        <v>66</v>
      </c>
      <c r="V68" s="307">
        <v>400</v>
      </c>
      <c r="W68" s="308">
        <f t="shared" si="2"/>
        <v>400</v>
      </c>
      <c r="X68" s="36">
        <f t="shared" ref="X68:X74" si="3">IFERROR(IF(W68=0,"",ROUNDUP(W68/H68,0)*0.00937),"")</f>
        <v>0.93699999999999994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3">
        <v>4680115882539</v>
      </c>
      <c r="E69" s="314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129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14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5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129</v>
      </c>
      <c r="M72" s="32">
        <v>50</v>
      </c>
      <c r="N72" s="3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122</v>
      </c>
      <c r="M73" s="32">
        <v>50</v>
      </c>
      <c r="N73" s="5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66</v>
      </c>
      <c r="V73" s="307">
        <v>1935</v>
      </c>
      <c r="W73" s="308">
        <f t="shared" si="2"/>
        <v>1935</v>
      </c>
      <c r="X73" s="36">
        <f t="shared" si="3"/>
        <v>4.0290999999999997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508" t="s">
        <v>142</v>
      </c>
      <c r="O74" s="325"/>
      <c r="P74" s="325"/>
      <c r="Q74" s="325"/>
      <c r="R74" s="314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129</v>
      </c>
      <c r="M75" s="32">
        <v>45</v>
      </c>
      <c r="N75" s="58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129</v>
      </c>
      <c r="M76" s="32">
        <v>50</v>
      </c>
      <c r="N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129</v>
      </c>
      <c r="M77" s="32">
        <v>50</v>
      </c>
      <c r="N77" s="4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66</v>
      </c>
      <c r="V77" s="307">
        <v>495</v>
      </c>
      <c r="W77" s="308">
        <f t="shared" si="2"/>
        <v>495</v>
      </c>
      <c r="X77" s="36">
        <f>IFERROR(IF(W77=0,"",ROUNDUP(W77/H77,0)*0.00937),"")</f>
        <v>1.0306999999999999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129</v>
      </c>
      <c r="M78" s="32">
        <v>50</v>
      </c>
      <c r="N78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67</v>
      </c>
      <c r="O79" s="327"/>
      <c r="P79" s="327"/>
      <c r="Q79" s="327"/>
      <c r="R79" s="327"/>
      <c r="S79" s="327"/>
      <c r="T79" s="32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644.62962962962968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645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6.1055499999999991</v>
      </c>
      <c r="Y79" s="310"/>
      <c r="Z79" s="310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67</v>
      </c>
      <c r="O80" s="327"/>
      <c r="P80" s="327"/>
      <c r="Q80" s="327"/>
      <c r="R80" s="327"/>
      <c r="S80" s="327"/>
      <c r="T80" s="328"/>
      <c r="U80" s="37" t="s">
        <v>66</v>
      </c>
      <c r="V80" s="309">
        <f>IFERROR(SUM(V63:V78),"0")</f>
        <v>2880</v>
      </c>
      <c r="W80" s="309">
        <f>IFERROR(SUM(W63:W78),"0")</f>
        <v>2884</v>
      </c>
      <c r="X80" s="37"/>
      <c r="Y80" s="310"/>
      <c r="Z80" s="310"/>
    </row>
    <row r="81" spans="1:53" ht="14.25" customHeight="1" x14ac:dyDescent="0.25">
      <c r="A81" s="320" t="s">
        <v>96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385" t="s">
        <v>153</v>
      </c>
      <c r="O82" s="325"/>
      <c r="P82" s="325"/>
      <c r="Q82" s="325"/>
      <c r="R82" s="314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3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338" t="s">
        <v>158</v>
      </c>
      <c r="O84" s="325"/>
      <c r="P84" s="325"/>
      <c r="Q84" s="325"/>
      <c r="R84" s="314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348" t="s">
        <v>161</v>
      </c>
      <c r="O85" s="325"/>
      <c r="P85" s="325"/>
      <c r="Q85" s="325"/>
      <c r="R85" s="314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164</v>
      </c>
      <c r="L86" s="33" t="s">
        <v>129</v>
      </c>
      <c r="M86" s="32">
        <v>50</v>
      </c>
      <c r="N86" s="512" t="s">
        <v>165</v>
      </c>
      <c r="O86" s="325"/>
      <c r="P86" s="325"/>
      <c r="Q86" s="325"/>
      <c r="R86" s="314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3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67</v>
      </c>
      <c r="O89" s="327"/>
      <c r="P89" s="327"/>
      <c r="Q89" s="327"/>
      <c r="R89" s="327"/>
      <c r="S89" s="327"/>
      <c r="T89" s="32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67</v>
      </c>
      <c r="O90" s="327"/>
      <c r="P90" s="327"/>
      <c r="Q90" s="327"/>
      <c r="R90" s="327"/>
      <c r="S90" s="327"/>
      <c r="T90" s="32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20" t="s">
        <v>61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4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164</v>
      </c>
      <c r="L97" s="33" t="s">
        <v>65</v>
      </c>
      <c r="M97" s="32">
        <v>40</v>
      </c>
      <c r="N97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164</v>
      </c>
      <c r="L98" s="33" t="s">
        <v>65</v>
      </c>
      <c r="M98" s="32">
        <v>45</v>
      </c>
      <c r="N98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164</v>
      </c>
      <c r="L99" s="33" t="s">
        <v>65</v>
      </c>
      <c r="M99" s="32">
        <v>40</v>
      </c>
      <c r="N99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67</v>
      </c>
      <c r="O100" s="327"/>
      <c r="P100" s="327"/>
      <c r="Q100" s="327"/>
      <c r="R100" s="327"/>
      <c r="S100" s="327"/>
      <c r="T100" s="32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67</v>
      </c>
      <c r="O101" s="327"/>
      <c r="P101" s="327"/>
      <c r="Q101" s="327"/>
      <c r="R101" s="327"/>
      <c r="S101" s="327"/>
      <c r="T101" s="32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20" t="s">
        <v>69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customHeight="1" x14ac:dyDescent="0.25">
      <c r="A103" s="54" t="s">
        <v>186</v>
      </c>
      <c r="B103" s="54" t="s">
        <v>187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129</v>
      </c>
      <c r="M103" s="32">
        <v>45</v>
      </c>
      <c r="N103" s="568" t="s">
        <v>188</v>
      </c>
      <c r="O103" s="325"/>
      <c r="P103" s="325"/>
      <c r="Q103" s="325"/>
      <c r="R103" s="314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186</v>
      </c>
      <c r="B104" s="54" t="s">
        <v>189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617" t="s">
        <v>190</v>
      </c>
      <c r="O104" s="325"/>
      <c r="P104" s="325"/>
      <c r="Q104" s="325"/>
      <c r="R104" s="314"/>
      <c r="S104" s="34"/>
      <c r="T104" s="34"/>
      <c r="U104" s="35" t="s">
        <v>66</v>
      </c>
      <c r="V104" s="307">
        <v>160</v>
      </c>
      <c r="W104" s="308">
        <f t="shared" si="6"/>
        <v>168</v>
      </c>
      <c r="X104" s="36">
        <f>IFERROR(IF(W104=0,"",ROUNDUP(W104/H104,0)*0.02175),"")</f>
        <v>0.43499999999999994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191</v>
      </c>
      <c r="B105" s="54" t="s">
        <v>192</v>
      </c>
      <c r="C105" s="31">
        <v>4301051311</v>
      </c>
      <c r="D105" s="313">
        <v>4607091385304</v>
      </c>
      <c r="E105" s="314"/>
      <c r="F105" s="306">
        <v>1.35</v>
      </c>
      <c r="G105" s="32">
        <v>6</v>
      </c>
      <c r="H105" s="306">
        <v>8.1</v>
      </c>
      <c r="I105" s="306">
        <v>8.6639999999999997</v>
      </c>
      <c r="J105" s="32">
        <v>56</v>
      </c>
      <c r="K105" s="32" t="s">
        <v>99</v>
      </c>
      <c r="L105" s="33" t="s">
        <v>65</v>
      </c>
      <c r="M105" s="32">
        <v>40</v>
      </c>
      <c r="N105" s="4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5" s="325"/>
      <c r="P105" s="325"/>
      <c r="Q105" s="325"/>
      <c r="R105" s="314"/>
      <c r="S105" s="34"/>
      <c r="T105" s="34"/>
      <c r="U105" s="35" t="s">
        <v>66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193</v>
      </c>
      <c r="B106" s="54" t="s">
        <v>194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195</v>
      </c>
      <c r="B107" s="54" t="s">
        <v>196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129</v>
      </c>
      <c r="M107" s="32">
        <v>45</v>
      </c>
      <c r="N107" s="422" t="s">
        <v>197</v>
      </c>
      <c r="O107" s="325"/>
      <c r="P107" s="325"/>
      <c r="Q107" s="325"/>
      <c r="R107" s="314"/>
      <c r="S107" s="34"/>
      <c r="T107" s="34"/>
      <c r="U107" s="35" t="s">
        <v>66</v>
      </c>
      <c r="V107" s="307">
        <v>1035</v>
      </c>
      <c r="W107" s="308">
        <f t="shared" si="6"/>
        <v>1036.8000000000002</v>
      </c>
      <c r="X107" s="36">
        <f>IFERROR(IF(W107=0,"",ROUNDUP(W107/H107,0)*0.00753),"")</f>
        <v>2.8915199999999999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198</v>
      </c>
      <c r="B108" s="54" t="s">
        <v>199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129</v>
      </c>
      <c r="M108" s="32">
        <v>45</v>
      </c>
      <c r="N108" s="462" t="s">
        <v>200</v>
      </c>
      <c r="O108" s="325"/>
      <c r="P108" s="325"/>
      <c r="Q108" s="325"/>
      <c r="R108" s="314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129</v>
      </c>
      <c r="M109" s="32">
        <v>45</v>
      </c>
      <c r="N109" s="455" t="s">
        <v>203</v>
      </c>
      <c r="O109" s="325"/>
      <c r="P109" s="325"/>
      <c r="Q109" s="325"/>
      <c r="R109" s="314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3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66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439" t="s">
        <v>208</v>
      </c>
      <c r="O111" s="325"/>
      <c r="P111" s="325"/>
      <c r="Q111" s="325"/>
      <c r="R111" s="314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67</v>
      </c>
      <c r="O112" s="327"/>
      <c r="P112" s="327"/>
      <c r="Q112" s="327"/>
      <c r="R112" s="327"/>
      <c r="S112" s="327"/>
      <c r="T112" s="32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402.38095238095235</v>
      </c>
      <c r="W112" s="309">
        <f>IFERROR(W103/H103,"0")+IFERROR(W104/H104,"0")+IFERROR(W105/H105,"0")+IFERROR(W106/H106,"0")+IFERROR(W107/H107,"0")+IFERROR(W108/H108,"0")+IFERROR(W109/H109,"0")+IFERROR(W110/H110,"0")+IFERROR(W111/H111,"0")</f>
        <v>404.00000000000006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3.3265199999999999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67</v>
      </c>
      <c r="O113" s="327"/>
      <c r="P113" s="327"/>
      <c r="Q113" s="327"/>
      <c r="R113" s="327"/>
      <c r="S113" s="327"/>
      <c r="T113" s="328"/>
      <c r="U113" s="37" t="s">
        <v>66</v>
      </c>
      <c r="V113" s="309">
        <f>IFERROR(SUM(V103:V111),"0")</f>
        <v>1195</v>
      </c>
      <c r="W113" s="309">
        <f>IFERROR(SUM(W103:W111),"0")</f>
        <v>1204.8000000000002</v>
      </c>
      <c r="X113" s="37"/>
      <c r="Y113" s="310"/>
      <c r="Z113" s="310"/>
    </row>
    <row r="114" spans="1:53" ht="14.25" customHeight="1" x14ac:dyDescent="0.25">
      <c r="A114" s="320" t="s">
        <v>209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customHeight="1" x14ac:dyDescent="0.25">
      <c r="A115" s="54" t="s">
        <v>210</v>
      </c>
      <c r="B115" s="54" t="s">
        <v>211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212</v>
      </c>
      <c r="B116" s="54" t="s">
        <v>213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129</v>
      </c>
      <c r="M116" s="32">
        <v>30</v>
      </c>
      <c r="N116" s="5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66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214</v>
      </c>
      <c r="B117" s="54" t="s">
        <v>215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435" t="s">
        <v>216</v>
      </c>
      <c r="O117" s="325"/>
      <c r="P117" s="325"/>
      <c r="Q117" s="325"/>
      <c r="R117" s="314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217</v>
      </c>
      <c r="B118" s="54" t="s">
        <v>218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5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219</v>
      </c>
      <c r="B119" s="54" t="s">
        <v>220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129</v>
      </c>
      <c r="M119" s="32">
        <v>30</v>
      </c>
      <c r="N119" s="440" t="s">
        <v>221</v>
      </c>
      <c r="O119" s="325"/>
      <c r="P119" s="325"/>
      <c r="Q119" s="325"/>
      <c r="R119" s="314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67</v>
      </c>
      <c r="O120" s="327"/>
      <c r="P120" s="327"/>
      <c r="Q120" s="327"/>
      <c r="R120" s="327"/>
      <c r="S120" s="327"/>
      <c r="T120" s="328"/>
      <c r="U120" s="37" t="s">
        <v>68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67</v>
      </c>
      <c r="O121" s="327"/>
      <c r="P121" s="327"/>
      <c r="Q121" s="327"/>
      <c r="R121" s="327"/>
      <c r="S121" s="327"/>
      <c r="T121" s="328"/>
      <c r="U121" s="37" t="s">
        <v>66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39" t="s">
        <v>222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customHeight="1" x14ac:dyDescent="0.25">
      <c r="A123" s="320" t="s">
        <v>69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customHeight="1" x14ac:dyDescent="0.25">
      <c r="A124" s="54" t="s">
        <v>223</v>
      </c>
      <c r="B124" s="54" t="s">
        <v>224</v>
      </c>
      <c r="C124" s="31">
        <v>4301051360</v>
      </c>
      <c r="D124" s="313">
        <v>4607091385168</v>
      </c>
      <c r="E124" s="314"/>
      <c r="F124" s="306">
        <v>1.35</v>
      </c>
      <c r="G124" s="32">
        <v>6</v>
      </c>
      <c r="H124" s="306">
        <v>8.1</v>
      </c>
      <c r="I124" s="306">
        <v>8.6579999999999995</v>
      </c>
      <c r="J124" s="32">
        <v>56</v>
      </c>
      <c r="K124" s="32" t="s">
        <v>99</v>
      </c>
      <c r="L124" s="33" t="s">
        <v>129</v>
      </c>
      <c r="M124" s="32">
        <v>45</v>
      </c>
      <c r="N124" s="5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4" s="325"/>
      <c r="P124" s="325"/>
      <c r="Q124" s="325"/>
      <c r="R124" s="314"/>
      <c r="S124" s="34"/>
      <c r="T124" s="34"/>
      <c r="U124" s="35" t="s">
        <v>66</v>
      </c>
      <c r="V124" s="307">
        <v>750</v>
      </c>
      <c r="W124" s="308">
        <f>IFERROR(IF(V124="",0,CEILING((V124/$H124),1)*$H124),"")</f>
        <v>753.3</v>
      </c>
      <c r="X124" s="36">
        <f>IFERROR(IF(W124=0,"",ROUNDUP(W124/H124,0)*0.02175),"")</f>
        <v>2.0227499999999998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225</v>
      </c>
      <c r="B125" s="54" t="s">
        <v>226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129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227</v>
      </c>
      <c r="B126" s="54" t="s">
        <v>228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129</v>
      </c>
      <c r="M126" s="32">
        <v>45</v>
      </c>
      <c r="N126" s="5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66</v>
      </c>
      <c r="V126" s="307">
        <v>702.9</v>
      </c>
      <c r="W126" s="308">
        <f>IFERROR(IF(V126="",0,CEILING((V126/$H126),1)*$H126),"")</f>
        <v>704.7</v>
      </c>
      <c r="X126" s="36">
        <f>IFERROR(IF(W126=0,"",ROUNDUP(W126/H126,0)*0.00753),"")</f>
        <v>1.96533</v>
      </c>
      <c r="Y126" s="56"/>
      <c r="Z126" s="57"/>
      <c r="AD126" s="58"/>
      <c r="BA126" s="122" t="s">
        <v>1</v>
      </c>
    </row>
    <row r="127" spans="1:53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67</v>
      </c>
      <c r="O127" s="327"/>
      <c r="P127" s="327"/>
      <c r="Q127" s="327"/>
      <c r="R127" s="327"/>
      <c r="S127" s="327"/>
      <c r="T127" s="328"/>
      <c r="U127" s="37" t="s">
        <v>68</v>
      </c>
      <c r="V127" s="309">
        <f>IFERROR(V124/H124,"0")+IFERROR(V125/H125,"0")+IFERROR(V126/H126,"0")</f>
        <v>352.92592592592592</v>
      </c>
      <c r="W127" s="309">
        <f>IFERROR(W124/H124,"0")+IFERROR(W125/H125,"0")+IFERROR(W126/H126,"0")</f>
        <v>354</v>
      </c>
      <c r="X127" s="309">
        <f>IFERROR(IF(X124="",0,X124),"0")+IFERROR(IF(X125="",0,X125),"0")+IFERROR(IF(X126="",0,X126),"0")</f>
        <v>3.9880800000000001</v>
      </c>
      <c r="Y127" s="310"/>
      <c r="Z127" s="310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67</v>
      </c>
      <c r="O128" s="327"/>
      <c r="P128" s="327"/>
      <c r="Q128" s="327"/>
      <c r="R128" s="327"/>
      <c r="S128" s="327"/>
      <c r="T128" s="328"/>
      <c r="U128" s="37" t="s">
        <v>66</v>
      </c>
      <c r="V128" s="309">
        <f>IFERROR(SUM(V124:V126),"0")</f>
        <v>1452.9</v>
      </c>
      <c r="W128" s="309">
        <f>IFERROR(SUM(W124:W126),"0")</f>
        <v>1458</v>
      </c>
      <c r="X128" s="37"/>
      <c r="Y128" s="310"/>
      <c r="Z128" s="310"/>
    </row>
    <row r="129" spans="1:53" ht="27.75" customHeight="1" x14ac:dyDescent="0.2">
      <c r="A129" s="368" t="s">
        <v>229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48"/>
      <c r="Z129" s="48"/>
    </row>
    <row r="130" spans="1:53" ht="16.5" customHeight="1" x14ac:dyDescent="0.25">
      <c r="A130" s="339" t="s">
        <v>230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customHeight="1" x14ac:dyDescent="0.25">
      <c r="A131" s="320" t="s">
        <v>104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customHeight="1" x14ac:dyDescent="0.25">
      <c r="A132" s="54" t="s">
        <v>231</v>
      </c>
      <c r="B132" s="54" t="s">
        <v>232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129</v>
      </c>
      <c r="M132" s="32">
        <v>35</v>
      </c>
      <c r="N132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233</v>
      </c>
      <c r="B133" s="54" t="s">
        <v>234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4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235</v>
      </c>
      <c r="B134" s="54" t="s">
        <v>236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5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67</v>
      </c>
      <c r="O135" s="327"/>
      <c r="P135" s="327"/>
      <c r="Q135" s="327"/>
      <c r="R135" s="327"/>
      <c r="S135" s="327"/>
      <c r="T135" s="32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67</v>
      </c>
      <c r="O136" s="327"/>
      <c r="P136" s="327"/>
      <c r="Q136" s="327"/>
      <c r="R136" s="327"/>
      <c r="S136" s="327"/>
      <c r="T136" s="32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39" t="s">
        <v>237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customHeight="1" x14ac:dyDescent="0.25">
      <c r="A138" s="320" t="s">
        <v>61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27" customHeight="1" x14ac:dyDescent="0.25">
      <c r="A139" s="54" t="s">
        <v>238</v>
      </c>
      <c r="B139" s="54" t="s">
        <v>239</v>
      </c>
      <c r="C139" s="31">
        <v>4301031191</v>
      </c>
      <c r="D139" s="313">
        <v>4680115880993</v>
      </c>
      <c r="E139" s="314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64</v>
      </c>
      <c r="L139" s="33" t="s">
        <v>65</v>
      </c>
      <c r="M139" s="32">
        <v>40</v>
      </c>
      <c r="N13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5"/>
      <c r="P139" s="325"/>
      <c r="Q139" s="325"/>
      <c r="R139" s="314"/>
      <c r="S139" s="34"/>
      <c r="T139" s="34"/>
      <c r="U139" s="35" t="s">
        <v>66</v>
      </c>
      <c r="V139" s="307">
        <v>100</v>
      </c>
      <c r="W139" s="308">
        <f t="shared" ref="W139:W146" si="7">IFERROR(IF(V139="",0,CEILING((V139/$H139),1)*$H139),"")</f>
        <v>100.80000000000001</v>
      </c>
      <c r="X139" s="36">
        <f>IFERROR(IF(W139=0,"",ROUNDUP(W139/H139,0)*0.00753),"")</f>
        <v>0.18071999999999999</v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240</v>
      </c>
      <c r="B140" s="54" t="s">
        <v>241</v>
      </c>
      <c r="C140" s="31">
        <v>4301031204</v>
      </c>
      <c r="D140" s="313">
        <v>4680115881761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5"/>
      <c r="P140" s="325"/>
      <c r="Q140" s="325"/>
      <c r="R140" s="314"/>
      <c r="S140" s="34"/>
      <c r="T140" s="34"/>
      <c r="U140" s="35" t="s">
        <v>66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242</v>
      </c>
      <c r="B141" s="54" t="s">
        <v>243</v>
      </c>
      <c r="C141" s="31">
        <v>4301031201</v>
      </c>
      <c r="D141" s="313">
        <v>4680115881563</v>
      </c>
      <c r="E141" s="314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64</v>
      </c>
      <c r="L141" s="33" t="s">
        <v>65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4301031199</v>
      </c>
      <c r="D142" s="313">
        <v>4680115880986</v>
      </c>
      <c r="E142" s="314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164</v>
      </c>
      <c r="L142" s="33" t="s">
        <v>65</v>
      </c>
      <c r="M142" s="32">
        <v>40</v>
      </c>
      <c r="N142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5"/>
      <c r="P142" s="325"/>
      <c r="Q142" s="325"/>
      <c r="R142" s="314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4301031190</v>
      </c>
      <c r="D143" s="313">
        <v>4680115880207</v>
      </c>
      <c r="E143" s="314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64</v>
      </c>
      <c r="L143" s="33" t="s">
        <v>65</v>
      </c>
      <c r="M143" s="32">
        <v>40</v>
      </c>
      <c r="N143" s="3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5"/>
      <c r="P143" s="325"/>
      <c r="Q143" s="325"/>
      <c r="R143" s="314"/>
      <c r="S143" s="34"/>
      <c r="T143" s="34"/>
      <c r="U143" s="35" t="s">
        <v>66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4301031205</v>
      </c>
      <c r="D144" s="313">
        <v>4680115881785</v>
      </c>
      <c r="E144" s="314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164</v>
      </c>
      <c r="L144" s="33" t="s">
        <v>65</v>
      </c>
      <c r="M144" s="32">
        <v>40</v>
      </c>
      <c r="N144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5"/>
      <c r="P144" s="325"/>
      <c r="Q144" s="325"/>
      <c r="R144" s="314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4301031202</v>
      </c>
      <c r="D145" s="313">
        <v>4680115881679</v>
      </c>
      <c r="E145" s="314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164</v>
      </c>
      <c r="L145" s="33" t="s">
        <v>65</v>
      </c>
      <c r="M145" s="32">
        <v>40</v>
      </c>
      <c r="N14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5"/>
      <c r="P145" s="325"/>
      <c r="Q145" s="325"/>
      <c r="R145" s="314"/>
      <c r="S145" s="34"/>
      <c r="T145" s="34"/>
      <c r="U145" s="35" t="s">
        <v>66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4301031158</v>
      </c>
      <c r="D146" s="313">
        <v>4680115880191</v>
      </c>
      <c r="E146" s="314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64</v>
      </c>
      <c r="L146" s="33" t="s">
        <v>65</v>
      </c>
      <c r="M146" s="32">
        <v>40</v>
      </c>
      <c r="N146" s="3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5"/>
      <c r="P146" s="325"/>
      <c r="Q146" s="325"/>
      <c r="R146" s="314"/>
      <c r="S146" s="34"/>
      <c r="T146" s="34"/>
      <c r="U146" s="35" t="s">
        <v>66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22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3"/>
      <c r="N147" s="326" t="s">
        <v>67</v>
      </c>
      <c r="O147" s="327"/>
      <c r="P147" s="327"/>
      <c r="Q147" s="327"/>
      <c r="R147" s="327"/>
      <c r="S147" s="327"/>
      <c r="T147" s="328"/>
      <c r="U147" s="37" t="s">
        <v>68</v>
      </c>
      <c r="V147" s="309">
        <f>IFERROR(V139/H139,"0")+IFERROR(V140/H140,"0")+IFERROR(V141/H141,"0")+IFERROR(V142/H142,"0")+IFERROR(V143/H143,"0")+IFERROR(V144/H144,"0")+IFERROR(V145/H145,"0")+IFERROR(V146/H146,"0")</f>
        <v>23.80952380952381</v>
      </c>
      <c r="W147" s="309">
        <f>IFERROR(W139/H139,"0")+IFERROR(W140/H140,"0")+IFERROR(W141/H141,"0")+IFERROR(W142/H142,"0")+IFERROR(W143/H143,"0")+IFERROR(W144/H144,"0")+IFERROR(W145/H145,"0")+IFERROR(W146/H146,"0")</f>
        <v>24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0.18071999999999999</v>
      </c>
      <c r="Y147" s="310"/>
      <c r="Z147" s="310"/>
    </row>
    <row r="148" spans="1:53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67</v>
      </c>
      <c r="O148" s="327"/>
      <c r="P148" s="327"/>
      <c r="Q148" s="327"/>
      <c r="R148" s="327"/>
      <c r="S148" s="327"/>
      <c r="T148" s="328"/>
      <c r="U148" s="37" t="s">
        <v>66</v>
      </c>
      <c r="V148" s="309">
        <f>IFERROR(SUM(V139:V146),"0")</f>
        <v>100</v>
      </c>
      <c r="W148" s="309">
        <f>IFERROR(SUM(W139:W146),"0")</f>
        <v>100.80000000000001</v>
      </c>
      <c r="X148" s="37"/>
      <c r="Y148" s="310"/>
      <c r="Z148" s="310"/>
    </row>
    <row r="149" spans="1:53" ht="16.5" customHeight="1" x14ac:dyDescent="0.25">
      <c r="A149" s="339" t="s">
        <v>254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02"/>
      <c r="Z149" s="302"/>
    </row>
    <row r="150" spans="1:53" ht="14.25" customHeight="1" x14ac:dyDescent="0.25">
      <c r="A150" s="320" t="s">
        <v>104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3"/>
      <c r="Z150" s="303"/>
    </row>
    <row r="151" spans="1:53" ht="16.5" customHeight="1" x14ac:dyDescent="0.25">
      <c r="A151" s="54" t="s">
        <v>255</v>
      </c>
      <c r="B151" s="54" t="s">
        <v>256</v>
      </c>
      <c r="C151" s="31">
        <v>4301011450</v>
      </c>
      <c r="D151" s="313">
        <v>4680115881402</v>
      </c>
      <c r="E151" s="314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99</v>
      </c>
      <c r="L151" s="33" t="s">
        <v>100</v>
      </c>
      <c r="M151" s="32">
        <v>55</v>
      </c>
      <c r="N151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25"/>
      <c r="P151" s="325"/>
      <c r="Q151" s="325"/>
      <c r="R151" s="314"/>
      <c r="S151" s="34"/>
      <c r="T151" s="34"/>
      <c r="U151" s="35" t="s">
        <v>66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257</v>
      </c>
      <c r="B152" s="54" t="s">
        <v>258</v>
      </c>
      <c r="C152" s="31">
        <v>4301011454</v>
      </c>
      <c r="D152" s="313">
        <v>4680115881396</v>
      </c>
      <c r="E152" s="314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64</v>
      </c>
      <c r="L152" s="33" t="s">
        <v>65</v>
      </c>
      <c r="M152" s="32">
        <v>55</v>
      </c>
      <c r="N152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25"/>
      <c r="P152" s="325"/>
      <c r="Q152" s="325"/>
      <c r="R152" s="314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22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3"/>
      <c r="N153" s="326" t="s">
        <v>67</v>
      </c>
      <c r="O153" s="327"/>
      <c r="P153" s="327"/>
      <c r="Q153" s="327"/>
      <c r="R153" s="327"/>
      <c r="S153" s="327"/>
      <c r="T153" s="328"/>
      <c r="U153" s="37" t="s">
        <v>68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67</v>
      </c>
      <c r="O154" s="327"/>
      <c r="P154" s="327"/>
      <c r="Q154" s="327"/>
      <c r="R154" s="327"/>
      <c r="S154" s="327"/>
      <c r="T154" s="328"/>
      <c r="U154" s="37" t="s">
        <v>66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20" t="s">
        <v>96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3"/>
      <c r="Z155" s="303"/>
    </row>
    <row r="156" spans="1:53" ht="16.5" customHeight="1" x14ac:dyDescent="0.25">
      <c r="A156" s="54" t="s">
        <v>259</v>
      </c>
      <c r="B156" s="54" t="s">
        <v>260</v>
      </c>
      <c r="C156" s="31">
        <v>4301020262</v>
      </c>
      <c r="D156" s="313">
        <v>4680115882935</v>
      </c>
      <c r="E156" s="314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99</v>
      </c>
      <c r="L156" s="33" t="s">
        <v>129</v>
      </c>
      <c r="M156" s="32">
        <v>50</v>
      </c>
      <c r="N156" s="347" t="s">
        <v>261</v>
      </c>
      <c r="O156" s="325"/>
      <c r="P156" s="325"/>
      <c r="Q156" s="325"/>
      <c r="R156" s="314"/>
      <c r="S156" s="34"/>
      <c r="T156" s="34"/>
      <c r="U156" s="35" t="s">
        <v>66</v>
      </c>
      <c r="V156" s="307">
        <v>20</v>
      </c>
      <c r="W156" s="308">
        <f>IFERROR(IF(V156="",0,CEILING((V156/$H156),1)*$H156),"")</f>
        <v>21.6</v>
      </c>
      <c r="X156" s="36">
        <f>IFERROR(IF(W156=0,"",ROUNDUP(W156/H156,0)*0.02175),"")</f>
        <v>4.3499999999999997E-2</v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262</v>
      </c>
      <c r="B157" s="54" t="s">
        <v>263</v>
      </c>
      <c r="C157" s="31">
        <v>4301020220</v>
      </c>
      <c r="D157" s="313">
        <v>4680115880764</v>
      </c>
      <c r="E157" s="314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64</v>
      </c>
      <c r="L157" s="33" t="s">
        <v>100</v>
      </c>
      <c r="M157" s="32">
        <v>50</v>
      </c>
      <c r="N157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25"/>
      <c r="P157" s="325"/>
      <c r="Q157" s="325"/>
      <c r="R157" s="314"/>
      <c r="S157" s="34"/>
      <c r="T157" s="34"/>
      <c r="U157" s="35" t="s">
        <v>66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22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3"/>
      <c r="N158" s="326" t="s">
        <v>67</v>
      </c>
      <c r="O158" s="327"/>
      <c r="P158" s="327"/>
      <c r="Q158" s="327"/>
      <c r="R158" s="327"/>
      <c r="S158" s="327"/>
      <c r="T158" s="328"/>
      <c r="U158" s="37" t="s">
        <v>68</v>
      </c>
      <c r="V158" s="309">
        <f>IFERROR(V156/H156,"0")+IFERROR(V157/H157,"0")</f>
        <v>1.8518518518518516</v>
      </c>
      <c r="W158" s="309">
        <f>IFERROR(W156/H156,"0")+IFERROR(W157/H157,"0")</f>
        <v>2</v>
      </c>
      <c r="X158" s="309">
        <f>IFERROR(IF(X156="",0,X156),"0")+IFERROR(IF(X157="",0,X157),"0")</f>
        <v>4.3499999999999997E-2</v>
      </c>
      <c r="Y158" s="310"/>
      <c r="Z158" s="310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67</v>
      </c>
      <c r="O159" s="327"/>
      <c r="P159" s="327"/>
      <c r="Q159" s="327"/>
      <c r="R159" s="327"/>
      <c r="S159" s="327"/>
      <c r="T159" s="328"/>
      <c r="U159" s="37" t="s">
        <v>66</v>
      </c>
      <c r="V159" s="309">
        <f>IFERROR(SUM(V156:V157),"0")</f>
        <v>20</v>
      </c>
      <c r="W159" s="309">
        <f>IFERROR(SUM(W156:W157),"0")</f>
        <v>21.6</v>
      </c>
      <c r="X159" s="37"/>
      <c r="Y159" s="310"/>
      <c r="Z159" s="310"/>
    </row>
    <row r="160" spans="1:53" ht="14.25" customHeight="1" x14ac:dyDescent="0.25">
      <c r="A160" s="320" t="s">
        <v>61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3"/>
      <c r="Z160" s="303"/>
    </row>
    <row r="161" spans="1:53" ht="27" customHeight="1" x14ac:dyDescent="0.25">
      <c r="A161" s="54" t="s">
        <v>264</v>
      </c>
      <c r="B161" s="54" t="s">
        <v>265</v>
      </c>
      <c r="C161" s="31">
        <v>4301031224</v>
      </c>
      <c r="D161" s="313">
        <v>4680115882683</v>
      </c>
      <c r="E161" s="314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64</v>
      </c>
      <c r="L161" s="33" t="s">
        <v>65</v>
      </c>
      <c r="M161" s="32">
        <v>40</v>
      </c>
      <c r="N161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25"/>
      <c r="P161" s="325"/>
      <c r="Q161" s="325"/>
      <c r="R161" s="314"/>
      <c r="S161" s="34"/>
      <c r="T161" s="34"/>
      <c r="U161" s="35" t="s">
        <v>66</v>
      </c>
      <c r="V161" s="307">
        <v>100</v>
      </c>
      <c r="W161" s="308">
        <f>IFERROR(IF(V161="",0,CEILING((V161/$H161),1)*$H161),"")</f>
        <v>102.60000000000001</v>
      </c>
      <c r="X161" s="36">
        <f>IFERROR(IF(W161=0,"",ROUNDUP(W161/H161,0)*0.00937),"")</f>
        <v>0.17802999999999999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266</v>
      </c>
      <c r="B162" s="54" t="s">
        <v>267</v>
      </c>
      <c r="C162" s="31">
        <v>4301031230</v>
      </c>
      <c r="D162" s="313">
        <v>4680115882690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4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66</v>
      </c>
      <c r="V162" s="307">
        <v>80</v>
      </c>
      <c r="W162" s="308">
        <f>IFERROR(IF(V162="",0,CEILING((V162/$H162),1)*$H162),"")</f>
        <v>81</v>
      </c>
      <c r="X162" s="36">
        <f>IFERROR(IF(W162=0,"",ROUNDUP(W162/H162,0)*0.00937),"")</f>
        <v>0.14055000000000001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268</v>
      </c>
      <c r="B163" s="54" t="s">
        <v>269</v>
      </c>
      <c r="C163" s="31">
        <v>4301031220</v>
      </c>
      <c r="D163" s="313">
        <v>4680115882669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66</v>
      </c>
      <c r="V163" s="307">
        <v>220</v>
      </c>
      <c r="W163" s="308">
        <f>IFERROR(IF(V163="",0,CEILING((V163/$H163),1)*$H163),"")</f>
        <v>221.4</v>
      </c>
      <c r="X163" s="36">
        <f>IFERROR(IF(W163=0,"",ROUNDUP(W163/H163,0)*0.00937),"")</f>
        <v>0.38417000000000001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4301031221</v>
      </c>
      <c r="D164" s="313">
        <v>4680115882676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3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66</v>
      </c>
      <c r="V164" s="307">
        <v>80</v>
      </c>
      <c r="W164" s="308">
        <f>IFERROR(IF(V164="",0,CEILING((V164/$H164),1)*$H164),"")</f>
        <v>81</v>
      </c>
      <c r="X164" s="36">
        <f>IFERROR(IF(W164=0,"",ROUNDUP(W164/H164,0)*0.00937),"")</f>
        <v>0.14055000000000001</v>
      </c>
      <c r="Y164" s="56"/>
      <c r="Z164" s="57"/>
      <c r="AD164" s="58"/>
      <c r="BA164" s="141" t="s">
        <v>1</v>
      </c>
    </row>
    <row r="165" spans="1:53" x14ac:dyDescent="0.2">
      <c r="A165" s="322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3"/>
      <c r="N165" s="326" t="s">
        <v>67</v>
      </c>
      <c r="O165" s="327"/>
      <c r="P165" s="327"/>
      <c r="Q165" s="327"/>
      <c r="R165" s="327"/>
      <c r="S165" s="327"/>
      <c r="T165" s="328"/>
      <c r="U165" s="37" t="s">
        <v>68</v>
      </c>
      <c r="V165" s="309">
        <f>IFERROR(V161/H161,"0")+IFERROR(V162/H162,"0")+IFERROR(V163/H163,"0")+IFERROR(V164/H164,"0")</f>
        <v>88.888888888888886</v>
      </c>
      <c r="W165" s="309">
        <f>IFERROR(W161/H161,"0")+IFERROR(W162/H162,"0")+IFERROR(W163/H163,"0")+IFERROR(W164/H164,"0")</f>
        <v>90</v>
      </c>
      <c r="X165" s="309">
        <f>IFERROR(IF(X161="",0,X161),"0")+IFERROR(IF(X162="",0,X162),"0")+IFERROR(IF(X163="",0,X163),"0")+IFERROR(IF(X164="",0,X164),"0")</f>
        <v>0.84329999999999994</v>
      </c>
      <c r="Y165" s="310"/>
      <c r="Z165" s="310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67</v>
      </c>
      <c r="O166" s="327"/>
      <c r="P166" s="327"/>
      <c r="Q166" s="327"/>
      <c r="R166" s="327"/>
      <c r="S166" s="327"/>
      <c r="T166" s="328"/>
      <c r="U166" s="37" t="s">
        <v>66</v>
      </c>
      <c r="V166" s="309">
        <f>IFERROR(SUM(V161:V164),"0")</f>
        <v>480</v>
      </c>
      <c r="W166" s="309">
        <f>IFERROR(SUM(W161:W164),"0")</f>
        <v>486</v>
      </c>
      <c r="X166" s="37"/>
      <c r="Y166" s="310"/>
      <c r="Z166" s="310"/>
    </row>
    <row r="167" spans="1:53" ht="14.25" customHeight="1" x14ac:dyDescent="0.25">
      <c r="A167" s="320" t="s">
        <v>69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03"/>
      <c r="Z167" s="303"/>
    </row>
    <row r="168" spans="1:53" ht="27" customHeight="1" x14ac:dyDescent="0.25">
      <c r="A168" s="54" t="s">
        <v>272</v>
      </c>
      <c r="B168" s="54" t="s">
        <v>273</v>
      </c>
      <c r="C168" s="31">
        <v>4301051409</v>
      </c>
      <c r="D168" s="313">
        <v>4680115881556</v>
      </c>
      <c r="E168" s="314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99</v>
      </c>
      <c r="L168" s="33" t="s">
        <v>129</v>
      </c>
      <c r="M168" s="32">
        <v>45</v>
      </c>
      <c r="N168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25"/>
      <c r="P168" s="325"/>
      <c r="Q168" s="325"/>
      <c r="R168" s="314"/>
      <c r="S168" s="34"/>
      <c r="T168" s="34"/>
      <c r="U168" s="35" t="s">
        <v>66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274</v>
      </c>
      <c r="B169" s="54" t="s">
        <v>275</v>
      </c>
      <c r="C169" s="31">
        <v>4301051538</v>
      </c>
      <c r="D169" s="313">
        <v>4680115880573</v>
      </c>
      <c r="E169" s="314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99</v>
      </c>
      <c r="L169" s="33" t="s">
        <v>65</v>
      </c>
      <c r="M169" s="32">
        <v>45</v>
      </c>
      <c r="N169" s="484" t="s">
        <v>276</v>
      </c>
      <c r="O169" s="325"/>
      <c r="P169" s="325"/>
      <c r="Q169" s="325"/>
      <c r="R169" s="314"/>
      <c r="S169" s="34"/>
      <c r="T169" s="34"/>
      <c r="U169" s="35" t="s">
        <v>66</v>
      </c>
      <c r="V169" s="307">
        <v>100</v>
      </c>
      <c r="W169" s="308">
        <f t="shared" si="8"/>
        <v>104.39999999999999</v>
      </c>
      <c r="X169" s="36">
        <f>IFERROR(IF(W169=0,"",ROUNDUP(W169/H169,0)*0.02175),"")</f>
        <v>0.26100000000000001</v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277</v>
      </c>
      <c r="B170" s="54" t="s">
        <v>278</v>
      </c>
      <c r="C170" s="31">
        <v>4301051408</v>
      </c>
      <c r="D170" s="313">
        <v>4680115881594</v>
      </c>
      <c r="E170" s="314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99</v>
      </c>
      <c r="L170" s="33" t="s">
        <v>129</v>
      </c>
      <c r="M170" s="32">
        <v>40</v>
      </c>
      <c r="N170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25"/>
      <c r="P170" s="325"/>
      <c r="Q170" s="325"/>
      <c r="R170" s="314"/>
      <c r="S170" s="34"/>
      <c r="T170" s="34"/>
      <c r="U170" s="35" t="s">
        <v>66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279</v>
      </c>
      <c r="B171" s="54" t="s">
        <v>280</v>
      </c>
      <c r="C171" s="31">
        <v>4301051505</v>
      </c>
      <c r="D171" s="313">
        <v>4680115881587</v>
      </c>
      <c r="E171" s="314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99</v>
      </c>
      <c r="L171" s="33" t="s">
        <v>65</v>
      </c>
      <c r="M171" s="32">
        <v>40</v>
      </c>
      <c r="N171" s="479" t="s">
        <v>281</v>
      </c>
      <c r="O171" s="325"/>
      <c r="P171" s="325"/>
      <c r="Q171" s="325"/>
      <c r="R171" s="314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282</v>
      </c>
      <c r="B172" s="54" t="s">
        <v>283</v>
      </c>
      <c r="C172" s="31">
        <v>4301051380</v>
      </c>
      <c r="D172" s="313">
        <v>4680115880962</v>
      </c>
      <c r="E172" s="314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99</v>
      </c>
      <c r="L172" s="33" t="s">
        <v>65</v>
      </c>
      <c r="M172" s="32">
        <v>40</v>
      </c>
      <c r="N172" s="6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25"/>
      <c r="P172" s="325"/>
      <c r="Q172" s="325"/>
      <c r="R172" s="314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284</v>
      </c>
      <c r="B173" s="54" t="s">
        <v>285</v>
      </c>
      <c r="C173" s="31">
        <v>4301051411</v>
      </c>
      <c r="D173" s="313">
        <v>4680115881617</v>
      </c>
      <c r="E173" s="314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99</v>
      </c>
      <c r="L173" s="33" t="s">
        <v>129</v>
      </c>
      <c r="M173" s="32">
        <v>40</v>
      </c>
      <c r="N173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25"/>
      <c r="P173" s="325"/>
      <c r="Q173" s="325"/>
      <c r="R173" s="314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4301051487</v>
      </c>
      <c r="D174" s="313">
        <v>4680115881228</v>
      </c>
      <c r="E174" s="314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64</v>
      </c>
      <c r="L174" s="33" t="s">
        <v>65</v>
      </c>
      <c r="M174" s="32">
        <v>40</v>
      </c>
      <c r="N174" s="492" t="s">
        <v>288</v>
      </c>
      <c r="O174" s="325"/>
      <c r="P174" s="325"/>
      <c r="Q174" s="325"/>
      <c r="R174" s="314"/>
      <c r="S174" s="34"/>
      <c r="T174" s="34"/>
      <c r="U174" s="35" t="s">
        <v>66</v>
      </c>
      <c r="V174" s="307">
        <v>200</v>
      </c>
      <c r="W174" s="308">
        <f t="shared" si="8"/>
        <v>201.6</v>
      </c>
      <c r="X174" s="36">
        <f>IFERROR(IF(W174=0,"",ROUNDUP(W174/H174,0)*0.00753),"")</f>
        <v>0.63251999999999997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4301051506</v>
      </c>
      <c r="D175" s="313">
        <v>4680115881037</v>
      </c>
      <c r="E175" s="314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64</v>
      </c>
      <c r="L175" s="33" t="s">
        <v>65</v>
      </c>
      <c r="M175" s="32">
        <v>40</v>
      </c>
      <c r="N175" s="619" t="s">
        <v>291</v>
      </c>
      <c r="O175" s="325"/>
      <c r="P175" s="325"/>
      <c r="Q175" s="325"/>
      <c r="R175" s="314"/>
      <c r="S175" s="34"/>
      <c r="T175" s="34"/>
      <c r="U175" s="35" t="s">
        <v>66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292</v>
      </c>
      <c r="B176" s="54" t="s">
        <v>293</v>
      </c>
      <c r="C176" s="31">
        <v>4301051384</v>
      </c>
      <c r="D176" s="313">
        <v>4680115881211</v>
      </c>
      <c r="E176" s="314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64</v>
      </c>
      <c r="L176" s="33" t="s">
        <v>65</v>
      </c>
      <c r="M176" s="32">
        <v>45</v>
      </c>
      <c r="N176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25"/>
      <c r="P176" s="325"/>
      <c r="Q176" s="325"/>
      <c r="R176" s="314"/>
      <c r="S176" s="34"/>
      <c r="T176" s="34"/>
      <c r="U176" s="35" t="s">
        <v>66</v>
      </c>
      <c r="V176" s="307">
        <v>120</v>
      </c>
      <c r="W176" s="308">
        <f t="shared" si="8"/>
        <v>120</v>
      </c>
      <c r="X176" s="36">
        <f>IFERROR(IF(W176=0,"",ROUNDUP(W176/H176,0)*0.00753),"")</f>
        <v>0.3765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4301051378</v>
      </c>
      <c r="D177" s="313">
        <v>4680115881020</v>
      </c>
      <c r="E177" s="314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64</v>
      </c>
      <c r="L177" s="33" t="s">
        <v>65</v>
      </c>
      <c r="M177" s="32">
        <v>45</v>
      </c>
      <c r="N177" s="4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25"/>
      <c r="P177" s="325"/>
      <c r="Q177" s="325"/>
      <c r="R177" s="314"/>
      <c r="S177" s="34"/>
      <c r="T177" s="34"/>
      <c r="U177" s="35" t="s">
        <v>66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4301051407</v>
      </c>
      <c r="D178" s="313">
        <v>4680115882195</v>
      </c>
      <c r="E178" s="314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64</v>
      </c>
      <c r="L178" s="33" t="s">
        <v>129</v>
      </c>
      <c r="M178" s="32">
        <v>40</v>
      </c>
      <c r="N178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25"/>
      <c r="P178" s="325"/>
      <c r="Q178" s="325"/>
      <c r="R178" s="314"/>
      <c r="S178" s="34"/>
      <c r="T178" s="34"/>
      <c r="U178" s="35" t="s">
        <v>66</v>
      </c>
      <c r="V178" s="307">
        <v>240</v>
      </c>
      <c r="W178" s="308">
        <f t="shared" si="8"/>
        <v>240</v>
      </c>
      <c r="X178" s="36">
        <f t="shared" ref="X178:X184" si="9">IFERROR(IF(W178=0,"",ROUNDUP(W178/H178,0)*0.00753),"")</f>
        <v>0.753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4301051479</v>
      </c>
      <c r="D179" s="313">
        <v>4680115882607</v>
      </c>
      <c r="E179" s="314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64</v>
      </c>
      <c r="L179" s="33" t="s">
        <v>129</v>
      </c>
      <c r="M179" s="32">
        <v>45</v>
      </c>
      <c r="N179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25"/>
      <c r="P179" s="325"/>
      <c r="Q179" s="325"/>
      <c r="R179" s="314"/>
      <c r="S179" s="34"/>
      <c r="T179" s="34"/>
      <c r="U179" s="35" t="s">
        <v>66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4301051468</v>
      </c>
      <c r="D180" s="313">
        <v>4680115880092</v>
      </c>
      <c r="E180" s="314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64</v>
      </c>
      <c r="L180" s="33" t="s">
        <v>129</v>
      </c>
      <c r="M180" s="32">
        <v>45</v>
      </c>
      <c r="N180" s="3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25"/>
      <c r="P180" s="325"/>
      <c r="Q180" s="325"/>
      <c r="R180" s="314"/>
      <c r="S180" s="34"/>
      <c r="T180" s="34"/>
      <c r="U180" s="35" t="s">
        <v>66</v>
      </c>
      <c r="V180" s="307">
        <v>480</v>
      </c>
      <c r="W180" s="308">
        <f t="shared" si="8"/>
        <v>480</v>
      </c>
      <c r="X180" s="36">
        <f t="shared" si="9"/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4301051469</v>
      </c>
      <c r="D181" s="313">
        <v>4680115880221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129</v>
      </c>
      <c r="M181" s="32">
        <v>45</v>
      </c>
      <c r="N181" s="62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25"/>
      <c r="P181" s="325"/>
      <c r="Q181" s="325"/>
      <c r="R181" s="314"/>
      <c r="S181" s="34"/>
      <c r="T181" s="34"/>
      <c r="U181" s="35" t="s">
        <v>66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304</v>
      </c>
      <c r="B182" s="54" t="s">
        <v>305</v>
      </c>
      <c r="C182" s="31">
        <v>4301051523</v>
      </c>
      <c r="D182" s="313">
        <v>4680115882942</v>
      </c>
      <c r="E182" s="314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64</v>
      </c>
      <c r="L182" s="33" t="s">
        <v>65</v>
      </c>
      <c r="M182" s="32">
        <v>40</v>
      </c>
      <c r="N182" s="3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25"/>
      <c r="P182" s="325"/>
      <c r="Q182" s="325"/>
      <c r="R182" s="314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4301051326</v>
      </c>
      <c r="D183" s="313">
        <v>4680115880504</v>
      </c>
      <c r="E183" s="314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64</v>
      </c>
      <c r="L183" s="33" t="s">
        <v>65</v>
      </c>
      <c r="M183" s="32">
        <v>40</v>
      </c>
      <c r="N183" s="4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25"/>
      <c r="P183" s="325"/>
      <c r="Q183" s="325"/>
      <c r="R183" s="314"/>
      <c r="S183" s="34"/>
      <c r="T183" s="34"/>
      <c r="U183" s="35" t="s">
        <v>66</v>
      </c>
      <c r="V183" s="307">
        <v>20</v>
      </c>
      <c r="W183" s="308">
        <f t="shared" si="8"/>
        <v>21.599999999999998</v>
      </c>
      <c r="X183" s="36">
        <f t="shared" si="9"/>
        <v>6.7769999999999997E-2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308</v>
      </c>
      <c r="B184" s="54" t="s">
        <v>309</v>
      </c>
      <c r="C184" s="31">
        <v>4301051410</v>
      </c>
      <c r="D184" s="313">
        <v>4680115882164</v>
      </c>
      <c r="E184" s="314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64</v>
      </c>
      <c r="L184" s="33" t="s">
        <v>129</v>
      </c>
      <c r="M184" s="32">
        <v>40</v>
      </c>
      <c r="N184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25"/>
      <c r="P184" s="325"/>
      <c r="Q184" s="325"/>
      <c r="R184" s="314"/>
      <c r="S184" s="34"/>
      <c r="T184" s="34"/>
      <c r="U184" s="35" t="s">
        <v>66</v>
      </c>
      <c r="V184" s="307">
        <v>200</v>
      </c>
      <c r="W184" s="308">
        <f t="shared" si="8"/>
        <v>201.6</v>
      </c>
      <c r="X184" s="36">
        <f t="shared" si="9"/>
        <v>0.63251999999999997</v>
      </c>
      <c r="Y184" s="56"/>
      <c r="Z184" s="57"/>
      <c r="AD184" s="58"/>
      <c r="BA184" s="158" t="s">
        <v>1</v>
      </c>
    </row>
    <row r="185" spans="1:53" x14ac:dyDescent="0.2">
      <c r="A185" s="322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1"/>
      <c r="M185" s="323"/>
      <c r="N185" s="326" t="s">
        <v>67</v>
      </c>
      <c r="O185" s="327"/>
      <c r="P185" s="327"/>
      <c r="Q185" s="327"/>
      <c r="R185" s="327"/>
      <c r="S185" s="327"/>
      <c r="T185" s="328"/>
      <c r="U185" s="37" t="s">
        <v>68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536.49425287356325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539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4.2293099999999999</v>
      </c>
      <c r="Y185" s="310"/>
      <c r="Z185" s="310"/>
    </row>
    <row r="186" spans="1:53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67</v>
      </c>
      <c r="O186" s="327"/>
      <c r="P186" s="327"/>
      <c r="Q186" s="327"/>
      <c r="R186" s="327"/>
      <c r="S186" s="327"/>
      <c r="T186" s="328"/>
      <c r="U186" s="37" t="s">
        <v>66</v>
      </c>
      <c r="V186" s="309">
        <f>IFERROR(SUM(V168:V184),"0")</f>
        <v>1360</v>
      </c>
      <c r="W186" s="309">
        <f>IFERROR(SUM(W168:W184),"0")</f>
        <v>1369.1999999999998</v>
      </c>
      <c r="X186" s="37"/>
      <c r="Y186" s="310"/>
      <c r="Z186" s="310"/>
    </row>
    <row r="187" spans="1:53" ht="14.25" customHeight="1" x14ac:dyDescent="0.25">
      <c r="A187" s="320" t="s">
        <v>209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  <c r="Y187" s="303"/>
      <c r="Z187" s="303"/>
    </row>
    <row r="188" spans="1:53" ht="16.5" customHeight="1" x14ac:dyDescent="0.25">
      <c r="A188" s="54" t="s">
        <v>310</v>
      </c>
      <c r="B188" s="54" t="s">
        <v>311</v>
      </c>
      <c r="C188" s="31">
        <v>4301060338</v>
      </c>
      <c r="D188" s="313">
        <v>4680115880801</v>
      </c>
      <c r="E188" s="314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64</v>
      </c>
      <c r="L188" s="33" t="s">
        <v>65</v>
      </c>
      <c r="M188" s="32">
        <v>40</v>
      </c>
      <c r="N188" s="4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5"/>
      <c r="P188" s="325"/>
      <c r="Q188" s="325"/>
      <c r="R188" s="314"/>
      <c r="S188" s="34"/>
      <c r="T188" s="34"/>
      <c r="U188" s="35" t="s">
        <v>66</v>
      </c>
      <c r="V188" s="307">
        <v>0</v>
      </c>
      <c r="W188" s="308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312</v>
      </c>
      <c r="B189" s="54" t="s">
        <v>313</v>
      </c>
      <c r="C189" s="31">
        <v>4301060339</v>
      </c>
      <c r="D189" s="313">
        <v>4680115880818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5"/>
      <c r="P189" s="325"/>
      <c r="Q189" s="325"/>
      <c r="R189" s="314"/>
      <c r="S189" s="34"/>
      <c r="T189" s="34"/>
      <c r="U189" s="35" t="s">
        <v>66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2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3"/>
      <c r="N190" s="326" t="s">
        <v>67</v>
      </c>
      <c r="O190" s="327"/>
      <c r="P190" s="327"/>
      <c r="Q190" s="327"/>
      <c r="R190" s="327"/>
      <c r="S190" s="327"/>
      <c r="T190" s="328"/>
      <c r="U190" s="37" t="s">
        <v>68</v>
      </c>
      <c r="V190" s="309">
        <f>IFERROR(V188/H188,"0")+IFERROR(V189/H189,"0")</f>
        <v>0</v>
      </c>
      <c r="W190" s="309">
        <f>IFERROR(W188/H188,"0")+IFERROR(W189/H189,"0")</f>
        <v>0</v>
      </c>
      <c r="X190" s="309">
        <f>IFERROR(IF(X188="",0,X188),"0")+IFERROR(IF(X189="",0,X189),"0")</f>
        <v>0</v>
      </c>
      <c r="Y190" s="310"/>
      <c r="Z190" s="310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67</v>
      </c>
      <c r="O191" s="327"/>
      <c r="P191" s="327"/>
      <c r="Q191" s="327"/>
      <c r="R191" s="327"/>
      <c r="S191" s="327"/>
      <c r="T191" s="328"/>
      <c r="U191" s="37" t="s">
        <v>66</v>
      </c>
      <c r="V191" s="309">
        <f>IFERROR(SUM(V188:V189),"0")</f>
        <v>0</v>
      </c>
      <c r="W191" s="309">
        <f>IFERROR(SUM(W188:W189),"0")</f>
        <v>0</v>
      </c>
      <c r="X191" s="37"/>
      <c r="Y191" s="310"/>
      <c r="Z191" s="310"/>
    </row>
    <row r="192" spans="1:53" ht="16.5" customHeight="1" x14ac:dyDescent="0.25">
      <c r="A192" s="339" t="s">
        <v>314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2"/>
      <c r="Z192" s="302"/>
    </row>
    <row r="193" spans="1:53" ht="14.25" customHeight="1" x14ac:dyDescent="0.25">
      <c r="A193" s="320" t="s">
        <v>104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3"/>
      <c r="Z193" s="303"/>
    </row>
    <row r="194" spans="1:53" ht="27" customHeight="1" x14ac:dyDescent="0.25">
      <c r="A194" s="54" t="s">
        <v>315</v>
      </c>
      <c r="B194" s="54" t="s">
        <v>316</v>
      </c>
      <c r="C194" s="31">
        <v>4301011346</v>
      </c>
      <c r="D194" s="313">
        <v>4607091387445</v>
      </c>
      <c r="E194" s="314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99</v>
      </c>
      <c r="L194" s="33" t="s">
        <v>100</v>
      </c>
      <c r="M194" s="32">
        <v>31</v>
      </c>
      <c r="N194" s="5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25"/>
      <c r="P194" s="325"/>
      <c r="Q194" s="325"/>
      <c r="R194" s="314"/>
      <c r="S194" s="34"/>
      <c r="T194" s="34"/>
      <c r="U194" s="35" t="s">
        <v>66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317</v>
      </c>
      <c r="B195" s="54" t="s">
        <v>318</v>
      </c>
      <c r="C195" s="31">
        <v>4301011362</v>
      </c>
      <c r="D195" s="313">
        <v>4607091386004</v>
      </c>
      <c r="E195" s="314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99</v>
      </c>
      <c r="L195" s="33" t="s">
        <v>108</v>
      </c>
      <c r="M195" s="32">
        <v>55</v>
      </c>
      <c r="N195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5"/>
      <c r="P195" s="325"/>
      <c r="Q195" s="325"/>
      <c r="R195" s="314"/>
      <c r="S195" s="34"/>
      <c r="T195" s="34"/>
      <c r="U195" s="35" t="s">
        <v>66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317</v>
      </c>
      <c r="B196" s="54" t="s">
        <v>319</v>
      </c>
      <c r="C196" s="31">
        <v>4301011308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99</v>
      </c>
      <c r="L196" s="33" t="s">
        <v>100</v>
      </c>
      <c r="M196" s="32">
        <v>55</v>
      </c>
      <c r="N196" s="4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4301011347</v>
      </c>
      <c r="D197" s="313">
        <v>4607091386073</v>
      </c>
      <c r="E197" s="314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99</v>
      </c>
      <c r="L197" s="33" t="s">
        <v>100</v>
      </c>
      <c r="M197" s="32">
        <v>31</v>
      </c>
      <c r="N19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25"/>
      <c r="P197" s="325"/>
      <c r="Q197" s="325"/>
      <c r="R197" s="314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4301011395</v>
      </c>
      <c r="D198" s="313">
        <v>4607091387322</v>
      </c>
      <c r="E198" s="314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99</v>
      </c>
      <c r="L198" s="33" t="s">
        <v>108</v>
      </c>
      <c r="M198" s="32">
        <v>55</v>
      </c>
      <c r="N198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5"/>
      <c r="P198" s="325"/>
      <c r="Q198" s="325"/>
      <c r="R198" s="314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322</v>
      </c>
      <c r="B199" s="54" t="s">
        <v>324</v>
      </c>
      <c r="C199" s="31">
        <v>4301010928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99</v>
      </c>
      <c r="L199" s="33" t="s">
        <v>100</v>
      </c>
      <c r="M199" s="32">
        <v>55</v>
      </c>
      <c r="N199" s="6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4301011311</v>
      </c>
      <c r="D200" s="313">
        <v>4607091387377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4301010945</v>
      </c>
      <c r="D201" s="313">
        <v>4607091387353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4301011328</v>
      </c>
      <c r="D202" s="313">
        <v>4607091386011</v>
      </c>
      <c r="E202" s="314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64</v>
      </c>
      <c r="L202" s="33" t="s">
        <v>65</v>
      </c>
      <c r="M202" s="32">
        <v>55</v>
      </c>
      <c r="N202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25"/>
      <c r="P202" s="325"/>
      <c r="Q202" s="325"/>
      <c r="R202" s="314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4301011329</v>
      </c>
      <c r="D203" s="313">
        <v>4607091387308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4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4301011049</v>
      </c>
      <c r="D204" s="313">
        <v>4607091387339</v>
      </c>
      <c r="E204" s="314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64</v>
      </c>
      <c r="L204" s="33" t="s">
        <v>100</v>
      </c>
      <c r="M204" s="32">
        <v>55</v>
      </c>
      <c r="N204" s="3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4301011433</v>
      </c>
      <c r="D205" s="313">
        <v>4680115882638</v>
      </c>
      <c r="E205" s="314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64</v>
      </c>
      <c r="L205" s="33" t="s">
        <v>100</v>
      </c>
      <c r="M205" s="32">
        <v>90</v>
      </c>
      <c r="N205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25"/>
      <c r="P205" s="325"/>
      <c r="Q205" s="325"/>
      <c r="R205" s="314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4301011573</v>
      </c>
      <c r="D206" s="313">
        <v>4680115881938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4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25"/>
      <c r="P206" s="325"/>
      <c r="Q206" s="325"/>
      <c r="R206" s="314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4301010944</v>
      </c>
      <c r="D207" s="313">
        <v>4607091387346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55</v>
      </c>
      <c r="N207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25"/>
      <c r="P207" s="325"/>
      <c r="Q207" s="325"/>
      <c r="R207" s="314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22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3"/>
      <c r="N208" s="326" t="s">
        <v>67</v>
      </c>
      <c r="O208" s="327"/>
      <c r="P208" s="327"/>
      <c r="Q208" s="327"/>
      <c r="R208" s="327"/>
      <c r="S208" s="327"/>
      <c r="T208" s="328"/>
      <c r="U208" s="37" t="s">
        <v>68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67</v>
      </c>
      <c r="O209" s="327"/>
      <c r="P209" s="327"/>
      <c r="Q209" s="327"/>
      <c r="R209" s="327"/>
      <c r="S209" s="327"/>
      <c r="T209" s="328"/>
      <c r="U209" s="37" t="s">
        <v>66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20" t="s">
        <v>96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21"/>
      <c r="Y210" s="303"/>
      <c r="Z210" s="303"/>
    </row>
    <row r="211" spans="1:53" ht="27" customHeight="1" x14ac:dyDescent="0.25">
      <c r="A211" s="54" t="s">
        <v>341</v>
      </c>
      <c r="B211" s="54" t="s">
        <v>342</v>
      </c>
      <c r="C211" s="31">
        <v>4301020254</v>
      </c>
      <c r="D211" s="313">
        <v>4680115881914</v>
      </c>
      <c r="E211" s="314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64</v>
      </c>
      <c r="L211" s="33" t="s">
        <v>100</v>
      </c>
      <c r="M211" s="32">
        <v>90</v>
      </c>
      <c r="N211" s="4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25"/>
      <c r="P211" s="325"/>
      <c r="Q211" s="325"/>
      <c r="R211" s="314"/>
      <c r="S211" s="34"/>
      <c r="T211" s="34"/>
      <c r="U211" s="35" t="s">
        <v>66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22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3"/>
      <c r="N212" s="326" t="s">
        <v>67</v>
      </c>
      <c r="O212" s="327"/>
      <c r="P212" s="327"/>
      <c r="Q212" s="327"/>
      <c r="R212" s="327"/>
      <c r="S212" s="327"/>
      <c r="T212" s="328"/>
      <c r="U212" s="37" t="s">
        <v>68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67</v>
      </c>
      <c r="O213" s="327"/>
      <c r="P213" s="327"/>
      <c r="Q213" s="327"/>
      <c r="R213" s="327"/>
      <c r="S213" s="327"/>
      <c r="T213" s="328"/>
      <c r="U213" s="37" t="s">
        <v>66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20" t="s">
        <v>61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03"/>
      <c r="Z214" s="303"/>
    </row>
    <row r="215" spans="1:53" ht="27" customHeight="1" x14ac:dyDescent="0.25">
      <c r="A215" s="54" t="s">
        <v>343</v>
      </c>
      <c r="B215" s="54" t="s">
        <v>344</v>
      </c>
      <c r="C215" s="31">
        <v>4301030878</v>
      </c>
      <c r="D215" s="313">
        <v>4607091387193</v>
      </c>
      <c r="E215" s="314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64</v>
      </c>
      <c r="L215" s="33" t="s">
        <v>65</v>
      </c>
      <c r="M215" s="32">
        <v>35</v>
      </c>
      <c r="N215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25"/>
      <c r="P215" s="325"/>
      <c r="Q215" s="325"/>
      <c r="R215" s="314"/>
      <c r="S215" s="34"/>
      <c r="T215" s="34"/>
      <c r="U215" s="35" t="s">
        <v>66</v>
      </c>
      <c r="V215" s="307">
        <v>10</v>
      </c>
      <c r="W215" s="308">
        <f>IFERROR(IF(V215="",0,CEILING((V215/$H215),1)*$H215),"")</f>
        <v>12.600000000000001</v>
      </c>
      <c r="X215" s="36">
        <f>IFERROR(IF(W215=0,"",ROUNDUP(W215/H215,0)*0.00753),"")</f>
        <v>2.2589999999999999E-2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345</v>
      </c>
      <c r="B216" s="54" t="s">
        <v>346</v>
      </c>
      <c r="C216" s="31">
        <v>4301031153</v>
      </c>
      <c r="D216" s="313">
        <v>4607091387230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40</v>
      </c>
      <c r="N216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66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347</v>
      </c>
      <c r="B217" s="54" t="s">
        <v>348</v>
      </c>
      <c r="C217" s="31">
        <v>4301031152</v>
      </c>
      <c r="D217" s="313">
        <v>4607091387285</v>
      </c>
      <c r="E217" s="314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164</v>
      </c>
      <c r="L217" s="33" t="s">
        <v>65</v>
      </c>
      <c r="M217" s="32">
        <v>40</v>
      </c>
      <c r="N217" s="3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25"/>
      <c r="P217" s="325"/>
      <c r="Q217" s="325"/>
      <c r="R217" s="314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4301031151</v>
      </c>
      <c r="D218" s="313">
        <v>4607091389845</v>
      </c>
      <c r="E218" s="314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164</v>
      </c>
      <c r="L218" s="33" t="s">
        <v>65</v>
      </c>
      <c r="M218" s="32">
        <v>40</v>
      </c>
      <c r="N218" s="5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66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x14ac:dyDescent="0.2">
      <c r="A219" s="322"/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3"/>
      <c r="N219" s="326" t="s">
        <v>67</v>
      </c>
      <c r="O219" s="327"/>
      <c r="P219" s="327"/>
      <c r="Q219" s="327"/>
      <c r="R219" s="327"/>
      <c r="S219" s="327"/>
      <c r="T219" s="328"/>
      <c r="U219" s="37" t="s">
        <v>68</v>
      </c>
      <c r="V219" s="309">
        <f>IFERROR(V215/H215,"0")+IFERROR(V216/H216,"0")+IFERROR(V217/H217,"0")+IFERROR(V218/H218,"0")</f>
        <v>2.3809523809523809</v>
      </c>
      <c r="W219" s="309">
        <f>IFERROR(W215/H215,"0")+IFERROR(W216/H216,"0")+IFERROR(W217/H217,"0")+IFERROR(W218/H218,"0")</f>
        <v>3</v>
      </c>
      <c r="X219" s="309">
        <f>IFERROR(IF(X215="",0,X215),"0")+IFERROR(IF(X216="",0,X216),"0")+IFERROR(IF(X217="",0,X217),"0")+IFERROR(IF(X218="",0,X218),"0")</f>
        <v>2.2589999999999999E-2</v>
      </c>
      <c r="Y219" s="310"/>
      <c r="Z219" s="310"/>
    </row>
    <row r="220" spans="1:53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67</v>
      </c>
      <c r="O220" s="327"/>
      <c r="P220" s="327"/>
      <c r="Q220" s="327"/>
      <c r="R220" s="327"/>
      <c r="S220" s="327"/>
      <c r="T220" s="328"/>
      <c r="U220" s="37" t="s">
        <v>66</v>
      </c>
      <c r="V220" s="309">
        <f>IFERROR(SUM(V215:V218),"0")</f>
        <v>10</v>
      </c>
      <c r="W220" s="309">
        <f>IFERROR(SUM(W215:W218),"0")</f>
        <v>12.600000000000001</v>
      </c>
      <c r="X220" s="37"/>
      <c r="Y220" s="310"/>
      <c r="Z220" s="310"/>
    </row>
    <row r="221" spans="1:53" ht="14.25" customHeight="1" x14ac:dyDescent="0.25">
      <c r="A221" s="320" t="s">
        <v>69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03"/>
      <c r="Z221" s="303"/>
    </row>
    <row r="222" spans="1:53" ht="16.5" customHeight="1" x14ac:dyDescent="0.25">
      <c r="A222" s="54" t="s">
        <v>351</v>
      </c>
      <c r="B222" s="54" t="s">
        <v>352</v>
      </c>
      <c r="C222" s="31">
        <v>4301051100</v>
      </c>
      <c r="D222" s="313">
        <v>4607091387766</v>
      </c>
      <c r="E222" s="314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99</v>
      </c>
      <c r="L222" s="33" t="s">
        <v>129</v>
      </c>
      <c r="M222" s="32">
        <v>40</v>
      </c>
      <c r="N222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25"/>
      <c r="P222" s="325"/>
      <c r="Q222" s="325"/>
      <c r="R222" s="314"/>
      <c r="S222" s="34"/>
      <c r="T222" s="34"/>
      <c r="U222" s="35" t="s">
        <v>66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353</v>
      </c>
      <c r="B223" s="54" t="s">
        <v>354</v>
      </c>
      <c r="C223" s="31">
        <v>4301051116</v>
      </c>
      <c r="D223" s="313">
        <v>4607091387957</v>
      </c>
      <c r="E223" s="314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99</v>
      </c>
      <c r="L223" s="33" t="s">
        <v>65</v>
      </c>
      <c r="M223" s="32">
        <v>40</v>
      </c>
      <c r="N223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25"/>
      <c r="P223" s="325"/>
      <c r="Q223" s="325"/>
      <c r="R223" s="314"/>
      <c r="S223" s="34"/>
      <c r="T223" s="34"/>
      <c r="U223" s="35" t="s">
        <v>66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355</v>
      </c>
      <c r="B224" s="54" t="s">
        <v>356</v>
      </c>
      <c r="C224" s="31">
        <v>4301051115</v>
      </c>
      <c r="D224" s="313">
        <v>4607091387964</v>
      </c>
      <c r="E224" s="314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4301051461</v>
      </c>
      <c r="D225" s="313">
        <v>4680115883604</v>
      </c>
      <c r="E225" s="314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64</v>
      </c>
      <c r="L225" s="33" t="s">
        <v>129</v>
      </c>
      <c r="M225" s="32">
        <v>45</v>
      </c>
      <c r="N225" s="410" t="s">
        <v>359</v>
      </c>
      <c r="O225" s="325"/>
      <c r="P225" s="325"/>
      <c r="Q225" s="325"/>
      <c r="R225" s="314"/>
      <c r="S225" s="34" t="s">
        <v>360</v>
      </c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361</v>
      </c>
      <c r="B226" s="54" t="s">
        <v>362</v>
      </c>
      <c r="C226" s="31">
        <v>4301051485</v>
      </c>
      <c r="D226" s="313">
        <v>4680115883567</v>
      </c>
      <c r="E226" s="314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64</v>
      </c>
      <c r="L226" s="33" t="s">
        <v>65</v>
      </c>
      <c r="M226" s="32">
        <v>40</v>
      </c>
      <c r="N226" s="554" t="s">
        <v>363</v>
      </c>
      <c r="O226" s="325"/>
      <c r="P226" s="325"/>
      <c r="Q226" s="325"/>
      <c r="R226" s="314"/>
      <c r="S226" s="34"/>
      <c r="T226" s="34"/>
      <c r="U226" s="35" t="s">
        <v>66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364</v>
      </c>
      <c r="B227" s="54" t="s">
        <v>365</v>
      </c>
      <c r="C227" s="31">
        <v>4301051134</v>
      </c>
      <c r="D227" s="313">
        <v>4607091381672</v>
      </c>
      <c r="E227" s="314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64</v>
      </c>
      <c r="L227" s="33" t="s">
        <v>65</v>
      </c>
      <c r="M227" s="32">
        <v>40</v>
      </c>
      <c r="N227" s="3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5"/>
      <c r="P227" s="325"/>
      <c r="Q227" s="325"/>
      <c r="R227" s="314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4301051130</v>
      </c>
      <c r="D228" s="313">
        <v>4607091387537</v>
      </c>
      <c r="E228" s="314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64</v>
      </c>
      <c r="L228" s="33" t="s">
        <v>65</v>
      </c>
      <c r="M228" s="32">
        <v>40</v>
      </c>
      <c r="N228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5"/>
      <c r="P228" s="325"/>
      <c r="Q228" s="325"/>
      <c r="R228" s="314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368</v>
      </c>
      <c r="B229" s="54" t="s">
        <v>369</v>
      </c>
      <c r="C229" s="31">
        <v>4301051132</v>
      </c>
      <c r="D229" s="313">
        <v>4607091387513</v>
      </c>
      <c r="E229" s="314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64</v>
      </c>
      <c r="L229" s="33" t="s">
        <v>65</v>
      </c>
      <c r="M229" s="32">
        <v>40</v>
      </c>
      <c r="N229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370</v>
      </c>
      <c r="B230" s="54" t="s">
        <v>371</v>
      </c>
      <c r="C230" s="31">
        <v>4301051277</v>
      </c>
      <c r="D230" s="313">
        <v>4680115880511</v>
      </c>
      <c r="E230" s="314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64</v>
      </c>
      <c r="L230" s="33" t="s">
        <v>129</v>
      </c>
      <c r="M230" s="32">
        <v>40</v>
      </c>
      <c r="N230" s="3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5"/>
      <c r="P230" s="325"/>
      <c r="Q230" s="325"/>
      <c r="R230" s="314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22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3"/>
      <c r="N231" s="326" t="s">
        <v>67</v>
      </c>
      <c r="O231" s="327"/>
      <c r="P231" s="327"/>
      <c r="Q231" s="327"/>
      <c r="R231" s="327"/>
      <c r="S231" s="327"/>
      <c r="T231" s="328"/>
      <c r="U231" s="37" t="s">
        <v>68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67</v>
      </c>
      <c r="O232" s="327"/>
      <c r="P232" s="327"/>
      <c r="Q232" s="327"/>
      <c r="R232" s="327"/>
      <c r="S232" s="327"/>
      <c r="T232" s="328"/>
      <c r="U232" s="37" t="s">
        <v>66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customHeight="1" x14ac:dyDescent="0.25">
      <c r="A233" s="320" t="s">
        <v>209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03"/>
      <c r="Z233" s="303"/>
    </row>
    <row r="234" spans="1:53" ht="16.5" customHeight="1" x14ac:dyDescent="0.25">
      <c r="A234" s="54" t="s">
        <v>372</v>
      </c>
      <c r="B234" s="54" t="s">
        <v>373</v>
      </c>
      <c r="C234" s="31">
        <v>4301060326</v>
      </c>
      <c r="D234" s="313">
        <v>4607091380880</v>
      </c>
      <c r="E234" s="314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99</v>
      </c>
      <c r="L234" s="33" t="s">
        <v>65</v>
      </c>
      <c r="M234" s="32">
        <v>30</v>
      </c>
      <c r="N234" s="4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5"/>
      <c r="P234" s="325"/>
      <c r="Q234" s="325"/>
      <c r="R234" s="314"/>
      <c r="S234" s="34"/>
      <c r="T234" s="34"/>
      <c r="U234" s="35" t="s">
        <v>66</v>
      </c>
      <c r="V234" s="307">
        <v>20</v>
      </c>
      <c r="W234" s="308">
        <f>IFERROR(IF(V234="",0,CEILING((V234/$H234),1)*$H234),"")</f>
        <v>25.200000000000003</v>
      </c>
      <c r="X234" s="36">
        <f>IFERROR(IF(W234=0,"",ROUNDUP(W234/H234,0)*0.02175),"")</f>
        <v>6.5250000000000002E-2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374</v>
      </c>
      <c r="B235" s="54" t="s">
        <v>375</v>
      </c>
      <c r="C235" s="31">
        <v>4301060308</v>
      </c>
      <c r="D235" s="313">
        <v>4607091384482</v>
      </c>
      <c r="E235" s="314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99</v>
      </c>
      <c r="L235" s="33" t="s">
        <v>65</v>
      </c>
      <c r="M235" s="32">
        <v>30</v>
      </c>
      <c r="N235" s="3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5"/>
      <c r="P235" s="325"/>
      <c r="Q235" s="325"/>
      <c r="R235" s="314"/>
      <c r="S235" s="34"/>
      <c r="T235" s="34"/>
      <c r="U235" s="35" t="s">
        <v>66</v>
      </c>
      <c r="V235" s="307">
        <v>250</v>
      </c>
      <c r="W235" s="308">
        <f>IFERROR(IF(V235="",0,CEILING((V235/$H235),1)*$H235),"")</f>
        <v>257.39999999999998</v>
      </c>
      <c r="X235" s="36">
        <f>IFERROR(IF(W235=0,"",ROUNDUP(W235/H235,0)*0.02175),"")</f>
        <v>0.71775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376</v>
      </c>
      <c r="B236" s="54" t="s">
        <v>377</v>
      </c>
      <c r="C236" s="31">
        <v>4301060325</v>
      </c>
      <c r="D236" s="313">
        <v>4607091380897</v>
      </c>
      <c r="E236" s="314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99</v>
      </c>
      <c r="L236" s="33" t="s">
        <v>65</v>
      </c>
      <c r="M236" s="32">
        <v>30</v>
      </c>
      <c r="N236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66</v>
      </c>
      <c r="V236" s="307">
        <v>10</v>
      </c>
      <c r="W236" s="308">
        <f>IFERROR(IF(V236="",0,CEILING((V236/$H236),1)*$H236),"")</f>
        <v>16.8</v>
      </c>
      <c r="X236" s="36">
        <f>IFERROR(IF(W236=0,"",ROUNDUP(W236/H236,0)*0.02175),"")</f>
        <v>4.3499999999999997E-2</v>
      </c>
      <c r="Y236" s="56"/>
      <c r="Z236" s="57"/>
      <c r="AD236" s="58"/>
      <c r="BA236" s="191" t="s">
        <v>1</v>
      </c>
    </row>
    <row r="237" spans="1:53" x14ac:dyDescent="0.2">
      <c r="A237" s="322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3"/>
      <c r="N237" s="326" t="s">
        <v>67</v>
      </c>
      <c r="O237" s="327"/>
      <c r="P237" s="327"/>
      <c r="Q237" s="327"/>
      <c r="R237" s="327"/>
      <c r="S237" s="327"/>
      <c r="T237" s="328"/>
      <c r="U237" s="37" t="s">
        <v>68</v>
      </c>
      <c r="V237" s="309">
        <f>IFERROR(V234/H234,"0")+IFERROR(V235/H235,"0")+IFERROR(V236/H236,"0")</f>
        <v>35.62271062271062</v>
      </c>
      <c r="W237" s="309">
        <f>IFERROR(W234/H234,"0")+IFERROR(W235/H235,"0")+IFERROR(W236/H236,"0")</f>
        <v>38</v>
      </c>
      <c r="X237" s="309">
        <f>IFERROR(IF(X234="",0,X234),"0")+IFERROR(IF(X235="",0,X235),"0")+IFERROR(IF(X236="",0,X236),"0")</f>
        <v>0.82650000000000001</v>
      </c>
      <c r="Y237" s="310"/>
      <c r="Z237" s="310"/>
    </row>
    <row r="238" spans="1:53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67</v>
      </c>
      <c r="O238" s="327"/>
      <c r="P238" s="327"/>
      <c r="Q238" s="327"/>
      <c r="R238" s="327"/>
      <c r="S238" s="327"/>
      <c r="T238" s="328"/>
      <c r="U238" s="37" t="s">
        <v>66</v>
      </c>
      <c r="V238" s="309">
        <f>IFERROR(SUM(V234:V236),"0")</f>
        <v>280</v>
      </c>
      <c r="W238" s="309">
        <f>IFERROR(SUM(W234:W236),"0")</f>
        <v>299.39999999999998</v>
      </c>
      <c r="X238" s="37"/>
      <c r="Y238" s="310"/>
      <c r="Z238" s="310"/>
    </row>
    <row r="239" spans="1:53" ht="14.25" customHeight="1" x14ac:dyDescent="0.25">
      <c r="A239" s="320" t="s">
        <v>82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03"/>
      <c r="Z239" s="303"/>
    </row>
    <row r="240" spans="1:53" ht="16.5" customHeight="1" x14ac:dyDescent="0.25">
      <c r="A240" s="54" t="s">
        <v>378</v>
      </c>
      <c r="B240" s="54" t="s">
        <v>379</v>
      </c>
      <c r="C240" s="31">
        <v>4301030232</v>
      </c>
      <c r="D240" s="313">
        <v>4607091388374</v>
      </c>
      <c r="E240" s="314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64</v>
      </c>
      <c r="L240" s="33" t="s">
        <v>85</v>
      </c>
      <c r="M240" s="32">
        <v>180</v>
      </c>
      <c r="N240" s="639" t="s">
        <v>380</v>
      </c>
      <c r="O240" s="325"/>
      <c r="P240" s="325"/>
      <c r="Q240" s="325"/>
      <c r="R240" s="314"/>
      <c r="S240" s="34"/>
      <c r="T240" s="34"/>
      <c r="U240" s="35" t="s">
        <v>66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381</v>
      </c>
      <c r="B241" s="54" t="s">
        <v>382</v>
      </c>
      <c r="C241" s="31">
        <v>4301030235</v>
      </c>
      <c r="D241" s="313">
        <v>4607091388381</v>
      </c>
      <c r="E241" s="314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64</v>
      </c>
      <c r="L241" s="33" t="s">
        <v>85</v>
      </c>
      <c r="M241" s="32">
        <v>180</v>
      </c>
      <c r="N241" s="540" t="s">
        <v>383</v>
      </c>
      <c r="O241" s="325"/>
      <c r="P241" s="325"/>
      <c r="Q241" s="325"/>
      <c r="R241" s="314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384</v>
      </c>
      <c r="B242" s="54" t="s">
        <v>385</v>
      </c>
      <c r="C242" s="31">
        <v>4301030233</v>
      </c>
      <c r="D242" s="313">
        <v>4607091388404</v>
      </c>
      <c r="E242" s="314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64</v>
      </c>
      <c r="L242" s="33" t="s">
        <v>85</v>
      </c>
      <c r="M242" s="32">
        <v>180</v>
      </c>
      <c r="N242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5"/>
      <c r="P242" s="325"/>
      <c r="Q242" s="325"/>
      <c r="R242" s="314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22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3"/>
      <c r="N243" s="326" t="s">
        <v>67</v>
      </c>
      <c r="O243" s="327"/>
      <c r="P243" s="327"/>
      <c r="Q243" s="327"/>
      <c r="R243" s="327"/>
      <c r="S243" s="327"/>
      <c r="T243" s="328"/>
      <c r="U243" s="37" t="s">
        <v>68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67</v>
      </c>
      <c r="O244" s="327"/>
      <c r="P244" s="327"/>
      <c r="Q244" s="327"/>
      <c r="R244" s="327"/>
      <c r="S244" s="327"/>
      <c r="T244" s="328"/>
      <c r="U244" s="37" t="s">
        <v>66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20" t="s">
        <v>386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  <c r="Y245" s="303"/>
      <c r="Z245" s="303"/>
    </row>
    <row r="246" spans="1:53" ht="16.5" customHeight="1" x14ac:dyDescent="0.25">
      <c r="A246" s="54" t="s">
        <v>387</v>
      </c>
      <c r="B246" s="54" t="s">
        <v>388</v>
      </c>
      <c r="C246" s="31">
        <v>4301180007</v>
      </c>
      <c r="D246" s="313">
        <v>4680115881808</v>
      </c>
      <c r="E246" s="314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389</v>
      </c>
      <c r="L246" s="33" t="s">
        <v>390</v>
      </c>
      <c r="M246" s="32">
        <v>730</v>
      </c>
      <c r="N246" s="3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5"/>
      <c r="P246" s="325"/>
      <c r="Q246" s="325"/>
      <c r="R246" s="314"/>
      <c r="S246" s="34"/>
      <c r="T246" s="34"/>
      <c r="U246" s="35" t="s">
        <v>66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391</v>
      </c>
      <c r="B247" s="54" t="s">
        <v>392</v>
      </c>
      <c r="C247" s="31">
        <v>4301180006</v>
      </c>
      <c r="D247" s="313">
        <v>4680115881822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389</v>
      </c>
      <c r="L247" s="33" t="s">
        <v>390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393</v>
      </c>
      <c r="B248" s="54" t="s">
        <v>394</v>
      </c>
      <c r="C248" s="31">
        <v>4301180001</v>
      </c>
      <c r="D248" s="313">
        <v>4680115880016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389</v>
      </c>
      <c r="L248" s="33" t="s">
        <v>390</v>
      </c>
      <c r="M248" s="32">
        <v>730</v>
      </c>
      <c r="N248" s="3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5"/>
      <c r="P248" s="325"/>
      <c r="Q248" s="325"/>
      <c r="R248" s="314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22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3"/>
      <c r="N249" s="326" t="s">
        <v>67</v>
      </c>
      <c r="O249" s="327"/>
      <c r="P249" s="327"/>
      <c r="Q249" s="327"/>
      <c r="R249" s="327"/>
      <c r="S249" s="327"/>
      <c r="T249" s="328"/>
      <c r="U249" s="37" t="s">
        <v>68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67</v>
      </c>
      <c r="O250" s="327"/>
      <c r="P250" s="327"/>
      <c r="Q250" s="327"/>
      <c r="R250" s="327"/>
      <c r="S250" s="327"/>
      <c r="T250" s="328"/>
      <c r="U250" s="37" t="s">
        <v>66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39" t="s">
        <v>395</v>
      </c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1"/>
      <c r="N251" s="321"/>
      <c r="O251" s="321"/>
      <c r="P251" s="321"/>
      <c r="Q251" s="321"/>
      <c r="R251" s="321"/>
      <c r="S251" s="321"/>
      <c r="T251" s="321"/>
      <c r="U251" s="321"/>
      <c r="V251" s="321"/>
      <c r="W251" s="321"/>
      <c r="X251" s="321"/>
      <c r="Y251" s="302"/>
      <c r="Z251" s="302"/>
    </row>
    <row r="252" spans="1:53" ht="14.25" customHeight="1" x14ac:dyDescent="0.25">
      <c r="A252" s="320" t="s">
        <v>104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3"/>
      <c r="Z252" s="303"/>
    </row>
    <row r="253" spans="1:53" ht="27" customHeight="1" x14ac:dyDescent="0.25">
      <c r="A253" s="54" t="s">
        <v>396</v>
      </c>
      <c r="B253" s="54" t="s">
        <v>397</v>
      </c>
      <c r="C253" s="31">
        <v>4301011315</v>
      </c>
      <c r="D253" s="313">
        <v>4607091387421</v>
      </c>
      <c r="E253" s="314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99</v>
      </c>
      <c r="L253" s="33" t="s">
        <v>100</v>
      </c>
      <c r="M253" s="32">
        <v>55</v>
      </c>
      <c r="N253" s="3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5"/>
      <c r="P253" s="325"/>
      <c r="Q253" s="325"/>
      <c r="R253" s="314"/>
      <c r="S253" s="34"/>
      <c r="T253" s="34"/>
      <c r="U253" s="35" t="s">
        <v>66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396</v>
      </c>
      <c r="B254" s="54" t="s">
        <v>398</v>
      </c>
      <c r="C254" s="31">
        <v>4301011121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99</v>
      </c>
      <c r="L254" s="33" t="s">
        <v>108</v>
      </c>
      <c r="M254" s="32">
        <v>55</v>
      </c>
      <c r="N254" s="45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66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399</v>
      </c>
      <c r="B255" s="54" t="s">
        <v>400</v>
      </c>
      <c r="C255" s="31">
        <v>4301011396</v>
      </c>
      <c r="D255" s="313">
        <v>4607091387452</v>
      </c>
      <c r="E255" s="314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5" s="325"/>
      <c r="P255" s="325"/>
      <c r="Q255" s="325"/>
      <c r="R255" s="314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4301011619</v>
      </c>
      <c r="D256" s="313">
        <v>4607091387452</v>
      </c>
      <c r="E256" s="314"/>
      <c r="F256" s="306">
        <v>1.45</v>
      </c>
      <c r="G256" s="32">
        <v>8</v>
      </c>
      <c r="H256" s="306">
        <v>11.6</v>
      </c>
      <c r="I256" s="306">
        <v>12.08</v>
      </c>
      <c r="J256" s="32">
        <v>56</v>
      </c>
      <c r="K256" s="32" t="s">
        <v>99</v>
      </c>
      <c r="L256" s="33" t="s">
        <v>100</v>
      </c>
      <c r="M256" s="32">
        <v>55</v>
      </c>
      <c r="N256" s="454" t="s">
        <v>402</v>
      </c>
      <c r="O256" s="325"/>
      <c r="P256" s="325"/>
      <c r="Q256" s="325"/>
      <c r="R256" s="314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403</v>
      </c>
      <c r="B257" s="54" t="s">
        <v>404</v>
      </c>
      <c r="C257" s="31">
        <v>4301011313</v>
      </c>
      <c r="D257" s="313">
        <v>4607091385984</v>
      </c>
      <c r="E257" s="314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99</v>
      </c>
      <c r="L257" s="33" t="s">
        <v>100</v>
      </c>
      <c r="M257" s="32">
        <v>55</v>
      </c>
      <c r="N257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5"/>
      <c r="P257" s="325"/>
      <c r="Q257" s="325"/>
      <c r="R257" s="314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406</v>
      </c>
      <c r="C258" s="31">
        <v>4301011316</v>
      </c>
      <c r="D258" s="313">
        <v>4607091387438</v>
      </c>
      <c r="E258" s="314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64</v>
      </c>
      <c r="L258" s="33" t="s">
        <v>100</v>
      </c>
      <c r="M258" s="32">
        <v>55</v>
      </c>
      <c r="N258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5"/>
      <c r="P258" s="325"/>
      <c r="Q258" s="325"/>
      <c r="R258" s="314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408</v>
      </c>
      <c r="C259" s="31">
        <v>4301011318</v>
      </c>
      <c r="D259" s="313">
        <v>4607091387469</v>
      </c>
      <c r="E259" s="314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64</v>
      </c>
      <c r="L259" s="33" t="s">
        <v>65</v>
      </c>
      <c r="M259" s="32">
        <v>55</v>
      </c>
      <c r="N259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22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3"/>
      <c r="N260" s="326" t="s">
        <v>67</v>
      </c>
      <c r="O260" s="327"/>
      <c r="P260" s="327"/>
      <c r="Q260" s="327"/>
      <c r="R260" s="327"/>
      <c r="S260" s="327"/>
      <c r="T260" s="328"/>
      <c r="U260" s="37" t="s">
        <v>68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67</v>
      </c>
      <c r="O261" s="327"/>
      <c r="P261" s="327"/>
      <c r="Q261" s="327"/>
      <c r="R261" s="327"/>
      <c r="S261" s="327"/>
      <c r="T261" s="328"/>
      <c r="U261" s="37" t="s">
        <v>66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20" t="s">
        <v>61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21"/>
      <c r="Y262" s="303"/>
      <c r="Z262" s="303"/>
    </row>
    <row r="263" spans="1:53" ht="27" customHeight="1" x14ac:dyDescent="0.25">
      <c r="A263" s="54" t="s">
        <v>409</v>
      </c>
      <c r="B263" s="54" t="s">
        <v>410</v>
      </c>
      <c r="C263" s="31">
        <v>4301031154</v>
      </c>
      <c r="D263" s="313">
        <v>4607091387292</v>
      </c>
      <c r="E263" s="314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64</v>
      </c>
      <c r="L263" s="33" t="s">
        <v>65</v>
      </c>
      <c r="M263" s="32">
        <v>45</v>
      </c>
      <c r="N263" s="4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5"/>
      <c r="P263" s="325"/>
      <c r="Q263" s="325"/>
      <c r="R263" s="314"/>
      <c r="S263" s="34"/>
      <c r="T263" s="34"/>
      <c r="U263" s="35" t="s">
        <v>66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411</v>
      </c>
      <c r="B264" s="54" t="s">
        <v>412</v>
      </c>
      <c r="C264" s="31">
        <v>4301031155</v>
      </c>
      <c r="D264" s="313">
        <v>4607091387315</v>
      </c>
      <c r="E264" s="314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64</v>
      </c>
      <c r="L264" s="33" t="s">
        <v>65</v>
      </c>
      <c r="M264" s="32">
        <v>45</v>
      </c>
      <c r="N264" s="6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5"/>
      <c r="P264" s="325"/>
      <c r="Q264" s="325"/>
      <c r="R264" s="314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22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3"/>
      <c r="N265" s="326" t="s">
        <v>67</v>
      </c>
      <c r="O265" s="327"/>
      <c r="P265" s="327"/>
      <c r="Q265" s="327"/>
      <c r="R265" s="327"/>
      <c r="S265" s="327"/>
      <c r="T265" s="328"/>
      <c r="U265" s="37" t="s">
        <v>68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67</v>
      </c>
      <c r="O266" s="327"/>
      <c r="P266" s="327"/>
      <c r="Q266" s="327"/>
      <c r="R266" s="327"/>
      <c r="S266" s="327"/>
      <c r="T266" s="328"/>
      <c r="U266" s="37" t="s">
        <v>66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39" t="s">
        <v>413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2"/>
      <c r="Z267" s="302"/>
    </row>
    <row r="268" spans="1:53" ht="14.25" customHeight="1" x14ac:dyDescent="0.25">
      <c r="A268" s="320" t="s">
        <v>61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3"/>
      <c r="Z268" s="303"/>
    </row>
    <row r="269" spans="1:53" ht="27" customHeight="1" x14ac:dyDescent="0.25">
      <c r="A269" s="54" t="s">
        <v>414</v>
      </c>
      <c r="B269" s="54" t="s">
        <v>415</v>
      </c>
      <c r="C269" s="31">
        <v>4301031066</v>
      </c>
      <c r="D269" s="313">
        <v>4607091383836</v>
      </c>
      <c r="E269" s="314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64</v>
      </c>
      <c r="L269" s="33" t="s">
        <v>65</v>
      </c>
      <c r="M269" s="32">
        <v>40</v>
      </c>
      <c r="N269" s="4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5"/>
      <c r="P269" s="325"/>
      <c r="Q269" s="325"/>
      <c r="R269" s="314"/>
      <c r="S269" s="34"/>
      <c r="T269" s="34"/>
      <c r="U269" s="35" t="s">
        <v>66</v>
      </c>
      <c r="V269" s="307">
        <v>0</v>
      </c>
      <c r="W269" s="308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3"/>
      <c r="N270" s="326" t="s">
        <v>67</v>
      </c>
      <c r="O270" s="327"/>
      <c r="P270" s="327"/>
      <c r="Q270" s="327"/>
      <c r="R270" s="327"/>
      <c r="S270" s="327"/>
      <c r="T270" s="328"/>
      <c r="U270" s="37" t="s">
        <v>68</v>
      </c>
      <c r="V270" s="309">
        <f>IFERROR(V269/H269,"0")</f>
        <v>0</v>
      </c>
      <c r="W270" s="309">
        <f>IFERROR(W269/H269,"0")</f>
        <v>0</v>
      </c>
      <c r="X270" s="309">
        <f>IFERROR(IF(X269="",0,X269),"0")</f>
        <v>0</v>
      </c>
      <c r="Y270" s="310"/>
      <c r="Z270" s="310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67</v>
      </c>
      <c r="O271" s="327"/>
      <c r="P271" s="327"/>
      <c r="Q271" s="327"/>
      <c r="R271" s="327"/>
      <c r="S271" s="327"/>
      <c r="T271" s="328"/>
      <c r="U271" s="37" t="s">
        <v>66</v>
      </c>
      <c r="V271" s="309">
        <f>IFERROR(SUM(V269:V269),"0")</f>
        <v>0</v>
      </c>
      <c r="W271" s="309">
        <f>IFERROR(SUM(W269:W269),"0")</f>
        <v>0</v>
      </c>
      <c r="X271" s="37"/>
      <c r="Y271" s="310"/>
      <c r="Z271" s="310"/>
    </row>
    <row r="272" spans="1:53" ht="14.25" customHeight="1" x14ac:dyDescent="0.25">
      <c r="A272" s="320" t="s">
        <v>69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3"/>
      <c r="Z272" s="303"/>
    </row>
    <row r="273" spans="1:53" ht="27" customHeight="1" x14ac:dyDescent="0.25">
      <c r="A273" s="54" t="s">
        <v>416</v>
      </c>
      <c r="B273" s="54" t="s">
        <v>417</v>
      </c>
      <c r="C273" s="31">
        <v>4301051142</v>
      </c>
      <c r="D273" s="313">
        <v>4607091387919</v>
      </c>
      <c r="E273" s="314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99</v>
      </c>
      <c r="L273" s="33" t="s">
        <v>65</v>
      </c>
      <c r="M273" s="32">
        <v>45</v>
      </c>
      <c r="N273" s="5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5"/>
      <c r="P273" s="325"/>
      <c r="Q273" s="325"/>
      <c r="R273" s="314"/>
      <c r="S273" s="34"/>
      <c r="T273" s="34"/>
      <c r="U273" s="35" t="s">
        <v>66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418</v>
      </c>
      <c r="B274" s="54" t="s">
        <v>419</v>
      </c>
      <c r="C274" s="31">
        <v>4301051109</v>
      </c>
      <c r="D274" s="313">
        <v>4607091383942</v>
      </c>
      <c r="E274" s="314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64</v>
      </c>
      <c r="L274" s="33" t="s">
        <v>129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5"/>
      <c r="P274" s="325"/>
      <c r="Q274" s="325"/>
      <c r="R274" s="314"/>
      <c r="S274" s="34"/>
      <c r="T274" s="34"/>
      <c r="U274" s="35" t="s">
        <v>66</v>
      </c>
      <c r="V274" s="307">
        <v>2184</v>
      </c>
      <c r="W274" s="308">
        <f>IFERROR(IF(V274="",0,CEILING((V274/$H274),1)*$H274),"")</f>
        <v>2184.84</v>
      </c>
      <c r="X274" s="36">
        <f>IFERROR(IF(W274=0,"",ROUNDUP(W274/H274,0)*0.00753),"")</f>
        <v>6.5285099999999998</v>
      </c>
      <c r="Y274" s="56"/>
      <c r="Z274" s="57"/>
      <c r="AD274" s="58"/>
      <c r="BA274" s="209" t="s">
        <v>1</v>
      </c>
    </row>
    <row r="275" spans="1:53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67</v>
      </c>
      <c r="O275" s="327"/>
      <c r="P275" s="327"/>
      <c r="Q275" s="327"/>
      <c r="R275" s="327"/>
      <c r="S275" s="327"/>
      <c r="T275" s="328"/>
      <c r="U275" s="37" t="s">
        <v>68</v>
      </c>
      <c r="V275" s="309">
        <f>IFERROR(V273/H273,"0")+IFERROR(V274/H274,"0")</f>
        <v>866.66666666666663</v>
      </c>
      <c r="W275" s="309">
        <f>IFERROR(W273/H273,"0")+IFERROR(W274/H274,"0")</f>
        <v>867</v>
      </c>
      <c r="X275" s="309">
        <f>IFERROR(IF(X273="",0,X273),"0")+IFERROR(IF(X274="",0,X274),"0")</f>
        <v>6.5285099999999998</v>
      </c>
      <c r="Y275" s="310"/>
      <c r="Z275" s="310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67</v>
      </c>
      <c r="O276" s="327"/>
      <c r="P276" s="327"/>
      <c r="Q276" s="327"/>
      <c r="R276" s="327"/>
      <c r="S276" s="327"/>
      <c r="T276" s="328"/>
      <c r="U276" s="37" t="s">
        <v>66</v>
      </c>
      <c r="V276" s="309">
        <f>IFERROR(SUM(V273:V274),"0")</f>
        <v>2184</v>
      </c>
      <c r="W276" s="309">
        <f>IFERROR(SUM(W273:W274),"0")</f>
        <v>2184.84</v>
      </c>
      <c r="X276" s="37"/>
      <c r="Y276" s="310"/>
      <c r="Z276" s="310"/>
    </row>
    <row r="277" spans="1:53" ht="14.25" customHeight="1" x14ac:dyDescent="0.25">
      <c r="A277" s="320" t="s">
        <v>209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customHeight="1" x14ac:dyDescent="0.25">
      <c r="A278" s="54" t="s">
        <v>420</v>
      </c>
      <c r="B278" s="54" t="s">
        <v>421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66</v>
      </c>
      <c r="V278" s="307">
        <v>30.4</v>
      </c>
      <c r="W278" s="308">
        <f>IFERROR(IF(V278="",0,CEILING((V278/$H278),1)*$H278),"")</f>
        <v>31.919999999999998</v>
      </c>
      <c r="X278" s="36">
        <f>IFERROR(IF(W278=0,"",ROUNDUP(W278/H278,0)*0.00753),"")</f>
        <v>0.10542</v>
      </c>
      <c r="Y278" s="56"/>
      <c r="Z278" s="57"/>
      <c r="AD278" s="58"/>
      <c r="BA278" s="210" t="s">
        <v>1</v>
      </c>
    </row>
    <row r="279" spans="1:53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67</v>
      </c>
      <c r="O279" s="327"/>
      <c r="P279" s="327"/>
      <c r="Q279" s="327"/>
      <c r="R279" s="327"/>
      <c r="S279" s="327"/>
      <c r="T279" s="328"/>
      <c r="U279" s="37" t="s">
        <v>68</v>
      </c>
      <c r="V279" s="309">
        <f>IFERROR(V278/H278,"0")</f>
        <v>13.333333333333334</v>
      </c>
      <c r="W279" s="309">
        <f>IFERROR(W278/H278,"0")</f>
        <v>14</v>
      </c>
      <c r="X279" s="309">
        <f>IFERROR(IF(X278="",0,X278),"0")</f>
        <v>0.10542</v>
      </c>
      <c r="Y279" s="310"/>
      <c r="Z279" s="310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67</v>
      </c>
      <c r="O280" s="327"/>
      <c r="P280" s="327"/>
      <c r="Q280" s="327"/>
      <c r="R280" s="327"/>
      <c r="S280" s="327"/>
      <c r="T280" s="328"/>
      <c r="U280" s="37" t="s">
        <v>66</v>
      </c>
      <c r="V280" s="309">
        <f>IFERROR(SUM(V278:V278),"0")</f>
        <v>30.4</v>
      </c>
      <c r="W280" s="309">
        <f>IFERROR(SUM(W278:W278),"0")</f>
        <v>31.919999999999998</v>
      </c>
      <c r="X280" s="37"/>
      <c r="Y280" s="310"/>
      <c r="Z280" s="310"/>
    </row>
    <row r="281" spans="1:53" ht="14.25" customHeight="1" x14ac:dyDescent="0.25">
      <c r="A281" s="320" t="s">
        <v>82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customHeight="1" x14ac:dyDescent="0.25">
      <c r="A282" s="54" t="s">
        <v>422</v>
      </c>
      <c r="B282" s="54" t="s">
        <v>423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67</v>
      </c>
      <c r="O283" s="327"/>
      <c r="P283" s="327"/>
      <c r="Q283" s="327"/>
      <c r="R283" s="327"/>
      <c r="S283" s="327"/>
      <c r="T283" s="32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67</v>
      </c>
      <c r="O284" s="327"/>
      <c r="P284" s="327"/>
      <c r="Q284" s="327"/>
      <c r="R284" s="327"/>
      <c r="S284" s="327"/>
      <c r="T284" s="32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8" t="s">
        <v>424</v>
      </c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48"/>
      <c r="Z285" s="48"/>
    </row>
    <row r="286" spans="1:53" ht="16.5" customHeight="1" x14ac:dyDescent="0.25">
      <c r="A286" s="339" t="s">
        <v>425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customHeight="1" x14ac:dyDescent="0.25">
      <c r="A287" s="320" t="s">
        <v>104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customHeight="1" x14ac:dyDescent="0.25">
      <c r="A288" s="54" t="s">
        <v>426</v>
      </c>
      <c r="B288" s="54" t="s">
        <v>427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4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66</v>
      </c>
      <c r="V288" s="307">
        <v>4200</v>
      </c>
      <c r="W288" s="308">
        <f t="shared" ref="W288:W295" si="14">IFERROR(IF(V288="",0,CEILING((V288/$H288),1)*$H288),"")</f>
        <v>4200</v>
      </c>
      <c r="X288" s="36">
        <f>IFERROR(IF(W288=0,"",ROUNDUP(W288/H288,0)*0.02175),"")</f>
        <v>6.09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426</v>
      </c>
      <c r="B289" s="54" t="s">
        <v>428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5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4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66</v>
      </c>
      <c r="V290" s="307">
        <v>400</v>
      </c>
      <c r="W290" s="308">
        <f t="shared" si="14"/>
        <v>405</v>
      </c>
      <c r="X290" s="36">
        <f>IFERROR(IF(W290=0,"",ROUNDUP(W290/H290,0)*0.02175),"")</f>
        <v>0.58724999999999994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431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3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432</v>
      </c>
      <c r="B292" s="54" t="s">
        <v>433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5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66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434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389" t="s">
        <v>435</v>
      </c>
      <c r="O293" s="325"/>
      <c r="P293" s="325"/>
      <c r="Q293" s="325"/>
      <c r="R293" s="314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5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66</v>
      </c>
      <c r="V294" s="307">
        <v>60</v>
      </c>
      <c r="W294" s="308">
        <f t="shared" si="14"/>
        <v>60</v>
      </c>
      <c r="X294" s="36">
        <f>IFERROR(IF(W294=0,"",ROUNDUP(W294/H294,0)*0.00937),"")</f>
        <v>0.11244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66</v>
      </c>
      <c r="V295" s="307">
        <v>20</v>
      </c>
      <c r="W295" s="308">
        <f t="shared" si="14"/>
        <v>20</v>
      </c>
      <c r="X295" s="36">
        <f>IFERROR(IF(W295=0,"",ROUNDUP(W295/H295,0)*0.00937),"")</f>
        <v>3.7479999999999999E-2</v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67</v>
      </c>
      <c r="O296" s="327"/>
      <c r="P296" s="327"/>
      <c r="Q296" s="327"/>
      <c r="R296" s="327"/>
      <c r="S296" s="327"/>
      <c r="T296" s="32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322.66666666666669</v>
      </c>
      <c r="W296" s="309">
        <f>IFERROR(W288/H288,"0")+IFERROR(W289/H289,"0")+IFERROR(W290/H290,"0")+IFERROR(W291/H291,"0")+IFERROR(W292/H292,"0")+IFERROR(W293/H293,"0")+IFERROR(W294/H294,"0")+IFERROR(W295/H295,"0")</f>
        <v>323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6.8271700000000006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67</v>
      </c>
      <c r="O297" s="327"/>
      <c r="P297" s="327"/>
      <c r="Q297" s="327"/>
      <c r="R297" s="327"/>
      <c r="S297" s="327"/>
      <c r="T297" s="328"/>
      <c r="U297" s="37" t="s">
        <v>66</v>
      </c>
      <c r="V297" s="309">
        <f>IFERROR(SUM(V288:V295),"0")</f>
        <v>4680</v>
      </c>
      <c r="W297" s="309">
        <f>IFERROR(SUM(W288:W295),"0")</f>
        <v>4685</v>
      </c>
      <c r="X297" s="37"/>
      <c r="Y297" s="310"/>
      <c r="Z297" s="310"/>
    </row>
    <row r="298" spans="1:53" ht="14.25" customHeight="1" x14ac:dyDescent="0.25">
      <c r="A298" s="320" t="s">
        <v>96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16.5" customHeight="1" x14ac:dyDescent="0.25">
      <c r="A299" s="54" t="s">
        <v>440</v>
      </c>
      <c r="B299" s="54" t="s">
        <v>441</v>
      </c>
      <c r="C299" s="31">
        <v>4301020270</v>
      </c>
      <c r="D299" s="313">
        <v>4680115883314</v>
      </c>
      <c r="E299" s="314"/>
      <c r="F299" s="306">
        <v>1.35</v>
      </c>
      <c r="G299" s="32">
        <v>8</v>
      </c>
      <c r="H299" s="306">
        <v>10.8</v>
      </c>
      <c r="I299" s="306">
        <v>11.28</v>
      </c>
      <c r="J299" s="32">
        <v>56</v>
      </c>
      <c r="K299" s="32" t="s">
        <v>99</v>
      </c>
      <c r="L299" s="33" t="s">
        <v>129</v>
      </c>
      <c r="M299" s="32">
        <v>50</v>
      </c>
      <c r="N299" s="355" t="s">
        <v>442</v>
      </c>
      <c r="O299" s="325"/>
      <c r="P299" s="325"/>
      <c r="Q299" s="325"/>
      <c r="R299" s="314"/>
      <c r="S299" s="34"/>
      <c r="T299" s="34"/>
      <c r="U299" s="35" t="s">
        <v>66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 t="s">
        <v>443</v>
      </c>
      <c r="AD299" s="58"/>
      <c r="BA299" s="220" t="s">
        <v>1</v>
      </c>
    </row>
    <row r="300" spans="1:53" ht="27" customHeight="1" x14ac:dyDescent="0.25">
      <c r="A300" s="54" t="s">
        <v>444</v>
      </c>
      <c r="B300" s="54" t="s">
        <v>445</v>
      </c>
      <c r="C300" s="31">
        <v>4301020178</v>
      </c>
      <c r="D300" s="313">
        <v>4607091383980</v>
      </c>
      <c r="E300" s="314"/>
      <c r="F300" s="306">
        <v>2.5</v>
      </c>
      <c r="G300" s="32">
        <v>6</v>
      </c>
      <c r="H300" s="306">
        <v>15</v>
      </c>
      <c r="I300" s="306">
        <v>15.48</v>
      </c>
      <c r="J300" s="32">
        <v>48</v>
      </c>
      <c r="K300" s="32" t="s">
        <v>99</v>
      </c>
      <c r="L300" s="33" t="s">
        <v>100</v>
      </c>
      <c r="M300" s="32">
        <v>50</v>
      </c>
      <c r="N300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5"/>
      <c r="P300" s="325"/>
      <c r="Q300" s="325"/>
      <c r="R300" s="314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446</v>
      </c>
      <c r="B301" s="54" t="s">
        <v>447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66</v>
      </c>
      <c r="V301" s="307">
        <v>12</v>
      </c>
      <c r="W301" s="308">
        <f>IFERROR(IF(V301="",0,CEILING((V301/$H301),1)*$H301),"")</f>
        <v>12</v>
      </c>
      <c r="X301" s="36">
        <f>IFERROR(IF(W301=0,"",ROUNDUP(W301/H301,0)*0.00937),"")</f>
        <v>2.811E-2</v>
      </c>
      <c r="Y301" s="56"/>
      <c r="Z301" s="57"/>
      <c r="AD301" s="58"/>
      <c r="BA301" s="222" t="s">
        <v>1</v>
      </c>
    </row>
    <row r="302" spans="1:53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67</v>
      </c>
      <c r="O302" s="327"/>
      <c r="P302" s="327"/>
      <c r="Q302" s="327"/>
      <c r="R302" s="327"/>
      <c r="S302" s="327"/>
      <c r="T302" s="328"/>
      <c r="U302" s="37" t="s">
        <v>68</v>
      </c>
      <c r="V302" s="309">
        <f>IFERROR(V299/H299,"0")+IFERROR(V300/H300,"0")+IFERROR(V301/H301,"0")</f>
        <v>3</v>
      </c>
      <c r="W302" s="309">
        <f>IFERROR(W299/H299,"0")+IFERROR(W300/H300,"0")+IFERROR(W301/H301,"0")</f>
        <v>3</v>
      </c>
      <c r="X302" s="309">
        <f>IFERROR(IF(X299="",0,X299),"0")+IFERROR(IF(X300="",0,X300),"0")+IFERROR(IF(X301="",0,X301),"0")</f>
        <v>2.811E-2</v>
      </c>
      <c r="Y302" s="310"/>
      <c r="Z302" s="310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67</v>
      </c>
      <c r="O303" s="327"/>
      <c r="P303" s="327"/>
      <c r="Q303" s="327"/>
      <c r="R303" s="327"/>
      <c r="S303" s="327"/>
      <c r="T303" s="328"/>
      <c r="U303" s="37" t="s">
        <v>66</v>
      </c>
      <c r="V303" s="309">
        <f>IFERROR(SUM(V299:V301),"0")</f>
        <v>12</v>
      </c>
      <c r="W303" s="309">
        <f>IFERROR(SUM(W299:W301),"0")</f>
        <v>12</v>
      </c>
      <c r="X303" s="37"/>
      <c r="Y303" s="310"/>
      <c r="Z303" s="310"/>
    </row>
    <row r="304" spans="1:53" ht="14.25" customHeight="1" x14ac:dyDescent="0.25">
      <c r="A304" s="320" t="s">
        <v>69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customHeight="1" x14ac:dyDescent="0.25">
      <c r="A305" s="54" t="s">
        <v>448</v>
      </c>
      <c r="B305" s="54" t="s">
        <v>449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66</v>
      </c>
      <c r="V305" s="307">
        <v>50</v>
      </c>
      <c r="W305" s="308">
        <f>IFERROR(IF(V305="",0,CEILING((V305/$H305),1)*$H305),"")</f>
        <v>54.6</v>
      </c>
      <c r="X305" s="36">
        <f>IFERROR(IF(W305=0,"",ROUNDUP(W305/H305,0)*0.02175),"")</f>
        <v>0.15225</v>
      </c>
      <c r="Y305" s="56"/>
      <c r="Z305" s="57"/>
      <c r="AD305" s="58"/>
      <c r="BA305" s="223" t="s">
        <v>1</v>
      </c>
    </row>
    <row r="306" spans="1:53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67</v>
      </c>
      <c r="O306" s="327"/>
      <c r="P306" s="327"/>
      <c r="Q306" s="327"/>
      <c r="R306" s="327"/>
      <c r="S306" s="327"/>
      <c r="T306" s="328"/>
      <c r="U306" s="37" t="s">
        <v>68</v>
      </c>
      <c r="V306" s="309">
        <f>IFERROR(V305/H305,"0")</f>
        <v>6.4102564102564106</v>
      </c>
      <c r="W306" s="309">
        <f>IFERROR(W305/H305,"0")</f>
        <v>7</v>
      </c>
      <c r="X306" s="309">
        <f>IFERROR(IF(X305="",0,X305),"0")</f>
        <v>0.15225</v>
      </c>
      <c r="Y306" s="310"/>
      <c r="Z306" s="310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67</v>
      </c>
      <c r="O307" s="327"/>
      <c r="P307" s="327"/>
      <c r="Q307" s="327"/>
      <c r="R307" s="327"/>
      <c r="S307" s="327"/>
      <c r="T307" s="328"/>
      <c r="U307" s="37" t="s">
        <v>66</v>
      </c>
      <c r="V307" s="309">
        <f>IFERROR(SUM(V305:V305),"0")</f>
        <v>50</v>
      </c>
      <c r="W307" s="309">
        <f>IFERROR(SUM(W305:W305),"0")</f>
        <v>54.6</v>
      </c>
      <c r="X307" s="37"/>
      <c r="Y307" s="310"/>
      <c r="Z307" s="310"/>
    </row>
    <row r="308" spans="1:53" ht="14.25" customHeight="1" x14ac:dyDescent="0.25">
      <c r="A308" s="320" t="s">
        <v>209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customHeight="1" x14ac:dyDescent="0.25">
      <c r="A309" s="54" t="s">
        <v>450</v>
      </c>
      <c r="B309" s="54" t="s">
        <v>451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66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67</v>
      </c>
      <c r="O310" s="327"/>
      <c r="P310" s="327"/>
      <c r="Q310" s="327"/>
      <c r="R310" s="327"/>
      <c r="S310" s="327"/>
      <c r="T310" s="328"/>
      <c r="U310" s="37" t="s">
        <v>68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67</v>
      </c>
      <c r="O311" s="327"/>
      <c r="P311" s="327"/>
      <c r="Q311" s="327"/>
      <c r="R311" s="327"/>
      <c r="S311" s="327"/>
      <c r="T311" s="328"/>
      <c r="U311" s="37" t="s">
        <v>66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39" t="s">
        <v>452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customHeight="1" x14ac:dyDescent="0.25">
      <c r="A313" s="320" t="s">
        <v>104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customHeight="1" x14ac:dyDescent="0.25">
      <c r="A314" s="54" t="s">
        <v>453</v>
      </c>
      <c r="B314" s="54" t="s">
        <v>454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5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66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455</v>
      </c>
      <c r="B315" s="54" t="s">
        <v>456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457</v>
      </c>
      <c r="B316" s="54" t="s">
        <v>458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459</v>
      </c>
      <c r="B317" s="54" t="s">
        <v>460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3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67</v>
      </c>
      <c r="O318" s="327"/>
      <c r="P318" s="327"/>
      <c r="Q318" s="327"/>
      <c r="R318" s="327"/>
      <c r="S318" s="327"/>
      <c r="T318" s="328"/>
      <c r="U318" s="37" t="s">
        <v>68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67</v>
      </c>
      <c r="O319" s="327"/>
      <c r="P319" s="327"/>
      <c r="Q319" s="327"/>
      <c r="R319" s="327"/>
      <c r="S319" s="327"/>
      <c r="T319" s="328"/>
      <c r="U319" s="37" t="s">
        <v>66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20" t="s">
        <v>61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customHeight="1" x14ac:dyDescent="0.25">
      <c r="A321" s="54" t="s">
        <v>461</v>
      </c>
      <c r="B321" s="54" t="s">
        <v>462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463</v>
      </c>
      <c r="B322" s="54" t="s">
        <v>464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164</v>
      </c>
      <c r="L322" s="33" t="s">
        <v>65</v>
      </c>
      <c r="M322" s="32">
        <v>35</v>
      </c>
      <c r="N322" s="3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67</v>
      </c>
      <c r="O323" s="327"/>
      <c r="P323" s="327"/>
      <c r="Q323" s="327"/>
      <c r="R323" s="327"/>
      <c r="S323" s="327"/>
      <c r="T323" s="32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67</v>
      </c>
      <c r="O324" s="327"/>
      <c r="P324" s="327"/>
      <c r="Q324" s="327"/>
      <c r="R324" s="327"/>
      <c r="S324" s="327"/>
      <c r="T324" s="32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20" t="s">
        <v>69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customHeight="1" x14ac:dyDescent="0.25">
      <c r="A326" s="54" t="s">
        <v>465</v>
      </c>
      <c r="B326" s="54" t="s">
        <v>466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66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467</v>
      </c>
      <c r="B327" s="54" t="s">
        <v>468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3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469</v>
      </c>
      <c r="B328" s="54" t="s">
        <v>470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471</v>
      </c>
      <c r="B329" s="54" t="s">
        <v>472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67</v>
      </c>
      <c r="O330" s="327"/>
      <c r="P330" s="327"/>
      <c r="Q330" s="327"/>
      <c r="R330" s="327"/>
      <c r="S330" s="327"/>
      <c r="T330" s="328"/>
      <c r="U330" s="37" t="s">
        <v>68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67</v>
      </c>
      <c r="O331" s="327"/>
      <c r="P331" s="327"/>
      <c r="Q331" s="327"/>
      <c r="R331" s="327"/>
      <c r="S331" s="327"/>
      <c r="T331" s="328"/>
      <c r="U331" s="37" t="s">
        <v>66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20" t="s">
        <v>209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customHeight="1" x14ac:dyDescent="0.25">
      <c r="A333" s="54" t="s">
        <v>473</v>
      </c>
      <c r="B333" s="54" t="s">
        <v>474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67</v>
      </c>
      <c r="O334" s="327"/>
      <c r="P334" s="327"/>
      <c r="Q334" s="327"/>
      <c r="R334" s="327"/>
      <c r="S334" s="327"/>
      <c r="T334" s="32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67</v>
      </c>
      <c r="O335" s="327"/>
      <c r="P335" s="327"/>
      <c r="Q335" s="327"/>
      <c r="R335" s="327"/>
      <c r="S335" s="327"/>
      <c r="T335" s="32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8" t="s">
        <v>475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48"/>
      <c r="Z336" s="48"/>
    </row>
    <row r="337" spans="1:53" ht="16.5" customHeight="1" x14ac:dyDescent="0.25">
      <c r="A337" s="339" t="s">
        <v>476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customHeight="1" x14ac:dyDescent="0.25">
      <c r="A338" s="320" t="s">
        <v>104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customHeight="1" x14ac:dyDescent="0.25">
      <c r="A339" s="54" t="s">
        <v>477</v>
      </c>
      <c r="B339" s="54" t="s">
        <v>478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66</v>
      </c>
      <c r="V340" s="307">
        <v>22.5</v>
      </c>
      <c r="W340" s="308">
        <f>IFERROR(IF(V340="",0,CEILING((V340/$H340),1)*$H340),"")</f>
        <v>24.3</v>
      </c>
      <c r="X340" s="36">
        <f>IFERROR(IF(W340=0,"",ROUNDUP(W340/H340,0)*0.00753),"")</f>
        <v>6.7769999999999997E-2</v>
      </c>
      <c r="Y340" s="56"/>
      <c r="Z340" s="57"/>
      <c r="AD340" s="58"/>
      <c r="BA340" s="237" t="s">
        <v>1</v>
      </c>
    </row>
    <row r="341" spans="1:53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67</v>
      </c>
      <c r="O341" s="327"/>
      <c r="P341" s="327"/>
      <c r="Q341" s="327"/>
      <c r="R341" s="327"/>
      <c r="S341" s="327"/>
      <c r="T341" s="328"/>
      <c r="U341" s="37" t="s">
        <v>68</v>
      </c>
      <c r="V341" s="309">
        <f>IFERROR(V339/H339,"0")+IFERROR(V340/H340,"0")</f>
        <v>8.3333333333333321</v>
      </c>
      <c r="W341" s="309">
        <f>IFERROR(W339/H339,"0")+IFERROR(W340/H340,"0")</f>
        <v>9</v>
      </c>
      <c r="X341" s="309">
        <f>IFERROR(IF(X339="",0,X339),"0")+IFERROR(IF(X340="",0,X340),"0")</f>
        <v>6.7769999999999997E-2</v>
      </c>
      <c r="Y341" s="310"/>
      <c r="Z341" s="310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67</v>
      </c>
      <c r="O342" s="327"/>
      <c r="P342" s="327"/>
      <c r="Q342" s="327"/>
      <c r="R342" s="327"/>
      <c r="S342" s="327"/>
      <c r="T342" s="328"/>
      <c r="U342" s="37" t="s">
        <v>66</v>
      </c>
      <c r="V342" s="309">
        <f>IFERROR(SUM(V339:V340),"0")</f>
        <v>22.5</v>
      </c>
      <c r="W342" s="309">
        <f>IFERROR(SUM(W339:W340),"0")</f>
        <v>24.3</v>
      </c>
      <c r="X342" s="37"/>
      <c r="Y342" s="310"/>
      <c r="Z342" s="310"/>
    </row>
    <row r="343" spans="1:53" ht="14.25" customHeight="1" x14ac:dyDescent="0.25">
      <c r="A343" s="320" t="s">
        <v>61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customHeight="1" x14ac:dyDescent="0.25">
      <c r="A344" s="54" t="s">
        <v>481</v>
      </c>
      <c r="B344" s="54" t="s">
        <v>482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3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66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66</v>
      </c>
      <c r="V346" s="307">
        <v>50</v>
      </c>
      <c r="W346" s="308">
        <f t="shared" si="15"/>
        <v>50.400000000000006</v>
      </c>
      <c r="X346" s="36">
        <f>IFERROR(IF(W346=0,"",ROUNDUP(W346/H346,0)*0.00753),"")</f>
        <v>9.0359999999999996E-2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487</v>
      </c>
      <c r="B347" s="54" t="s">
        <v>488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6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66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489</v>
      </c>
      <c r="B348" s="54" t="s">
        <v>490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164</v>
      </c>
      <c r="L348" s="33" t="s">
        <v>65</v>
      </c>
      <c r="M348" s="32">
        <v>45</v>
      </c>
      <c r="N348" s="4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164</v>
      </c>
      <c r="L349" s="33" t="s">
        <v>65</v>
      </c>
      <c r="M349" s="32">
        <v>45</v>
      </c>
      <c r="N34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66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493</v>
      </c>
      <c r="B350" s="54" t="s">
        <v>494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164</v>
      </c>
      <c r="L350" s="33" t="s">
        <v>65</v>
      </c>
      <c r="M350" s="32">
        <v>45</v>
      </c>
      <c r="N350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164</v>
      </c>
      <c r="L351" s="33" t="s">
        <v>65</v>
      </c>
      <c r="M351" s="32">
        <v>45</v>
      </c>
      <c r="N351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66</v>
      </c>
      <c r="V351" s="307">
        <v>73.5</v>
      </c>
      <c r="W351" s="308">
        <f t="shared" si="15"/>
        <v>73.5</v>
      </c>
      <c r="X351" s="36">
        <f t="shared" si="16"/>
        <v>0.1757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164</v>
      </c>
      <c r="L352" s="33" t="s">
        <v>65</v>
      </c>
      <c r="M352" s="32">
        <v>45</v>
      </c>
      <c r="N352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164</v>
      </c>
      <c r="L353" s="33" t="s">
        <v>65</v>
      </c>
      <c r="M353" s="32">
        <v>45</v>
      </c>
      <c r="N353" s="43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164</v>
      </c>
      <c r="L354" s="33" t="s">
        <v>65</v>
      </c>
      <c r="M354" s="32">
        <v>45</v>
      </c>
      <c r="N354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503</v>
      </c>
      <c r="B355" s="54" t="s">
        <v>504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164</v>
      </c>
      <c r="L355" s="33" t="s">
        <v>65</v>
      </c>
      <c r="M355" s="32">
        <v>45</v>
      </c>
      <c r="N355" s="5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66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164</v>
      </c>
      <c r="L356" s="33" t="s">
        <v>65</v>
      </c>
      <c r="M356" s="32">
        <v>45</v>
      </c>
      <c r="N356" s="411" t="s">
        <v>507</v>
      </c>
      <c r="O356" s="325"/>
      <c r="P356" s="325"/>
      <c r="Q356" s="325"/>
      <c r="R356" s="314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67</v>
      </c>
      <c r="O357" s="327"/>
      <c r="P357" s="327"/>
      <c r="Q357" s="327"/>
      <c r="R357" s="327"/>
      <c r="S357" s="327"/>
      <c r="T357" s="32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46.904761904761905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47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0.26605999999999996</v>
      </c>
      <c r="Y357" s="310"/>
      <c r="Z357" s="310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67</v>
      </c>
      <c r="O358" s="327"/>
      <c r="P358" s="327"/>
      <c r="Q358" s="327"/>
      <c r="R358" s="327"/>
      <c r="S358" s="327"/>
      <c r="T358" s="328"/>
      <c r="U358" s="37" t="s">
        <v>66</v>
      </c>
      <c r="V358" s="309">
        <f>IFERROR(SUM(V344:V356),"0")</f>
        <v>123.5</v>
      </c>
      <c r="W358" s="309">
        <f>IFERROR(SUM(W344:W356),"0")</f>
        <v>123.9</v>
      </c>
      <c r="X358" s="37"/>
      <c r="Y358" s="310"/>
      <c r="Z358" s="310"/>
    </row>
    <row r="359" spans="1:53" ht="14.25" customHeight="1" x14ac:dyDescent="0.25">
      <c r="A359" s="320" t="s">
        <v>69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customHeight="1" x14ac:dyDescent="0.25">
      <c r="A360" s="54" t="s">
        <v>508</v>
      </c>
      <c r="B360" s="54" t="s">
        <v>509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129</v>
      </c>
      <c r="M360" s="32">
        <v>45</v>
      </c>
      <c r="N360" s="5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510</v>
      </c>
      <c r="B361" s="54" t="s">
        <v>511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129</v>
      </c>
      <c r="M361" s="32">
        <v>45</v>
      </c>
      <c r="N361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512</v>
      </c>
      <c r="B362" s="54" t="s">
        <v>513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129</v>
      </c>
      <c r="M362" s="32">
        <v>45</v>
      </c>
      <c r="N362" s="6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514</v>
      </c>
      <c r="B363" s="54" t="s">
        <v>515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129</v>
      </c>
      <c r="M363" s="32">
        <v>45</v>
      </c>
      <c r="N36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67</v>
      </c>
      <c r="O364" s="327"/>
      <c r="P364" s="327"/>
      <c r="Q364" s="327"/>
      <c r="R364" s="327"/>
      <c r="S364" s="327"/>
      <c r="T364" s="32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67</v>
      </c>
      <c r="O365" s="327"/>
      <c r="P365" s="327"/>
      <c r="Q365" s="327"/>
      <c r="R365" s="327"/>
      <c r="S365" s="327"/>
      <c r="T365" s="32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20" t="s">
        <v>209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customHeight="1" x14ac:dyDescent="0.25">
      <c r="A367" s="54" t="s">
        <v>516</v>
      </c>
      <c r="B367" s="54" t="s">
        <v>517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4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67</v>
      </c>
      <c r="O368" s="327"/>
      <c r="P368" s="327"/>
      <c r="Q368" s="327"/>
      <c r="R368" s="327"/>
      <c r="S368" s="327"/>
      <c r="T368" s="32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67</v>
      </c>
      <c r="O369" s="327"/>
      <c r="P369" s="327"/>
      <c r="Q369" s="327"/>
      <c r="R369" s="327"/>
      <c r="S369" s="327"/>
      <c r="T369" s="32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20" t="s">
        <v>82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customHeight="1" x14ac:dyDescent="0.25">
      <c r="A371" s="54" t="s">
        <v>518</v>
      </c>
      <c r="B371" s="54" t="s">
        <v>519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520</v>
      </c>
      <c r="L371" s="33" t="s">
        <v>521</v>
      </c>
      <c r="M371" s="32">
        <v>60</v>
      </c>
      <c r="N371" s="525" t="s">
        <v>522</v>
      </c>
      <c r="O371" s="325"/>
      <c r="P371" s="325"/>
      <c r="Q371" s="325"/>
      <c r="R371" s="314"/>
      <c r="S371" s="34" t="s">
        <v>523</v>
      </c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443</v>
      </c>
      <c r="AD371" s="58"/>
      <c r="BA371" s="256" t="s">
        <v>1</v>
      </c>
    </row>
    <row r="372" spans="1:53" ht="27" customHeight="1" x14ac:dyDescent="0.25">
      <c r="A372" s="54" t="s">
        <v>524</v>
      </c>
      <c r="B372" s="54" t="s">
        <v>525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520</v>
      </c>
      <c r="L372" s="33" t="s">
        <v>521</v>
      </c>
      <c r="M372" s="32">
        <v>60</v>
      </c>
      <c r="N372" s="548" t="s">
        <v>526</v>
      </c>
      <c r="O372" s="325"/>
      <c r="P372" s="325"/>
      <c r="Q372" s="325"/>
      <c r="R372" s="314"/>
      <c r="S372" s="34" t="s">
        <v>523</v>
      </c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443</v>
      </c>
      <c r="AD372" s="58"/>
      <c r="BA372" s="257" t="s">
        <v>1</v>
      </c>
    </row>
    <row r="373" spans="1:53" ht="27" customHeight="1" x14ac:dyDescent="0.25">
      <c r="A373" s="54" t="s">
        <v>527</v>
      </c>
      <c r="B373" s="54" t="s">
        <v>528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520</v>
      </c>
      <c r="L373" s="33" t="s">
        <v>521</v>
      </c>
      <c r="M373" s="32">
        <v>150</v>
      </c>
      <c r="N373" s="521" t="s">
        <v>529</v>
      </c>
      <c r="O373" s="325"/>
      <c r="P373" s="325"/>
      <c r="Q373" s="325"/>
      <c r="R373" s="314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443</v>
      </c>
      <c r="AD373" s="58"/>
      <c r="BA373" s="258" t="s">
        <v>1</v>
      </c>
    </row>
    <row r="374" spans="1:53" ht="27" customHeight="1" x14ac:dyDescent="0.25">
      <c r="A374" s="54" t="s">
        <v>530</v>
      </c>
      <c r="B374" s="54" t="s">
        <v>531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520</v>
      </c>
      <c r="L374" s="33" t="s">
        <v>521</v>
      </c>
      <c r="M374" s="32">
        <v>60</v>
      </c>
      <c r="N374" s="491" t="s">
        <v>532</v>
      </c>
      <c r="O374" s="325"/>
      <c r="P374" s="325"/>
      <c r="Q374" s="325"/>
      <c r="R374" s="314"/>
      <c r="S374" s="34" t="s">
        <v>523</v>
      </c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67</v>
      </c>
      <c r="O375" s="327"/>
      <c r="P375" s="327"/>
      <c r="Q375" s="327"/>
      <c r="R375" s="327"/>
      <c r="S375" s="327"/>
      <c r="T375" s="32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67</v>
      </c>
      <c r="O376" s="327"/>
      <c r="P376" s="327"/>
      <c r="Q376" s="327"/>
      <c r="R376" s="327"/>
      <c r="S376" s="327"/>
      <c r="T376" s="32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20" t="s">
        <v>91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customHeight="1" x14ac:dyDescent="0.25">
      <c r="A378" s="54" t="s">
        <v>533</v>
      </c>
      <c r="B378" s="54" t="s">
        <v>534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520</v>
      </c>
      <c r="L378" s="33" t="s">
        <v>521</v>
      </c>
      <c r="M378" s="32">
        <v>150</v>
      </c>
      <c r="N378" s="531" t="s">
        <v>535</v>
      </c>
      <c r="O378" s="325"/>
      <c r="P378" s="325"/>
      <c r="Q378" s="325"/>
      <c r="R378" s="314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443</v>
      </c>
      <c r="AD378" s="58"/>
      <c r="BA378" s="260" t="s">
        <v>1</v>
      </c>
    </row>
    <row r="379" spans="1:53" ht="27" customHeight="1" x14ac:dyDescent="0.25">
      <c r="A379" s="54" t="s">
        <v>536</v>
      </c>
      <c r="B379" s="54" t="s">
        <v>537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520</v>
      </c>
      <c r="L379" s="33" t="s">
        <v>521</v>
      </c>
      <c r="M379" s="32">
        <v>150</v>
      </c>
      <c r="N379" s="426" t="s">
        <v>538</v>
      </c>
      <c r="O379" s="325"/>
      <c r="P379" s="325"/>
      <c r="Q379" s="325"/>
      <c r="R379" s="314"/>
      <c r="S379" s="34"/>
      <c r="T379" s="34"/>
      <c r="U379" s="35" t="s">
        <v>66</v>
      </c>
      <c r="V379" s="307">
        <v>26</v>
      </c>
      <c r="W379" s="308">
        <f>IFERROR(IF(V379="",0,CEILING((V379/$H379),1)*$H379),"")</f>
        <v>26</v>
      </c>
      <c r="X379" s="36">
        <f>IFERROR(IF(W379=0,"",ROUNDUP(W379/H379,0)*0.00673),"")</f>
        <v>0.1346</v>
      </c>
      <c r="Y379" s="56"/>
      <c r="Z379" s="57"/>
      <c r="AD379" s="58"/>
      <c r="BA379" s="261" t="s">
        <v>1</v>
      </c>
    </row>
    <row r="380" spans="1:53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67</v>
      </c>
      <c r="O380" s="327"/>
      <c r="P380" s="327"/>
      <c r="Q380" s="327"/>
      <c r="R380" s="327"/>
      <c r="S380" s="327"/>
      <c r="T380" s="328"/>
      <c r="U380" s="37" t="s">
        <v>68</v>
      </c>
      <c r="V380" s="309">
        <f>IFERROR(V378/H378,"0")+IFERROR(V379/H379,"0")</f>
        <v>20</v>
      </c>
      <c r="W380" s="309">
        <f>IFERROR(W378/H378,"0")+IFERROR(W379/H379,"0")</f>
        <v>20</v>
      </c>
      <c r="X380" s="309">
        <f>IFERROR(IF(X378="",0,X378),"0")+IFERROR(IF(X379="",0,X379),"0")</f>
        <v>0.1346</v>
      </c>
      <c r="Y380" s="310"/>
      <c r="Z380" s="310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67</v>
      </c>
      <c r="O381" s="327"/>
      <c r="P381" s="327"/>
      <c r="Q381" s="327"/>
      <c r="R381" s="327"/>
      <c r="S381" s="327"/>
      <c r="T381" s="328"/>
      <c r="U381" s="37" t="s">
        <v>66</v>
      </c>
      <c r="V381" s="309">
        <f>IFERROR(SUM(V378:V379),"0")</f>
        <v>26</v>
      </c>
      <c r="W381" s="309">
        <f>IFERROR(SUM(W378:W379),"0")</f>
        <v>26</v>
      </c>
      <c r="X381" s="37"/>
      <c r="Y381" s="310"/>
      <c r="Z381" s="310"/>
    </row>
    <row r="382" spans="1:53" ht="16.5" customHeight="1" x14ac:dyDescent="0.25">
      <c r="A382" s="339" t="s">
        <v>539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customHeight="1" x14ac:dyDescent="0.25">
      <c r="A383" s="320" t="s">
        <v>96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customHeight="1" x14ac:dyDescent="0.25">
      <c r="A384" s="54" t="s">
        <v>540</v>
      </c>
      <c r="B384" s="54" t="s">
        <v>541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129</v>
      </c>
      <c r="M384" s="32">
        <v>35</v>
      </c>
      <c r="N384" s="5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542</v>
      </c>
      <c r="B385" s="54" t="s">
        <v>543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129</v>
      </c>
      <c r="M385" s="32">
        <v>35</v>
      </c>
      <c r="N385" s="3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67</v>
      </c>
      <c r="O386" s="327"/>
      <c r="P386" s="327"/>
      <c r="Q386" s="327"/>
      <c r="R386" s="327"/>
      <c r="S386" s="327"/>
      <c r="T386" s="32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67</v>
      </c>
      <c r="O387" s="327"/>
      <c r="P387" s="327"/>
      <c r="Q387" s="327"/>
      <c r="R387" s="327"/>
      <c r="S387" s="327"/>
      <c r="T387" s="32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20" t="s">
        <v>61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customHeight="1" x14ac:dyDescent="0.25">
      <c r="A389" s="54" t="s">
        <v>544</v>
      </c>
      <c r="B389" s="54" t="s">
        <v>545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66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546</v>
      </c>
      <c r="B390" s="54" t="s">
        <v>547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3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548</v>
      </c>
      <c r="B391" s="54" t="s">
        <v>549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164</v>
      </c>
      <c r="L391" s="33" t="s">
        <v>65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550</v>
      </c>
      <c r="B392" s="54" t="s">
        <v>551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164</v>
      </c>
      <c r="L392" s="33" t="s">
        <v>65</v>
      </c>
      <c r="M392" s="32">
        <v>40</v>
      </c>
      <c r="N392" s="625" t="s">
        <v>552</v>
      </c>
      <c r="O392" s="325"/>
      <c r="P392" s="325"/>
      <c r="Q392" s="325"/>
      <c r="R392" s="314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553</v>
      </c>
      <c r="B393" s="54" t="s">
        <v>554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164</v>
      </c>
      <c r="L393" s="33" t="s">
        <v>65</v>
      </c>
      <c r="M393" s="32">
        <v>45</v>
      </c>
      <c r="N393" s="4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555</v>
      </c>
      <c r="B394" s="54" t="s">
        <v>556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164</v>
      </c>
      <c r="L394" s="33" t="s">
        <v>65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66</v>
      </c>
      <c r="V394" s="307">
        <v>210</v>
      </c>
      <c r="W394" s="308">
        <f t="shared" si="17"/>
        <v>210</v>
      </c>
      <c r="X394" s="36">
        <f>IFERROR(IF(W394=0,"",ROUNDUP(W394/H394,0)*0.00502),"")</f>
        <v>0.502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557</v>
      </c>
      <c r="B395" s="54" t="s">
        <v>558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164</v>
      </c>
      <c r="L395" s="33" t="s">
        <v>65</v>
      </c>
      <c r="M395" s="32">
        <v>40</v>
      </c>
      <c r="N395" s="4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67</v>
      </c>
      <c r="O396" s="327"/>
      <c r="P396" s="327"/>
      <c r="Q396" s="327"/>
      <c r="R396" s="327"/>
      <c r="S396" s="327"/>
      <c r="T396" s="32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100</v>
      </c>
      <c r="W396" s="309">
        <f>IFERROR(W389/H389,"0")+IFERROR(W390/H390,"0")+IFERROR(W391/H391,"0")+IFERROR(W392/H392,"0")+IFERROR(W393/H393,"0")+IFERROR(W394/H394,"0")+IFERROR(W395/H395,"0")</f>
        <v>100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0.502</v>
      </c>
      <c r="Y396" s="310"/>
      <c r="Z396" s="310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67</v>
      </c>
      <c r="O397" s="327"/>
      <c r="P397" s="327"/>
      <c r="Q397" s="327"/>
      <c r="R397" s="327"/>
      <c r="S397" s="327"/>
      <c r="T397" s="328"/>
      <c r="U397" s="37" t="s">
        <v>66</v>
      </c>
      <c r="V397" s="309">
        <f>IFERROR(SUM(V389:V395),"0")</f>
        <v>210</v>
      </c>
      <c r="W397" s="309">
        <f>IFERROR(SUM(W389:W395),"0")</f>
        <v>210</v>
      </c>
      <c r="X397" s="37"/>
      <c r="Y397" s="310"/>
      <c r="Z397" s="310"/>
    </row>
    <row r="398" spans="1:53" ht="14.25" customHeight="1" x14ac:dyDescent="0.25">
      <c r="A398" s="320" t="s">
        <v>91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customHeight="1" x14ac:dyDescent="0.25">
      <c r="A399" s="54" t="s">
        <v>559</v>
      </c>
      <c r="B399" s="54" t="s">
        <v>560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520</v>
      </c>
      <c r="L399" s="33" t="s">
        <v>521</v>
      </c>
      <c r="M399" s="32">
        <v>150</v>
      </c>
      <c r="N399" s="6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67</v>
      </c>
      <c r="O400" s="327"/>
      <c r="P400" s="327"/>
      <c r="Q400" s="327"/>
      <c r="R400" s="327"/>
      <c r="S400" s="327"/>
      <c r="T400" s="32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67</v>
      </c>
      <c r="O401" s="327"/>
      <c r="P401" s="327"/>
      <c r="Q401" s="327"/>
      <c r="R401" s="327"/>
      <c r="S401" s="327"/>
      <c r="T401" s="32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8" t="s">
        <v>561</v>
      </c>
      <c r="B402" s="369"/>
      <c r="C402" s="369"/>
      <c r="D402" s="369"/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48"/>
      <c r="Z402" s="48"/>
    </row>
    <row r="403" spans="1:53" ht="16.5" customHeight="1" x14ac:dyDescent="0.25">
      <c r="A403" s="339" t="s">
        <v>561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customHeight="1" x14ac:dyDescent="0.25">
      <c r="A404" s="320" t="s">
        <v>104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customHeight="1" x14ac:dyDescent="0.25">
      <c r="A405" s="54" t="s">
        <v>562</v>
      </c>
      <c r="B405" s="54" t="s">
        <v>563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129</v>
      </c>
      <c r="M405" s="32">
        <v>55</v>
      </c>
      <c r="N405" s="4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66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66</v>
      </c>
      <c r="V406" s="307">
        <v>230</v>
      </c>
      <c r="W406" s="308">
        <f t="shared" si="18"/>
        <v>232.32000000000002</v>
      </c>
      <c r="X406" s="36">
        <f>IFERROR(IF(W406=0,"",ROUNDUP(W406/H406,0)*0.01196),"")</f>
        <v>0.52624000000000004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66</v>
      </c>
      <c r="V407" s="307">
        <v>40</v>
      </c>
      <c r="W407" s="308">
        <f t="shared" si="18"/>
        <v>42.24</v>
      </c>
      <c r="X407" s="36">
        <f>IFERROR(IF(W407=0,"",ROUNDUP(W407/H407,0)*0.01196),"")</f>
        <v>9.5680000000000001E-2</v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66</v>
      </c>
      <c r="V408" s="307">
        <v>200</v>
      </c>
      <c r="W408" s="308">
        <f t="shared" si="18"/>
        <v>200.64000000000001</v>
      </c>
      <c r="X408" s="36">
        <f>IFERROR(IF(W408=0,"",ROUNDUP(W408/H408,0)*0.01196),"")</f>
        <v>0.45448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66</v>
      </c>
      <c r="V409" s="307">
        <v>24</v>
      </c>
      <c r="W409" s="308">
        <f t="shared" si="18"/>
        <v>25.2</v>
      </c>
      <c r="X409" s="36">
        <f>IFERROR(IF(W409=0,"",ROUNDUP(W409/H409,0)*0.00937),"")</f>
        <v>6.5589999999999996E-2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572</v>
      </c>
      <c r="B410" s="54" t="s">
        <v>573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574</v>
      </c>
      <c r="B411" s="54" t="s">
        <v>575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5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576</v>
      </c>
      <c r="B412" s="54" t="s">
        <v>577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129</v>
      </c>
      <c r="M412" s="32">
        <v>50</v>
      </c>
      <c r="N412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578</v>
      </c>
      <c r="B413" s="54" t="s">
        <v>579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66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67</v>
      </c>
      <c r="O414" s="327"/>
      <c r="P414" s="327"/>
      <c r="Q414" s="327"/>
      <c r="R414" s="327"/>
      <c r="S414" s="327"/>
      <c r="T414" s="32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95.681818181818173</v>
      </c>
      <c r="W414" s="309">
        <f>IFERROR(W405/H405,"0")+IFERROR(W406/H406,"0")+IFERROR(W407/H407,"0")+IFERROR(W408/H408,"0")+IFERROR(W409/H409,"0")+IFERROR(W410/H410,"0")+IFERROR(W411/H411,"0")+IFERROR(W412/H412,"0")+IFERROR(W413/H413,"0")</f>
        <v>97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1.1419900000000001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67</v>
      </c>
      <c r="O415" s="327"/>
      <c r="P415" s="327"/>
      <c r="Q415" s="327"/>
      <c r="R415" s="327"/>
      <c r="S415" s="327"/>
      <c r="T415" s="328"/>
      <c r="U415" s="37" t="s">
        <v>66</v>
      </c>
      <c r="V415" s="309">
        <f>IFERROR(SUM(V405:V413),"0")</f>
        <v>494</v>
      </c>
      <c r="W415" s="309">
        <f>IFERROR(SUM(W405:W413),"0")</f>
        <v>500.40000000000003</v>
      </c>
      <c r="X415" s="37"/>
      <c r="Y415" s="310"/>
      <c r="Z415" s="310"/>
    </row>
    <row r="416" spans="1:53" ht="14.25" customHeight="1" x14ac:dyDescent="0.25">
      <c r="A416" s="320" t="s">
        <v>96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customHeight="1" x14ac:dyDescent="0.25">
      <c r="A417" s="54" t="s">
        <v>580</v>
      </c>
      <c r="B417" s="54" t="s">
        <v>581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66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582</v>
      </c>
      <c r="B418" s="54" t="s">
        <v>583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4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67</v>
      </c>
      <c r="O419" s="327"/>
      <c r="P419" s="327"/>
      <c r="Q419" s="327"/>
      <c r="R419" s="327"/>
      <c r="S419" s="327"/>
      <c r="T419" s="328"/>
      <c r="U419" s="37" t="s">
        <v>68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67</v>
      </c>
      <c r="O420" s="327"/>
      <c r="P420" s="327"/>
      <c r="Q420" s="327"/>
      <c r="R420" s="327"/>
      <c r="S420" s="327"/>
      <c r="T420" s="328"/>
      <c r="U420" s="37" t="s">
        <v>66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20" t="s">
        <v>61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customHeight="1" x14ac:dyDescent="0.25">
      <c r="A422" s="54" t="s">
        <v>584</v>
      </c>
      <c r="B422" s="54" t="s">
        <v>585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5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66</v>
      </c>
      <c r="V422" s="307">
        <v>50</v>
      </c>
      <c r="W422" s="308">
        <f t="shared" ref="W422:W427" si="19"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586</v>
      </c>
      <c r="B423" s="54" t="s">
        <v>587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4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66</v>
      </c>
      <c r="V423" s="307">
        <v>50</v>
      </c>
      <c r="W423" s="308">
        <f t="shared" si="19"/>
        <v>52.800000000000004</v>
      </c>
      <c r="X423" s="36">
        <f>IFERROR(IF(W423=0,"",ROUNDUP(W423/H423,0)*0.01196),"")</f>
        <v>0.1196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588</v>
      </c>
      <c r="B424" s="54" t="s">
        <v>589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5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66</v>
      </c>
      <c r="V424" s="307">
        <v>80</v>
      </c>
      <c r="W424" s="308">
        <f t="shared" si="19"/>
        <v>84.48</v>
      </c>
      <c r="X424" s="36">
        <f>IFERROR(IF(W424=0,"",ROUNDUP(W424/H424,0)*0.01196),"")</f>
        <v>0.19136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590</v>
      </c>
      <c r="B425" s="54" t="s">
        <v>591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3.81</v>
      </c>
      <c r="J425" s="32">
        <v>120</v>
      </c>
      <c r="K425" s="32" t="s">
        <v>64</v>
      </c>
      <c r="L425" s="33" t="s">
        <v>100</v>
      </c>
      <c r="M425" s="32">
        <v>60</v>
      </c>
      <c r="N425" s="406" t="s">
        <v>592</v>
      </c>
      <c r="O425" s="325"/>
      <c r="P425" s="325"/>
      <c r="Q425" s="325"/>
      <c r="R425" s="314"/>
      <c r="S425" s="34"/>
      <c r="T425" s="34"/>
      <c r="U425" s="35" t="s">
        <v>66</v>
      </c>
      <c r="V425" s="307">
        <v>12</v>
      </c>
      <c r="W425" s="308">
        <f t="shared" si="19"/>
        <v>14.4</v>
      </c>
      <c r="X425" s="36">
        <f>IFERROR(IF(W425=0,"",ROUNDUP(W425/H425,0)*0.00937),"")</f>
        <v>3.7479999999999999E-2</v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593</v>
      </c>
      <c r="B426" s="54" t="s">
        <v>594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586" t="s">
        <v>595</v>
      </c>
      <c r="O426" s="325"/>
      <c r="P426" s="325"/>
      <c r="Q426" s="325"/>
      <c r="R426" s="314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506" t="s">
        <v>598</v>
      </c>
      <c r="O427" s="325"/>
      <c r="P427" s="325"/>
      <c r="Q427" s="325"/>
      <c r="R427" s="314"/>
      <c r="S427" s="34"/>
      <c r="T427" s="34"/>
      <c r="U427" s="35" t="s">
        <v>66</v>
      </c>
      <c r="V427" s="307">
        <v>12</v>
      </c>
      <c r="W427" s="308">
        <f t="shared" si="19"/>
        <v>14.4</v>
      </c>
      <c r="X427" s="36">
        <f>IFERROR(IF(W427=0,"",ROUNDUP(W427/H427,0)*0.00937),"")</f>
        <v>3.7479999999999999E-2</v>
      </c>
      <c r="Y427" s="56"/>
      <c r="Z427" s="57"/>
      <c r="AD427" s="58"/>
      <c r="BA427" s="288" t="s">
        <v>1</v>
      </c>
    </row>
    <row r="428" spans="1:53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67</v>
      </c>
      <c r="O428" s="327"/>
      <c r="P428" s="327"/>
      <c r="Q428" s="327"/>
      <c r="R428" s="327"/>
      <c r="S428" s="327"/>
      <c r="T428" s="328"/>
      <c r="U428" s="37" t="s">
        <v>68</v>
      </c>
      <c r="V428" s="309">
        <f>IFERROR(V422/H422,"0")+IFERROR(V423/H423,"0")+IFERROR(V424/H424,"0")+IFERROR(V425/H425,"0")+IFERROR(V426/H426,"0")+IFERROR(V427/H427,"0")</f>
        <v>40.757575757575758</v>
      </c>
      <c r="W428" s="309">
        <f>IFERROR(W422/H422,"0")+IFERROR(W423/H423,"0")+IFERROR(W424/H424,"0")+IFERROR(W425/H425,"0")+IFERROR(W426/H426,"0")+IFERROR(W427/H427,"0")</f>
        <v>44</v>
      </c>
      <c r="X428" s="309">
        <f>IFERROR(IF(X422="",0,X422),"0")+IFERROR(IF(X423="",0,X423),"0")+IFERROR(IF(X424="",0,X424),"0")+IFERROR(IF(X425="",0,X425),"0")+IFERROR(IF(X426="",0,X426),"0")+IFERROR(IF(X427="",0,X427),"0")</f>
        <v>0.50551999999999997</v>
      </c>
      <c r="Y428" s="310"/>
      <c r="Z428" s="310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67</v>
      </c>
      <c r="O429" s="327"/>
      <c r="P429" s="327"/>
      <c r="Q429" s="327"/>
      <c r="R429" s="327"/>
      <c r="S429" s="327"/>
      <c r="T429" s="328"/>
      <c r="U429" s="37" t="s">
        <v>66</v>
      </c>
      <c r="V429" s="309">
        <f>IFERROR(SUM(V422:V427),"0")</f>
        <v>204</v>
      </c>
      <c r="W429" s="309">
        <f>IFERROR(SUM(W422:W427),"0")</f>
        <v>218.88000000000002</v>
      </c>
      <c r="X429" s="37"/>
      <c r="Y429" s="310"/>
      <c r="Z429" s="310"/>
    </row>
    <row r="430" spans="1:53" ht="14.25" customHeight="1" x14ac:dyDescent="0.25">
      <c r="A430" s="320" t="s">
        <v>69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customHeight="1" x14ac:dyDescent="0.25">
      <c r="A431" s="54" t="s">
        <v>599</v>
      </c>
      <c r="B431" s="54" t="s">
        <v>600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601</v>
      </c>
      <c r="B432" s="54" t="s">
        <v>602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4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67</v>
      </c>
      <c r="O433" s="327"/>
      <c r="P433" s="327"/>
      <c r="Q433" s="327"/>
      <c r="R433" s="327"/>
      <c r="S433" s="327"/>
      <c r="T433" s="32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67</v>
      </c>
      <c r="O434" s="327"/>
      <c r="P434" s="327"/>
      <c r="Q434" s="327"/>
      <c r="R434" s="327"/>
      <c r="S434" s="327"/>
      <c r="T434" s="32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8" t="s">
        <v>603</v>
      </c>
      <c r="B435" s="369"/>
      <c r="C435" s="369"/>
      <c r="D435" s="369"/>
      <c r="E435" s="369"/>
      <c r="F435" s="369"/>
      <c r="G435" s="369"/>
      <c r="H435" s="369"/>
      <c r="I435" s="369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48"/>
      <c r="Z435" s="48"/>
    </row>
    <row r="436" spans="1:53" ht="16.5" customHeight="1" x14ac:dyDescent="0.25">
      <c r="A436" s="339" t="s">
        <v>604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customHeight="1" x14ac:dyDescent="0.25">
      <c r="A437" s="320" t="s">
        <v>104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customHeight="1" x14ac:dyDescent="0.25">
      <c r="A438" s="54" t="s">
        <v>605</v>
      </c>
      <c r="B438" s="54" t="s">
        <v>606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403" t="s">
        <v>607</v>
      </c>
      <c r="O438" s="325"/>
      <c r="P438" s="325"/>
      <c r="Q438" s="325"/>
      <c r="R438" s="314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608</v>
      </c>
      <c r="B439" s="54" t="s">
        <v>609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378" t="s">
        <v>610</v>
      </c>
      <c r="O439" s="325"/>
      <c r="P439" s="325"/>
      <c r="Q439" s="325"/>
      <c r="R439" s="314"/>
      <c r="S439" s="34"/>
      <c r="T439" s="34"/>
      <c r="U439" s="35" t="s">
        <v>66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67</v>
      </c>
      <c r="O440" s="327"/>
      <c r="P440" s="327"/>
      <c r="Q440" s="327"/>
      <c r="R440" s="327"/>
      <c r="S440" s="327"/>
      <c r="T440" s="328"/>
      <c r="U440" s="37" t="s">
        <v>68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67</v>
      </c>
      <c r="O441" s="327"/>
      <c r="P441" s="327"/>
      <c r="Q441" s="327"/>
      <c r="R441" s="327"/>
      <c r="S441" s="327"/>
      <c r="T441" s="328"/>
      <c r="U441" s="37" t="s">
        <v>66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20" t="s">
        <v>96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customHeight="1" x14ac:dyDescent="0.25">
      <c r="A443" s="54" t="s">
        <v>611</v>
      </c>
      <c r="B443" s="54" t="s">
        <v>612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550" t="s">
        <v>613</v>
      </c>
      <c r="O443" s="325"/>
      <c r="P443" s="325"/>
      <c r="Q443" s="325"/>
      <c r="R443" s="314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614</v>
      </c>
      <c r="B444" s="54" t="s">
        <v>615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129</v>
      </c>
      <c r="M444" s="32">
        <v>50</v>
      </c>
      <c r="N444" s="581" t="s">
        <v>616</v>
      </c>
      <c r="O444" s="325"/>
      <c r="P444" s="325"/>
      <c r="Q444" s="325"/>
      <c r="R444" s="314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67</v>
      </c>
      <c r="O445" s="327"/>
      <c r="P445" s="327"/>
      <c r="Q445" s="327"/>
      <c r="R445" s="327"/>
      <c r="S445" s="327"/>
      <c r="T445" s="32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67</v>
      </c>
      <c r="O446" s="327"/>
      <c r="P446" s="327"/>
      <c r="Q446" s="327"/>
      <c r="R446" s="327"/>
      <c r="S446" s="327"/>
      <c r="T446" s="32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20" t="s">
        <v>61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617</v>
      </c>
      <c r="B448" s="54" t="s">
        <v>618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472" t="s">
        <v>619</v>
      </c>
      <c r="O448" s="325"/>
      <c r="P448" s="325"/>
      <c r="Q448" s="325"/>
      <c r="R448" s="314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620</v>
      </c>
      <c r="B449" s="54" t="s">
        <v>621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514" t="s">
        <v>622</v>
      </c>
      <c r="O449" s="325"/>
      <c r="P449" s="325"/>
      <c r="Q449" s="325"/>
      <c r="R449" s="314"/>
      <c r="S449" s="34"/>
      <c r="T449" s="34"/>
      <c r="U449" s="35" t="s">
        <v>66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67</v>
      </c>
      <c r="O450" s="327"/>
      <c r="P450" s="327"/>
      <c r="Q450" s="327"/>
      <c r="R450" s="327"/>
      <c r="S450" s="327"/>
      <c r="T450" s="328"/>
      <c r="U450" s="37" t="s">
        <v>68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67</v>
      </c>
      <c r="O451" s="327"/>
      <c r="P451" s="327"/>
      <c r="Q451" s="327"/>
      <c r="R451" s="327"/>
      <c r="S451" s="327"/>
      <c r="T451" s="328"/>
      <c r="U451" s="37" t="s">
        <v>66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20" t="s">
        <v>69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customHeight="1" x14ac:dyDescent="0.25">
      <c r="A453" s="54" t="s">
        <v>623</v>
      </c>
      <c r="B453" s="54" t="s">
        <v>624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577" t="s">
        <v>625</v>
      </c>
      <c r="O453" s="325"/>
      <c r="P453" s="325"/>
      <c r="Q453" s="325"/>
      <c r="R453" s="314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626</v>
      </c>
      <c r="B454" s="54" t="s">
        <v>627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349" t="s">
        <v>628</v>
      </c>
      <c r="O454" s="325"/>
      <c r="P454" s="325"/>
      <c r="Q454" s="325"/>
      <c r="R454" s="314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67</v>
      </c>
      <c r="O455" s="327"/>
      <c r="P455" s="327"/>
      <c r="Q455" s="327"/>
      <c r="R455" s="327"/>
      <c r="S455" s="327"/>
      <c r="T455" s="32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67</v>
      </c>
      <c r="O456" s="327"/>
      <c r="P456" s="327"/>
      <c r="Q456" s="327"/>
      <c r="R456" s="327"/>
      <c r="S456" s="327"/>
      <c r="T456" s="32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39" t="s">
        <v>629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customHeight="1" x14ac:dyDescent="0.25">
      <c r="A458" s="320" t="s">
        <v>69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customHeight="1" x14ac:dyDescent="0.25">
      <c r="A459" s="54" t="s">
        <v>630</v>
      </c>
      <c r="B459" s="54" t="s">
        <v>631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129</v>
      </c>
      <c r="M459" s="32">
        <v>40</v>
      </c>
      <c r="N459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66</v>
      </c>
      <c r="V459" s="307">
        <v>230</v>
      </c>
      <c r="W459" s="308">
        <f>IFERROR(IF(V459="",0,CEILING((V459/$H459),1)*$H459),"")</f>
        <v>234</v>
      </c>
      <c r="X459" s="36">
        <f>IFERROR(IF(W459=0,"",ROUNDUP(W459/H459,0)*0.02175),"")</f>
        <v>0.65249999999999997</v>
      </c>
      <c r="Y459" s="56"/>
      <c r="Z459" s="57"/>
      <c r="AD459" s="58"/>
      <c r="BA459" s="299" t="s">
        <v>1</v>
      </c>
    </row>
    <row r="460" spans="1:53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67</v>
      </c>
      <c r="O460" s="327"/>
      <c r="P460" s="327"/>
      <c r="Q460" s="327"/>
      <c r="R460" s="327"/>
      <c r="S460" s="327"/>
      <c r="T460" s="328"/>
      <c r="U460" s="37" t="s">
        <v>68</v>
      </c>
      <c r="V460" s="309">
        <f>IFERROR(V459/H459,"0")</f>
        <v>29.487179487179489</v>
      </c>
      <c r="W460" s="309">
        <f>IFERROR(W459/H459,"0")</f>
        <v>30</v>
      </c>
      <c r="X460" s="309">
        <f>IFERROR(IF(X459="",0,X459),"0")</f>
        <v>0.65249999999999997</v>
      </c>
      <c r="Y460" s="310"/>
      <c r="Z460" s="310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67</v>
      </c>
      <c r="O461" s="327"/>
      <c r="P461" s="327"/>
      <c r="Q461" s="327"/>
      <c r="R461" s="327"/>
      <c r="S461" s="327"/>
      <c r="T461" s="328"/>
      <c r="U461" s="37" t="s">
        <v>66</v>
      </c>
      <c r="V461" s="309">
        <f>IFERROR(SUM(V459:V459),"0")</f>
        <v>230</v>
      </c>
      <c r="W461" s="309">
        <f>IFERROR(SUM(W459:W459),"0")</f>
        <v>234</v>
      </c>
      <c r="X461" s="37"/>
      <c r="Y461" s="310"/>
      <c r="Z461" s="310"/>
    </row>
    <row r="462" spans="1:53" ht="15" customHeight="1" x14ac:dyDescent="0.2">
      <c r="A462" s="466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41"/>
      <c r="N462" s="373" t="s">
        <v>632</v>
      </c>
      <c r="O462" s="367"/>
      <c r="P462" s="367"/>
      <c r="Q462" s="367"/>
      <c r="R462" s="367"/>
      <c r="S462" s="367"/>
      <c r="T462" s="351"/>
      <c r="U462" s="37" t="s">
        <v>66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17239.3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17348.240000000002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41"/>
      <c r="N463" s="373" t="s">
        <v>633</v>
      </c>
      <c r="O463" s="367"/>
      <c r="P463" s="367"/>
      <c r="Q463" s="367"/>
      <c r="R463" s="367"/>
      <c r="S463" s="367"/>
      <c r="T463" s="351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18360.885001488936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18476.972000000002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41"/>
      <c r="N464" s="373" t="s">
        <v>634</v>
      </c>
      <c r="O464" s="367"/>
      <c r="P464" s="367"/>
      <c r="Q464" s="367"/>
      <c r="R464" s="367"/>
      <c r="S464" s="367"/>
      <c r="T464" s="351"/>
      <c r="U464" s="37" t="s">
        <v>635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34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35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41"/>
      <c r="N465" s="373" t="s">
        <v>636</v>
      </c>
      <c r="O465" s="367"/>
      <c r="P465" s="367"/>
      <c r="Q465" s="367"/>
      <c r="R465" s="367"/>
      <c r="S465" s="367"/>
      <c r="T465" s="351"/>
      <c r="U465" s="37" t="s">
        <v>66</v>
      </c>
      <c r="V465" s="309">
        <f>GrossWeightTotal+PalletQtyTotal*25</f>
        <v>19210.885001488936</v>
      </c>
      <c r="W465" s="309">
        <f>GrossWeightTotalR+PalletQtyTotalR*25</f>
        <v>19351.972000000002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41"/>
      <c r="N466" s="373" t="s">
        <v>637</v>
      </c>
      <c r="O466" s="367"/>
      <c r="P466" s="367"/>
      <c r="Q466" s="367"/>
      <c r="R466" s="367"/>
      <c r="S466" s="367"/>
      <c r="T466" s="351"/>
      <c r="U466" s="37" t="s">
        <v>635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3888.7077615870721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3908</v>
      </c>
      <c r="X466" s="37"/>
      <c r="Y466" s="310"/>
      <c r="Z466" s="310"/>
    </row>
    <row r="467" spans="1:29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41"/>
      <c r="N467" s="373" t="s">
        <v>638</v>
      </c>
      <c r="O467" s="367"/>
      <c r="P467" s="367"/>
      <c r="Q467" s="367"/>
      <c r="R467" s="367"/>
      <c r="S467" s="367"/>
      <c r="T467" s="351"/>
      <c r="U467" s="39" t="s">
        <v>639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39.036290000000008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640</v>
      </c>
      <c r="B469" s="304" t="s">
        <v>60</v>
      </c>
      <c r="C469" s="353" t="s">
        <v>94</v>
      </c>
      <c r="D469" s="397"/>
      <c r="E469" s="397"/>
      <c r="F469" s="359"/>
      <c r="G469" s="353" t="s">
        <v>229</v>
      </c>
      <c r="H469" s="397"/>
      <c r="I469" s="397"/>
      <c r="J469" s="397"/>
      <c r="K469" s="397"/>
      <c r="L469" s="397"/>
      <c r="M469" s="359"/>
      <c r="N469" s="353" t="s">
        <v>424</v>
      </c>
      <c r="O469" s="359"/>
      <c r="P469" s="353" t="s">
        <v>475</v>
      </c>
      <c r="Q469" s="359"/>
      <c r="R469" s="304" t="s">
        <v>561</v>
      </c>
      <c r="S469" s="353" t="s">
        <v>603</v>
      </c>
      <c r="T469" s="359"/>
      <c r="U469" s="305"/>
      <c r="Z469" s="52"/>
      <c r="AC469" s="305"/>
    </row>
    <row r="470" spans="1:29" ht="14.25" customHeight="1" thickTop="1" x14ac:dyDescent="0.2">
      <c r="A470" s="509" t="s">
        <v>641</v>
      </c>
      <c r="B470" s="353" t="s">
        <v>60</v>
      </c>
      <c r="C470" s="353" t="s">
        <v>95</v>
      </c>
      <c r="D470" s="353" t="s">
        <v>103</v>
      </c>
      <c r="E470" s="353" t="s">
        <v>94</v>
      </c>
      <c r="F470" s="353" t="s">
        <v>222</v>
      </c>
      <c r="G470" s="353" t="s">
        <v>230</v>
      </c>
      <c r="H470" s="353" t="s">
        <v>237</v>
      </c>
      <c r="I470" s="353" t="s">
        <v>254</v>
      </c>
      <c r="J470" s="353" t="s">
        <v>314</v>
      </c>
      <c r="K470" s="305"/>
      <c r="L470" s="353" t="s">
        <v>395</v>
      </c>
      <c r="M470" s="353" t="s">
        <v>413</v>
      </c>
      <c r="N470" s="353" t="s">
        <v>425</v>
      </c>
      <c r="O470" s="353" t="s">
        <v>452</v>
      </c>
      <c r="P470" s="353" t="s">
        <v>476</v>
      </c>
      <c r="Q470" s="353" t="s">
        <v>539</v>
      </c>
      <c r="R470" s="353" t="s">
        <v>561</v>
      </c>
      <c r="S470" s="353" t="s">
        <v>604</v>
      </c>
      <c r="T470" s="353" t="s">
        <v>629</v>
      </c>
      <c r="U470" s="305"/>
      <c r="Z470" s="52"/>
      <c r="AC470" s="305"/>
    </row>
    <row r="471" spans="1:29" ht="13.5" customHeight="1" thickBot="1" x14ac:dyDescent="0.25">
      <c r="A471" s="510"/>
      <c r="B471" s="354"/>
      <c r="C471" s="354"/>
      <c r="D471" s="354"/>
      <c r="E471" s="354"/>
      <c r="F471" s="354"/>
      <c r="G471" s="354"/>
      <c r="H471" s="354"/>
      <c r="I471" s="354"/>
      <c r="J471" s="354"/>
      <c r="K471" s="305"/>
      <c r="L471" s="354"/>
      <c r="M471" s="354"/>
      <c r="N471" s="354"/>
      <c r="O471" s="354"/>
      <c r="P471" s="354"/>
      <c r="Q471" s="354"/>
      <c r="R471" s="354"/>
      <c r="S471" s="354"/>
      <c r="T471" s="354"/>
      <c r="U471" s="305"/>
      <c r="Z471" s="52"/>
      <c r="AC471" s="305"/>
    </row>
    <row r="472" spans="1:29" ht="18" customHeight="1" thickTop="1" thickBot="1" x14ac:dyDescent="0.25">
      <c r="A472" s="40" t="s">
        <v>642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91.800000000000011</v>
      </c>
      <c r="D472" s="46">
        <f>IFERROR(W55*1,"0")+IFERROR(W56*1,"0")+IFERROR(W57*1,"0")+IFERROR(W58*1,"0")</f>
        <v>1114.2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4088.8</v>
      </c>
      <c r="F472" s="46">
        <f>IFERROR(W124*1,"0")+IFERROR(W125*1,"0")+IFERROR(W126*1,"0")</f>
        <v>1458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100.80000000000001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1876.7999999999997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312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2216.7600000000002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4751.6000000000004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174.2</v>
      </c>
      <c r="Q472" s="46">
        <f>IFERROR(W384*1,"0")+IFERROR(W385*1,"0")+IFERROR(W389*1,"0")+IFERROR(W390*1,"0")+IFERROR(W391*1,"0")+IFERROR(W392*1,"0")+IFERROR(W393*1,"0")+IFERROR(W394*1,"0")+IFERROR(W395*1,"0")+IFERROR(W399*1,"0")</f>
        <v>210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719.28</v>
      </c>
      <c r="S472" s="46">
        <f>IFERROR(W438*1,"0")+IFERROR(W439*1,"0")+IFERROR(W443*1,"0")+IFERROR(W444*1,"0")+IFERROR(W448*1,"0")+IFERROR(W449*1,"0")+IFERROR(W453*1,"0")+IFERROR(W454*1,"0")</f>
        <v>0</v>
      </c>
      <c r="T472" s="46">
        <f>IFERROR(W459*1,"0")</f>
        <v>234</v>
      </c>
      <c r="U472" s="305"/>
      <c r="Z472" s="52"/>
      <c r="AC472" s="305"/>
    </row>
  </sheetData>
  <sheetProtection algorithmName="SHA-512" hashValue="SE685n4FRd2Y+hI64XPZlXCE0jxpWgULTJcjUPksPP7KtWtZMUt8ZX3q8IWO6S/d88+WVRNCWU4eMGlBkLRVNg==" saltValue="UobZeee6RE9ednHBf5CB1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174:E174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D406:E406"/>
    <mergeCell ref="N280:T280"/>
    <mergeCell ref="N347:R347"/>
    <mergeCell ref="N176:R176"/>
    <mergeCell ref="N412:R412"/>
    <mergeCell ref="N362:R362"/>
    <mergeCell ref="D259:E259"/>
    <mergeCell ref="A386:M387"/>
    <mergeCell ref="N349:R349"/>
    <mergeCell ref="E470:E471"/>
    <mergeCell ref="A334:M335"/>
    <mergeCell ref="D426:E426"/>
    <mergeCell ref="D423:E423"/>
    <mergeCell ref="N451:T45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212:T212"/>
    <mergeCell ref="A312:X312"/>
    <mergeCell ref="A370:X370"/>
    <mergeCell ref="D178:E178"/>
    <mergeCell ref="A435:X435"/>
    <mergeCell ref="N399:R399"/>
    <mergeCell ref="D410:E41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49:T249"/>
    <mergeCell ref="A79:M80"/>
    <mergeCell ref="A192:X192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112:T112"/>
    <mergeCell ref="D181:E181"/>
    <mergeCell ref="D273:E273"/>
    <mergeCell ref="N323:T323"/>
    <mergeCell ref="A380:M381"/>
    <mergeCell ref="N341:T341"/>
    <mergeCell ref="D348:E348"/>
    <mergeCell ref="A131:X131"/>
    <mergeCell ref="N229:R229"/>
    <mergeCell ref="N200:R200"/>
    <mergeCell ref="N401:T401"/>
    <mergeCell ref="D188:E188"/>
    <mergeCell ref="N168:R168"/>
    <mergeCell ref="A100:M101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D39:E39"/>
    <mergeCell ref="N423:R423"/>
    <mergeCell ref="D418:E418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D56:E56"/>
    <mergeCell ref="N26:R26"/>
    <mergeCell ref="A21:X21"/>
    <mergeCell ref="D43:E43"/>
    <mergeCell ref="N29:R29"/>
    <mergeCell ref="D28:E28"/>
    <mergeCell ref="D326:E326"/>
    <mergeCell ref="A231:M232"/>
    <mergeCell ref="A165:M166"/>
    <mergeCell ref="D55:E55"/>
    <mergeCell ref="D67:E67"/>
    <mergeCell ref="D30:E30"/>
    <mergeCell ref="W17:W18"/>
    <mergeCell ref="N49:R49"/>
    <mergeCell ref="N64:R64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N385:R385"/>
    <mergeCell ref="N310:T310"/>
    <mergeCell ref="A272:X272"/>
    <mergeCell ref="D395:E395"/>
    <mergeCell ref="A375:M376"/>
    <mergeCell ref="A440:M441"/>
    <mergeCell ref="N248:R248"/>
    <mergeCell ref="D242:E242"/>
    <mergeCell ref="A251:X251"/>
    <mergeCell ref="N235:R235"/>
    <mergeCell ref="D278:E27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N27:R27"/>
    <mergeCell ref="N83:R83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R5:S5"/>
    <mergeCell ref="N390:R390"/>
    <mergeCell ref="S17:T17"/>
    <mergeCell ref="D49:E49"/>
    <mergeCell ref="O5:P5"/>
    <mergeCell ref="F17:F18"/>
    <mergeCell ref="D163:E163"/>
    <mergeCell ref="N213:T213"/>
    <mergeCell ref="D405:E405"/>
    <mergeCell ref="D234:E234"/>
    <mergeCell ref="D107:E1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643</v>
      </c>
      <c r="H1" s="52"/>
    </row>
    <row r="3" spans="2:8" x14ac:dyDescent="0.2">
      <c r="B3" s="47" t="s">
        <v>644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645</v>
      </c>
      <c r="D6" s="47" t="s">
        <v>646</v>
      </c>
      <c r="E6" s="47"/>
    </row>
    <row r="8" spans="2:8" x14ac:dyDescent="0.2">
      <c r="B8" s="47" t="s">
        <v>19</v>
      </c>
      <c r="C8" s="47" t="s">
        <v>645</v>
      </c>
      <c r="D8" s="47"/>
      <c r="E8" s="47"/>
    </row>
    <row r="10" spans="2:8" x14ac:dyDescent="0.2">
      <c r="B10" s="47" t="s">
        <v>647</v>
      </c>
      <c r="C10" s="47"/>
      <c r="D10" s="47"/>
      <c r="E10" s="47"/>
    </row>
    <row r="11" spans="2:8" x14ac:dyDescent="0.2">
      <c r="B11" s="47" t="s">
        <v>648</v>
      </c>
      <c r="C11" s="47"/>
      <c r="D11" s="47"/>
      <c r="E11" s="47"/>
    </row>
    <row r="12" spans="2:8" x14ac:dyDescent="0.2">
      <c r="B12" s="47" t="s">
        <v>649</v>
      </c>
      <c r="C12" s="47"/>
      <c r="D12" s="47"/>
      <c r="E12" s="47"/>
    </row>
    <row r="13" spans="2:8" x14ac:dyDescent="0.2">
      <c r="B13" s="47" t="s">
        <v>650</v>
      </c>
      <c r="C13" s="47"/>
      <c r="D13" s="47"/>
      <c r="E13" s="47"/>
    </row>
    <row r="14" spans="2:8" x14ac:dyDescent="0.2">
      <c r="B14" s="47" t="s">
        <v>651</v>
      </c>
      <c r="C14" s="47"/>
      <c r="D14" s="47"/>
      <c r="E14" s="47"/>
    </row>
    <row r="15" spans="2:8" x14ac:dyDescent="0.2">
      <c r="B15" s="47" t="s">
        <v>652</v>
      </c>
      <c r="C15" s="47"/>
      <c r="D15" s="47"/>
      <c r="E15" s="47"/>
    </row>
    <row r="16" spans="2:8" x14ac:dyDescent="0.2">
      <c r="B16" s="47" t="s">
        <v>653</v>
      </c>
      <c r="C16" s="47"/>
      <c r="D16" s="47"/>
      <c r="E16" s="47"/>
    </row>
    <row r="17" spans="2:5" x14ac:dyDescent="0.2">
      <c r="B17" s="47" t="s">
        <v>654</v>
      </c>
      <c r="C17" s="47"/>
      <c r="D17" s="47"/>
      <c r="E17" s="47"/>
    </row>
    <row r="18" spans="2:5" x14ac:dyDescent="0.2">
      <c r="B18" s="47" t="s">
        <v>655</v>
      </c>
      <c r="C18" s="47"/>
      <c r="D18" s="47"/>
      <c r="E18" s="47"/>
    </row>
    <row r="19" spans="2:5" x14ac:dyDescent="0.2">
      <c r="B19" s="47" t="s">
        <v>656</v>
      </c>
      <c r="C19" s="47"/>
      <c r="D19" s="47"/>
      <c r="E19" s="47"/>
    </row>
    <row r="20" spans="2:5" x14ac:dyDescent="0.2">
      <c r="B20" s="47" t="s">
        <v>657</v>
      </c>
      <c r="C20" s="47"/>
      <c r="D20" s="47"/>
      <c r="E20" s="47"/>
    </row>
  </sheetData>
  <sheetProtection algorithmName="SHA-512" hashValue="Hf5y9KaDHH53qMrHMMwq1owLvV4xKvY0VkvHfj7+/XNEF61U8PWhBZt+qxs7TqBx28aO64RnYJ/2Cvk2UGzL+g==" saltValue="TaPUCKUG1lRKDsLy5AFs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2023-11-22T12:01:50Z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