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18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заказа'!$V$460:$V$460</definedName>
    <definedName name="GrossWeightTotalR">'Бланк заказа'!$W$460:$W$460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заказа'!$V$461:$V$461</definedName>
    <definedName name="PalletQtyTotalR">'Бланк заказа'!$W$461:$W$461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заказа'!$B$18:$X$464</definedName>
  </definedNames>
  <calcPr calcId="162913" fullCalcOnLoad="1" refMode="R1C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164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20" fillId="24" borderId="0" applyAlignment="1" pivotButton="0" quotePrefix="0" xfId="39">
      <alignment horizontal="center" vertical="center" wrapText="1"/>
    </xf>
    <xf numFmtId="165" fontId="20" fillId="24" borderId="0" applyAlignment="1" pivotButton="0" quotePrefix="0" xfId="0">
      <alignment vertical="center" wrapText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0" borderId="10" applyAlignment="1" pivotButton="0" quotePrefix="0" xfId="0">
      <alignment horizontal="center" vertical="center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" fontId="35" fillId="0" borderId="10" applyAlignment="1" pivotButton="0" quotePrefix="0" xfId="0">
      <alignment horizontal="center" vertical="center" wrapText="1"/>
    </xf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6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31" applyProtection="1" pivotButton="0" quotePrefix="0" xfId="0"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31" applyProtection="1" pivotButton="0" quotePrefix="0" xfId="0">
      <protection locked="0" hidden="0"/>
    </xf>
    <xf numFmtId="0" fontId="0" fillId="0" borderId="16" pivotButton="0" quotePrefix="0" xfId="0"/>
    <xf numFmtId="0" fontId="0" fillId="0" borderId="30" pivotButton="0" quotePrefix="0" xfId="0"/>
    <xf numFmtId="0" fontId="0" fillId="0" borderId="1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44" pivotButton="0" quotePrefix="0" xfId="0"/>
    <xf numFmtId="0" fontId="0" fillId="0" borderId="38" pivotButton="0" quotePrefix="0" xfId="0"/>
    <xf numFmtId="166" fontId="26" fillId="25" borderId="14" applyAlignment="1" applyProtection="1" pivotButton="0" quotePrefix="0" xfId="0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0" fillId="0" borderId="15" pivotButton="0" quotePrefix="0" xfId="0"/>
    <xf numFmtId="166" fontId="0" fillId="0" borderId="0" applyAlignment="1" pivotButton="0" quotePrefix="0" xfId="0">
      <alignment horizontal="center"/>
    </xf>
    <xf numFmtId="0" fontId="0" fillId="0" borderId="30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0" fillId="0" borderId="31" pivotButton="0" quotePrefix="0" xfId="0"/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0"/>
  <sheetViews>
    <sheetView showGridLines="0" tabSelected="1" topLeftCell="L1" zoomScaleNormal="100" workbookViewId="0">
      <selection activeCell="AA456" sqref="AA26:AA456"/>
    </sheetView>
  </sheetViews>
  <sheetFormatPr baseColWidth="8" defaultColWidth="9.1796875" defaultRowHeight="13"/>
  <cols>
    <col width="9.1796875" customWidth="1" style="1" min="1" max="1"/>
    <col width="10.81640625" customWidth="1" style="2" min="2" max="2"/>
    <col width="12.54296875" customWidth="1" style="2" min="3" max="3"/>
    <col width="6.453125" customWidth="1" style="2" min="4" max="4"/>
    <col width="6.81640625" customWidth="1" style="2" min="5" max="5"/>
    <col width="8.453125" customWidth="1" style="2" min="6" max="6"/>
    <col width="9.453125" customWidth="1" style="2" min="7" max="7"/>
    <col width="11.81640625" customWidth="1" style="2" min="8" max="8"/>
    <col width="9.453125" customWidth="1" style="2" min="9" max="9"/>
    <col width="9.1796875" customWidth="1" style="3" min="10" max="10"/>
    <col hidden="1" width="13.81640625" customWidth="1" style="3" min="11" max="11"/>
    <col width="9.453125" customWidth="1" style="3" min="12" max="12"/>
    <col width="10.453125" customWidth="1" style="2" min="13" max="13"/>
    <col width="7.453125" customWidth="1" style="4" min="14" max="14"/>
    <col width="15.54296875" customWidth="1" style="4" min="15" max="15"/>
    <col width="8.1796875" customWidth="1" style="1" min="16" max="16"/>
    <col width="6.1796875" customWidth="1" style="1" min="17" max="17"/>
    <col width="10.81640625" customWidth="1" style="5" min="18" max="18"/>
    <col width="10.453125" customWidth="1" style="5" min="19" max="19"/>
    <col width="9.453125" customWidth="1" style="5" min="20" max="20"/>
    <col width="8.453125" customWidth="1" style="5" min="21" max="21"/>
    <col width="10" customWidth="1" style="1" min="22" max="22"/>
    <col width="11" customWidth="1" style="1" min="23" max="23"/>
    <col width="10" customWidth="1" style="1" min="24" max="24"/>
    <col width="11.54296875" customWidth="1" style="1" min="25" max="25"/>
    <col width="10.453125" customWidth="1" style="1" min="26" max="26"/>
    <col width="11.453125" customWidth="1" style="71" min="27" max="27"/>
    <col width="9.1796875" customWidth="1" style="71" min="28" max="28"/>
    <col width="8.81640625" customWidth="1" style="71" min="29" max="29"/>
    <col width="13.54296875" customWidth="1" style="1" min="30" max="30"/>
    <col width="9.1796875" customWidth="1" style="1" min="31" max="1025"/>
  </cols>
  <sheetData>
    <row r="1" ht="45" customFormat="1" customHeight="1" s="98">
      <c r="A1" s="7" t="n"/>
      <c r="B1" s="7" t="n"/>
      <c r="C1" s="7" t="n"/>
      <c r="D1" s="73" t="inlineStr">
        <is>
          <t xml:space="preserve">  БЛАНК ЗАКАЗА </t>
        </is>
      </c>
      <c r="G1" s="8" t="inlineStr">
        <is>
          <t>КИ</t>
        </is>
      </c>
      <c r="H1" s="73" t="inlineStr">
        <is>
          <t>на отгрузку продукции с ООО Трейд-Сервис с</t>
        </is>
      </c>
      <c r="P1" s="74" t="inlineStr">
        <is>
          <t>20.11.2023</t>
        </is>
      </c>
      <c r="S1" s="9" t="n"/>
      <c r="T1" s="9" t="n"/>
      <c r="U1" s="9" t="n"/>
      <c r="V1" s="9" t="n"/>
      <c r="W1" s="9" t="n"/>
      <c r="X1" s="9" t="n"/>
      <c r="Y1" s="9" t="n"/>
      <c r="Z1" s="10" t="n"/>
      <c r="AA1" s="10" t="n"/>
      <c r="AB1" s="10" t="n"/>
      <c r="AC1" s="10" t="n"/>
    </row>
    <row r="2" ht="16.5" customFormat="1" customHeight="1" s="98">
      <c r="A2" s="12" t="inlineStr">
        <is>
          <t>бланк создан</t>
        </is>
      </c>
      <c r="B2" s="13" t="inlineStr">
        <is>
          <t>15.11.2023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75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6" t="n"/>
      <c r="W2" s="16" t="n"/>
      <c r="X2" s="16" t="n"/>
      <c r="Y2" s="16" t="n"/>
      <c r="Z2" s="17" t="n"/>
      <c r="AA2" s="17" t="n"/>
      <c r="AB2" s="17" t="n"/>
    </row>
    <row r="3" ht="11.25" customFormat="1" customHeight="1" s="98">
      <c r="A3" s="18" t="n"/>
      <c r="B3" s="19" t="inlineStr">
        <is>
          <t>-поле, обязательное к заполнению</t>
        </is>
      </c>
      <c r="C3" s="20" t="n"/>
      <c r="D3" s="20" t="n"/>
      <c r="E3" s="21" t="n"/>
      <c r="F3" s="22" t="inlineStr">
        <is>
          <t>-поля, не обязательные к заполнению</t>
        </is>
      </c>
      <c r="G3" s="15" t="n"/>
      <c r="H3" s="15" t="n"/>
      <c r="I3" s="15" t="n"/>
      <c r="J3" s="22" t="n"/>
      <c r="K3" s="22" t="n"/>
      <c r="L3" s="15" t="n"/>
      <c r="M3" s="15" t="n"/>
      <c r="N3" s="1" t="n"/>
      <c r="O3" s="1" t="n"/>
      <c r="P3" s="1" t="n"/>
      <c r="Q3" s="1" t="n"/>
      <c r="R3" s="1" t="n"/>
      <c r="S3" s="1" t="n"/>
      <c r="T3" s="1" t="n"/>
      <c r="U3" s="1" t="n"/>
      <c r="V3" s="16" t="n"/>
      <c r="W3" s="16" t="n"/>
      <c r="X3" s="16" t="n"/>
      <c r="Y3" s="16" t="n"/>
      <c r="Z3" s="17" t="n"/>
      <c r="AA3" s="17" t="n"/>
      <c r="AB3" s="17" t="n"/>
    </row>
    <row r="4" ht="9" customFormat="1" customHeight="1" s="98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4" t="n"/>
      <c r="P4" s="24" t="n"/>
      <c r="Q4" s="24" t="n"/>
      <c r="R4" s="24" t="n"/>
      <c r="S4" s="24" t="n"/>
      <c r="T4" s="25" t="n"/>
      <c r="U4" s="26" t="n"/>
      <c r="V4" s="26" t="n"/>
      <c r="W4" s="26" t="n"/>
      <c r="X4" s="26" t="n"/>
      <c r="Y4" s="26" t="n"/>
      <c r="Z4" s="17" t="n"/>
      <c r="AA4" s="17" t="n"/>
      <c r="AB4" s="17" t="n"/>
    </row>
    <row r="5" ht="23.5" customFormat="1" customHeight="1" s="98">
      <c r="A5" s="76" t="inlineStr">
        <is>
          <t xml:space="preserve">Ваш контактный телефон и имя: </t>
        </is>
      </c>
      <c r="B5" s="120" t="n"/>
      <c r="C5" s="121" t="n"/>
      <c r="D5" s="77" t="n"/>
      <c r="E5" s="122" t="n"/>
      <c r="F5" s="78" t="inlineStr">
        <is>
          <t>Комментарий к заказу:</t>
        </is>
      </c>
      <c r="G5" s="121" t="n"/>
      <c r="H5" s="77" t="n"/>
      <c r="I5" s="123" t="n"/>
      <c r="J5" s="123" t="n"/>
      <c r="K5" s="123" t="n"/>
      <c r="L5" s="122" t="n"/>
      <c r="N5" s="27" t="inlineStr">
        <is>
          <t>Дата загрузки</t>
        </is>
      </c>
      <c r="O5" s="124" t="n">
        <v>45249</v>
      </c>
      <c r="P5" s="125" t="n"/>
      <c r="R5" s="80" t="inlineStr">
        <is>
          <t>Способ доставки (доставка/самовывоз)</t>
        </is>
      </c>
      <c r="S5" s="126" t="n"/>
      <c r="T5" s="81" t="inlineStr">
        <is>
          <t>Самовывоз</t>
        </is>
      </c>
      <c r="U5" s="125" t="n"/>
      <c r="Z5" s="17" t="n"/>
      <c r="AA5" s="17" t="n"/>
      <c r="AB5" s="17" t="n"/>
    </row>
    <row r="6" ht="24" customFormat="1" customHeight="1" s="98">
      <c r="A6" s="76" t="inlineStr">
        <is>
          <t>Адрес доставки:</t>
        </is>
      </c>
      <c r="B6" s="120" t="n"/>
      <c r="C6" s="121" t="n"/>
      <c r="D6" s="82" t="inlineStr">
        <is>
          <t>ЛП, ООО, Крым Респ, Симферополь г, Данилова ул, д. 43В, лит В, офис 4</t>
        </is>
      </c>
      <c r="E6" s="127" t="n"/>
      <c r="F6" s="127" t="n"/>
      <c r="G6" s="127" t="n"/>
      <c r="H6" s="127" t="n"/>
      <c r="I6" s="127" t="n"/>
      <c r="J6" s="127" t="n"/>
      <c r="K6" s="127" t="n"/>
      <c r="L6" s="125" t="n"/>
      <c r="N6" s="27" t="inlineStr">
        <is>
          <t>День недели</t>
        </is>
      </c>
      <c r="O6" s="83">
        <f>IF(O5=0," ",CHOOSE(WEEKDAY(O5,2),"Понедельник","Вторник","Среда","Четверг","Пятница","Суббота","Воскресенье"))</f>
        <v/>
      </c>
      <c r="P6" s="128" t="n"/>
      <c r="R6" s="84" t="inlineStr">
        <is>
          <t>Наименование клиента</t>
        </is>
      </c>
      <c r="S6" s="126" t="n"/>
      <c r="T6" s="85" t="inlineStr">
        <is>
          <t>ОБЩЕСТВО С ОГРАНИЧЕННОЙ ОТВЕТСТВЕННОСТЬЮ "ЛОГИСТИЧЕСКИЙ ПАРТНЕР"</t>
        </is>
      </c>
      <c r="U6" s="129" t="n"/>
      <c r="Z6" s="17" t="n"/>
      <c r="AA6" s="17" t="n"/>
      <c r="AB6" s="17" t="n"/>
    </row>
    <row r="7" hidden="1" ht="21.75" customFormat="1" customHeight="1" s="98">
      <c r="A7" s="28" t="n"/>
      <c r="B7" s="28" t="n"/>
      <c r="C7" s="28" t="n"/>
      <c r="D7" s="86">
        <f>IFERROR(VLOOKUP(DeliveryAddress,Table,3,0),1)</f>
        <v/>
      </c>
      <c r="E7" s="130" t="n"/>
      <c r="F7" s="130" t="n"/>
      <c r="G7" s="130" t="n"/>
      <c r="H7" s="130" t="n"/>
      <c r="I7" s="130" t="n"/>
      <c r="J7" s="130" t="n"/>
      <c r="K7" s="130" t="n"/>
      <c r="L7" s="131" t="n"/>
      <c r="N7" s="27" t="n"/>
      <c r="O7" s="29" t="n"/>
      <c r="P7" s="29" t="n"/>
      <c r="R7" s="1" t="n"/>
      <c r="S7" s="126" t="n"/>
      <c r="T7" s="132" t="n"/>
      <c r="U7" s="133" t="n"/>
      <c r="Z7" s="17" t="n"/>
      <c r="AA7" s="17" t="n"/>
      <c r="AB7" s="17" t="n"/>
    </row>
    <row r="8" ht="25.5" customFormat="1" customHeight="1" s="98">
      <c r="A8" s="87" t="inlineStr">
        <is>
          <t>Адрес сдачи груза:</t>
        </is>
      </c>
      <c r="B8" s="134" t="n"/>
      <c r="C8" s="135" t="n"/>
      <c r="D8" s="88" t="n"/>
      <c r="E8" s="136" t="n"/>
      <c r="F8" s="136" t="n"/>
      <c r="G8" s="136" t="n"/>
      <c r="H8" s="136" t="n"/>
      <c r="I8" s="136" t="n"/>
      <c r="J8" s="136" t="n"/>
      <c r="K8" s="136" t="n"/>
      <c r="L8" s="137" t="n"/>
      <c r="N8" s="27" t="inlineStr">
        <is>
          <t>Время загрузки</t>
        </is>
      </c>
      <c r="O8" s="138" t="n">
        <v>0.3333333333333333</v>
      </c>
      <c r="P8" s="125" t="n"/>
      <c r="R8" s="1" t="n"/>
      <c r="S8" s="126" t="n"/>
      <c r="T8" s="132" t="n"/>
      <c r="U8" s="133" t="n"/>
      <c r="Z8" s="17" t="n"/>
      <c r="AA8" s="17" t="n"/>
      <c r="AB8" s="17" t="n"/>
    </row>
    <row r="9" ht="40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" t="n"/>
      <c r="C9" s="1" t="n"/>
      <c r="D9" s="91" t="n"/>
      <c r="E9" s="5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5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" t="n"/>
      <c r="L9" s="5" t="n"/>
      <c r="N9" s="30" t="inlineStr">
        <is>
          <t>Дата доставки</t>
        </is>
      </c>
      <c r="O9" s="124" t="n"/>
      <c r="P9" s="125" t="n"/>
      <c r="R9" s="1" t="n"/>
      <c r="S9" s="126" t="n"/>
      <c r="T9" s="139" t="n"/>
      <c r="U9" s="140" t="n"/>
      <c r="V9" s="31" t="n"/>
      <c r="W9" s="31" t="n"/>
      <c r="X9" s="31" t="n"/>
      <c r="Y9" s="31" t="n"/>
      <c r="Z9" s="17" t="n"/>
      <c r="AA9" s="17" t="n"/>
      <c r="AB9" s="17" t="n"/>
    </row>
    <row r="10" ht="26.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91" t="n"/>
      <c r="E10" s="5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93">
        <f>IFERROR(VLOOKUP($D$10,Proxy,2,0),"")</f>
        <v/>
      </c>
      <c r="I10" s="1" t="n"/>
      <c r="J10" s="1" t="n"/>
      <c r="K10" s="1" t="n"/>
      <c r="L10" s="1" t="n"/>
      <c r="N10" s="30" t="inlineStr">
        <is>
          <t>Время доставки</t>
        </is>
      </c>
      <c r="O10" s="138" t="n"/>
      <c r="P10" s="125" t="n"/>
      <c r="S10" s="27" t="inlineStr">
        <is>
          <t>КОД Аксапты Клиента</t>
        </is>
      </c>
      <c r="T10" s="94" t="inlineStr">
        <is>
          <t>590704</t>
        </is>
      </c>
      <c r="U10" s="129" t="n"/>
      <c r="V10" s="32" t="n"/>
      <c r="W10" s="32" t="n"/>
      <c r="X10" s="32" t="n"/>
      <c r="Y10" s="32" t="n"/>
      <c r="Z10" s="17" t="n"/>
      <c r="AA10" s="17" t="n"/>
      <c r="AB10" s="17" t="n"/>
    </row>
    <row r="11" ht="16" customFormat="1" customHeight="1" s="98">
      <c r="A11" s="33" t="inlineStr">
        <is>
          <t>Справочная информация: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N11" s="30" t="inlineStr">
        <is>
          <t>Время доставки 2 машины</t>
        </is>
      </c>
      <c r="O11" s="138" t="n"/>
      <c r="P11" s="125" t="n"/>
      <c r="S11" s="27" t="inlineStr">
        <is>
          <t>Тип заказа</t>
        </is>
      </c>
      <c r="T11" s="141" t="inlineStr">
        <is>
          <t>Основной заказ</t>
        </is>
      </c>
      <c r="U11" s="142" t="n"/>
      <c r="V11" s="143" t="n"/>
      <c r="W11" s="143" t="n"/>
      <c r="X11" s="143" t="n"/>
      <c r="Y11" s="143" t="n"/>
      <c r="Z11" s="17" t="n"/>
      <c r="AA11" s="17" t="n"/>
      <c r="AB11" s="17" t="n"/>
    </row>
    <row r="12" ht="18.65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120" t="n"/>
      <c r="J12" s="120" t="n"/>
      <c r="K12" s="120" t="n"/>
      <c r="L12" s="121" t="n"/>
      <c r="N12" s="27" t="inlineStr">
        <is>
          <t>Время доставки 3 машины</t>
        </is>
      </c>
      <c r="O12" s="144" t="n"/>
      <c r="P12" s="131" t="n"/>
      <c r="Q12" s="36" t="n"/>
      <c r="S12" s="27" t="n"/>
      <c r="T12" s="98" t="n"/>
      <c r="U12" s="1" t="n"/>
      <c r="Z12" s="17" t="n"/>
      <c r="AA12" s="17" t="n"/>
      <c r="AB12" s="17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20" t="n"/>
      <c r="K13" s="120" t="n"/>
      <c r="L13" s="121" t="n"/>
      <c r="M13" s="30" t="n"/>
      <c r="N13" s="30" t="inlineStr">
        <is>
          <t>Время доставки 4 машины</t>
        </is>
      </c>
      <c r="O13" s="141" t="n"/>
      <c r="P13" s="142" t="n"/>
      <c r="Q13" s="36" t="n"/>
      <c r="V13" s="38" t="n"/>
      <c r="W13" s="38" t="n"/>
      <c r="X13" s="38" t="n"/>
      <c r="Y13" s="38" t="n"/>
      <c r="Z13" s="17" t="n"/>
      <c r="AA13" s="17" t="n"/>
      <c r="AB13" s="17" t="n"/>
    </row>
    <row r="14" ht="18.65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20" t="n"/>
      <c r="K14" s="120" t="n"/>
      <c r="L14" s="121" t="n"/>
      <c r="V14" s="39" t="n"/>
      <c r="W14" s="39" t="n"/>
      <c r="X14" s="39" t="n"/>
      <c r="Y14" s="39" t="n"/>
      <c r="Z14" s="17" t="n"/>
      <c r="AA14" s="17" t="n"/>
      <c r="AB14" s="17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120" t="n"/>
      <c r="K15" s="120" t="n"/>
      <c r="L15" s="121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17" t="n"/>
      <c r="AA15" s="17" t="n"/>
      <c r="AB15" s="17" t="n"/>
    </row>
    <row r="16" ht="18.75" customHeight="1">
      <c r="B16" s="40" t="n"/>
      <c r="C16" s="40" t="n"/>
      <c r="D16" s="41" t="n"/>
      <c r="E16" s="41" t="n"/>
      <c r="F16" s="41" t="n"/>
      <c r="G16" s="41" t="n"/>
      <c r="H16" s="42" t="n"/>
      <c r="I16" s="42" t="n"/>
      <c r="J16" s="42" t="n"/>
      <c r="K16" s="42" t="n"/>
      <c r="L16" s="42" t="n"/>
      <c r="M16" s="42" t="n"/>
      <c r="N16" s="145" t="n"/>
      <c r="O16" s="145" t="n"/>
      <c r="P16" s="145" t="n"/>
      <c r="Q16" s="145" t="n"/>
      <c r="R16" s="145" t="n"/>
      <c r="S16" s="42" t="n"/>
      <c r="T16" s="42" t="n"/>
      <c r="U16" s="43" t="n"/>
      <c r="V16" s="146" t="n"/>
      <c r="W16" s="146" t="n"/>
      <c r="X16" s="146" t="n"/>
      <c r="Y16" s="146" t="n"/>
      <c r="Z16" s="146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7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8" t="n"/>
      <c r="P17" s="148" t="n"/>
      <c r="Q17" s="148" t="n"/>
      <c r="R17" s="147" t="n"/>
      <c r="S17" s="111" t="inlineStr">
        <is>
          <t>Доступно к отгрузке</t>
        </is>
      </c>
      <c r="T17" s="121" t="n"/>
      <c r="U17" s="101" t="inlineStr">
        <is>
          <t>Ед. изм.</t>
        </is>
      </c>
      <c r="V17" s="101" t="inlineStr">
        <is>
          <t>Заказ</t>
        </is>
      </c>
      <c r="W17" s="112" t="inlineStr">
        <is>
          <t>Заказ с округлением до короба</t>
        </is>
      </c>
      <c r="X17" s="101" t="inlineStr">
        <is>
          <t>Объём заказа, м3</t>
        </is>
      </c>
      <c r="Y17" s="113" t="inlineStr">
        <is>
          <t>Примечание по продуктку</t>
        </is>
      </c>
      <c r="Z17" s="113" t="inlineStr">
        <is>
          <t>Признак "НОВИНКА"</t>
        </is>
      </c>
      <c r="AA17" s="113" t="inlineStr">
        <is>
          <t>Для формул</t>
        </is>
      </c>
      <c r="AB17" s="149" t="n"/>
      <c r="AC17" s="150" t="n"/>
      <c r="AD17" s="114" t="n"/>
      <c r="BA17" s="103" t="inlineStr">
        <is>
          <t>Вид продукции</t>
        </is>
      </c>
    </row>
    <row r="18" ht="14.25" customHeight="1">
      <c r="A18" s="151" t="n"/>
      <c r="B18" s="151" t="n"/>
      <c r="C18" s="151" t="n"/>
      <c r="D18" s="152" t="n"/>
      <c r="E18" s="153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2" t="n"/>
      <c r="O18" s="154" t="n"/>
      <c r="P18" s="154" t="n"/>
      <c r="Q18" s="154" t="n"/>
      <c r="R18" s="153" t="n"/>
      <c r="S18" s="111" t="inlineStr">
        <is>
          <t>начиная с</t>
        </is>
      </c>
      <c r="T18" s="111" t="inlineStr">
        <is>
          <t>до</t>
        </is>
      </c>
      <c r="U18" s="151" t="n"/>
      <c r="V18" s="151" t="n"/>
      <c r="W18" s="155" t="n"/>
      <c r="X18" s="151" t="n"/>
      <c r="Y18" s="156" t="n"/>
      <c r="Z18" s="156" t="n"/>
      <c r="AA18" s="157" t="n"/>
      <c r="AB18" s="158" t="n"/>
      <c r="AC18" s="159" t="n"/>
      <c r="AD18" s="160" t="n"/>
      <c r="BA18" s="1" t="n"/>
    </row>
    <row r="19" ht="27.75" customHeight="1">
      <c r="A19" s="104" t="inlineStr">
        <is>
          <t>Ядрена копоть</t>
        </is>
      </c>
      <c r="B19" s="161" t="n"/>
      <c r="C19" s="161" t="n"/>
      <c r="D19" s="161" t="n"/>
      <c r="E19" s="161" t="n"/>
      <c r="F19" s="161" t="n"/>
      <c r="G19" s="161" t="n"/>
      <c r="H19" s="161" t="n"/>
      <c r="I19" s="161" t="n"/>
      <c r="J19" s="161" t="n"/>
      <c r="K19" s="161" t="n"/>
      <c r="L19" s="161" t="n"/>
      <c r="M19" s="161" t="n"/>
      <c r="N19" s="161" t="n"/>
      <c r="O19" s="161" t="n"/>
      <c r="P19" s="161" t="n"/>
      <c r="Q19" s="161" t="n"/>
      <c r="R19" s="161" t="n"/>
      <c r="S19" s="161" t="n"/>
      <c r="T19" s="161" t="n"/>
      <c r="U19" s="161" t="n"/>
      <c r="V19" s="161" t="n"/>
      <c r="W19" s="161" t="n"/>
      <c r="X19" s="161" t="n"/>
      <c r="Y19" s="46" t="n"/>
      <c r="Z19" s="46" t="n"/>
    </row>
    <row r="20" ht="16.5" customHeight="1">
      <c r="A20" s="1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05" t="n"/>
      <c r="Z20" s="105" t="n"/>
    </row>
    <row r="21" ht="14.25" customHeight="1">
      <c r="A21" s="10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06" t="n"/>
      <c r="Z21" s="106" t="n"/>
    </row>
    <row r="22" ht="27" customHeight="1">
      <c r="A22" s="49" t="inlineStr">
        <is>
          <t>SU002447</t>
        </is>
      </c>
      <c r="B22" s="49" t="inlineStr">
        <is>
          <t>P002730</t>
        </is>
      </c>
      <c r="C22" s="50" t="n">
        <v>4301031106</v>
      </c>
      <c r="D22" s="107" t="n">
        <v>4607091389258</v>
      </c>
      <c r="E22" s="128" t="n"/>
      <c r="F22" s="162" t="n">
        <v>0.3</v>
      </c>
      <c r="G22" s="52" t="n">
        <v>6</v>
      </c>
      <c r="H22" s="162" t="n">
        <v>1.8</v>
      </c>
      <c r="I22" s="162" t="n">
        <v>2</v>
      </c>
      <c r="J22" s="52" t="n">
        <v>156</v>
      </c>
      <c r="K22" s="52" t="inlineStr">
        <is>
          <t>12</t>
        </is>
      </c>
      <c r="L22" s="53" t="inlineStr">
        <is>
          <t>СК2</t>
        </is>
      </c>
      <c r="M22" s="52" t="n">
        <v>35</v>
      </c>
      <c r="N22" s="10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63" t="n"/>
      <c r="P22" s="163" t="n"/>
      <c r="Q22" s="163" t="n"/>
      <c r="R22" s="128" t="n"/>
      <c r="S22" s="54" t="n"/>
      <c r="T22" s="54" t="n"/>
      <c r="U22" s="55" t="inlineStr">
        <is>
          <t>кг</t>
        </is>
      </c>
      <c r="V22" s="164" t="n">
        <v>0</v>
      </c>
      <c r="W22" s="165">
        <f>IFERROR(IF(V22="",0,CEILING((V22/$H22),1)*$H22),"")</f>
        <v/>
      </c>
      <c r="X22" s="58">
        <f>IFERROR(IF(W22=0,"",ROUNDUP(W22/H22,0)*0.00753),"")</f>
        <v/>
      </c>
      <c r="Y22" s="59" t="n"/>
      <c r="Z22" s="60" t="n"/>
      <c r="AD22" s="61" t="n"/>
      <c r="BA22" s="62" t="inlineStr">
        <is>
          <t>КИ</t>
        </is>
      </c>
    </row>
    <row r="23" ht="12.5" customHeight="1">
      <c r="A23" s="10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66" t="n"/>
      <c r="N23" s="110" t="inlineStr">
        <is>
          <t>Итого</t>
        </is>
      </c>
      <c r="O23" s="134" t="n"/>
      <c r="P23" s="134" t="n"/>
      <c r="Q23" s="134" t="n"/>
      <c r="R23" s="134" t="n"/>
      <c r="S23" s="134" t="n"/>
      <c r="T23" s="135" t="n"/>
      <c r="U23" s="63" t="inlineStr">
        <is>
          <t>кор</t>
        </is>
      </c>
      <c r="V23" s="167">
        <f>IFERROR(V22/H22,"0")</f>
        <v/>
      </c>
      <c r="W23" s="167">
        <f>IFERROR(W22/H22,"0")</f>
        <v/>
      </c>
      <c r="X23" s="167">
        <f>IFERROR(IF(X22="",0,X22),"0")</f>
        <v/>
      </c>
      <c r="Y23" s="168" t="n"/>
      <c r="Z23" s="168" t="n"/>
      <c r="AA23" s="71" t="n"/>
    </row>
    <row r="24" ht="12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66" t="n"/>
      <c r="N24" s="110" t="inlineStr">
        <is>
          <t>Итого</t>
        </is>
      </c>
      <c r="O24" s="134" t="n"/>
      <c r="P24" s="134" t="n"/>
      <c r="Q24" s="134" t="n"/>
      <c r="R24" s="134" t="n"/>
      <c r="S24" s="134" t="n"/>
      <c r="T24" s="135" t="n"/>
      <c r="U24" s="63" t="inlineStr">
        <is>
          <t>кг</t>
        </is>
      </c>
      <c r="V24" s="167">
        <f>IFERROR(SUM(V22:V22),"0")</f>
        <v/>
      </c>
      <c r="W24" s="167">
        <f>IFERROR(SUM(W22:W22),"0")</f>
        <v/>
      </c>
      <c r="X24" s="63" t="n"/>
      <c r="Y24" s="168" t="n"/>
      <c r="Z24" s="168" t="n"/>
      <c r="AA24" s="71" t="n"/>
    </row>
    <row r="25" ht="14.25" customHeight="1">
      <c r="A25" s="10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06" t="n"/>
      <c r="Z25" s="106" t="n"/>
      <c r="AA25" s="71" t="n"/>
    </row>
    <row r="26" ht="27" customHeight="1">
      <c r="A26" s="49" t="inlineStr">
        <is>
          <t>SU002155</t>
        </is>
      </c>
      <c r="B26" s="49" t="inlineStr">
        <is>
          <t>P002325</t>
        </is>
      </c>
      <c r="C26" s="50" t="n">
        <v>4301051176</v>
      </c>
      <c r="D26" s="107" t="n">
        <v>4607091383881</v>
      </c>
      <c r="E26" s="128" t="n"/>
      <c r="F26" s="162" t="n">
        <v>0.33</v>
      </c>
      <c r="G26" s="52" t="n">
        <v>6</v>
      </c>
      <c r="H26" s="162" t="n">
        <v>1.98</v>
      </c>
      <c r="I26" s="162" t="n">
        <v>2.246</v>
      </c>
      <c r="J26" s="52" t="n">
        <v>156</v>
      </c>
      <c r="K26" s="52" t="inlineStr">
        <is>
          <t>12</t>
        </is>
      </c>
      <c r="L26" s="53" t="inlineStr">
        <is>
          <t>СК2</t>
        </is>
      </c>
      <c r="M26" s="52" t="n">
        <v>35</v>
      </c>
      <c r="N26" s="1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63" t="n"/>
      <c r="P26" s="163" t="n"/>
      <c r="Q26" s="163" t="n"/>
      <c r="R26" s="128" t="n"/>
      <c r="S26" s="54" t="n"/>
      <c r="T26" s="54" t="n"/>
      <c r="U26" s="55" t="inlineStr">
        <is>
          <t>кг</t>
        </is>
      </c>
      <c r="V26" s="164" t="n">
        <v>0</v>
      </c>
      <c r="W26" s="165">
        <f>IFERROR(IF(V26="",0,CEILING((V26/$H26),1)*$H26),"")</f>
        <v/>
      </c>
      <c r="X26" s="58">
        <f>IFERROR(IF(W26=0,"",ROUNDUP(W26/H26,0)*0.00753),"")</f>
        <v/>
      </c>
      <c r="Y26" s="59" t="n"/>
      <c r="Z26" s="60" t="n"/>
      <c r="AA26" s="71" t="n"/>
      <c r="AD26" s="61" t="n"/>
      <c r="BA26" s="62" t="inlineStr">
        <is>
          <t>КИ</t>
        </is>
      </c>
    </row>
    <row r="27" ht="27" customHeight="1">
      <c r="A27" s="49" t="inlineStr">
        <is>
          <t>SU000341</t>
        </is>
      </c>
      <c r="B27" s="49" t="inlineStr">
        <is>
          <t>P002465</t>
        </is>
      </c>
      <c r="C27" s="50" t="n">
        <v>4301051172</v>
      </c>
      <c r="D27" s="107" t="n">
        <v>4607091388237</v>
      </c>
      <c r="E27" s="128" t="n"/>
      <c r="F27" s="162" t="n">
        <v>0.42</v>
      </c>
      <c r="G27" s="52" t="n">
        <v>6</v>
      </c>
      <c r="H27" s="162" t="n">
        <v>2.52</v>
      </c>
      <c r="I27" s="162" t="n">
        <v>2.786</v>
      </c>
      <c r="J27" s="52" t="n">
        <v>156</v>
      </c>
      <c r="K27" s="52" t="inlineStr">
        <is>
          <t>12</t>
        </is>
      </c>
      <c r="L27" s="53" t="inlineStr">
        <is>
          <t>СК2</t>
        </is>
      </c>
      <c r="M27" s="52" t="n">
        <v>35</v>
      </c>
      <c r="N27" s="10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63" t="n"/>
      <c r="P27" s="163" t="n"/>
      <c r="Q27" s="163" t="n"/>
      <c r="R27" s="128" t="n"/>
      <c r="S27" s="54" t="n"/>
      <c r="T27" s="54" t="n"/>
      <c r="U27" s="55" t="inlineStr">
        <is>
          <t>кг</t>
        </is>
      </c>
      <c r="V27" s="164" t="n">
        <v>0</v>
      </c>
      <c r="W27" s="165">
        <f>IFERROR(IF(V27="",0,CEILING((V27/$H27),1)*$H27),"")</f>
        <v/>
      </c>
      <c r="X27" s="58">
        <f>IFERROR(IF(W27=0,"",ROUNDUP(W27/H27,0)*0.00753),"")</f>
        <v/>
      </c>
      <c r="Y27" s="59" t="n"/>
      <c r="Z27" s="60" t="n"/>
      <c r="AA27" s="71" t="n"/>
      <c r="AD27" s="61" t="n"/>
      <c r="BA27" s="62" t="inlineStr">
        <is>
          <t>КИ</t>
        </is>
      </c>
    </row>
    <row r="28" ht="27" customHeight="1">
      <c r="A28" s="49" t="inlineStr">
        <is>
          <t>SU002230</t>
        </is>
      </c>
      <c r="B28" s="49" t="inlineStr">
        <is>
          <t>P002425</t>
        </is>
      </c>
      <c r="C28" s="50" t="n">
        <v>4301051180</v>
      </c>
      <c r="D28" s="107" t="n">
        <v>4607091383935</v>
      </c>
      <c r="E28" s="128" t="n"/>
      <c r="F28" s="162" t="n">
        <v>0.33</v>
      </c>
      <c r="G28" s="52" t="n">
        <v>6</v>
      </c>
      <c r="H28" s="162" t="n">
        <v>1.98</v>
      </c>
      <c r="I28" s="162" t="n">
        <v>2.246</v>
      </c>
      <c r="J28" s="52" t="n">
        <v>156</v>
      </c>
      <c r="K28" s="52" t="inlineStr">
        <is>
          <t>12</t>
        </is>
      </c>
      <c r="L28" s="53" t="inlineStr">
        <is>
          <t>СК2</t>
        </is>
      </c>
      <c r="M28" s="52" t="n">
        <v>30</v>
      </c>
      <c r="N28" s="1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63" t="n"/>
      <c r="P28" s="163" t="n"/>
      <c r="Q28" s="163" t="n"/>
      <c r="R28" s="128" t="n"/>
      <c r="S28" s="54" t="n"/>
      <c r="T28" s="54" t="n"/>
      <c r="U28" s="55" t="inlineStr">
        <is>
          <t>кг</t>
        </is>
      </c>
      <c r="V28" s="164" t="n">
        <v>0</v>
      </c>
      <c r="W28" s="165">
        <f>IFERROR(IF(V28="",0,CEILING((V28/$H28),1)*$H28),"")</f>
        <v/>
      </c>
      <c r="X28" s="58">
        <f>IFERROR(IF(W28=0,"",ROUNDUP(W28/H28,0)*0.00753),"")</f>
        <v/>
      </c>
      <c r="Y28" s="59" t="n"/>
      <c r="Z28" s="60" t="n"/>
      <c r="AA28" s="71" t="n"/>
      <c r="AD28" s="61" t="n"/>
      <c r="BA28" s="62" t="inlineStr">
        <is>
          <t>КИ</t>
        </is>
      </c>
    </row>
    <row r="29" ht="27" customHeight="1">
      <c r="A29" s="49" t="inlineStr">
        <is>
          <t>SU002893</t>
        </is>
      </c>
      <c r="B29" s="49" t="inlineStr">
        <is>
          <t>P003317</t>
        </is>
      </c>
      <c r="C29" s="50" t="n">
        <v>4301051426</v>
      </c>
      <c r="D29" s="107" t="n">
        <v>4680115881853</v>
      </c>
      <c r="E29" s="128" t="n"/>
      <c r="F29" s="162" t="n">
        <v>0.33</v>
      </c>
      <c r="G29" s="52" t="n">
        <v>6</v>
      </c>
      <c r="H29" s="162" t="n">
        <v>1.98</v>
      </c>
      <c r="I29" s="162" t="n">
        <v>2.246</v>
      </c>
      <c r="J29" s="52" t="n">
        <v>156</v>
      </c>
      <c r="K29" s="52" t="inlineStr">
        <is>
          <t>12</t>
        </is>
      </c>
      <c r="L29" s="53" t="inlineStr">
        <is>
          <t>СК2</t>
        </is>
      </c>
      <c r="M29" s="52" t="n">
        <v>30</v>
      </c>
      <c r="N29" s="10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63" t="n"/>
      <c r="P29" s="163" t="n"/>
      <c r="Q29" s="163" t="n"/>
      <c r="R29" s="128" t="n"/>
      <c r="S29" s="54" t="n"/>
      <c r="T29" s="54" t="n"/>
      <c r="U29" s="55" t="inlineStr">
        <is>
          <t>кг</t>
        </is>
      </c>
      <c r="V29" s="164" t="n">
        <v>0</v>
      </c>
      <c r="W29" s="165">
        <f>IFERROR(IF(V29="",0,CEILING((V29/$H29),1)*$H29),"")</f>
        <v/>
      </c>
      <c r="X29" s="58">
        <f>IFERROR(IF(W29=0,"",ROUNDUP(W29/H29,0)*0.00753),"")</f>
        <v/>
      </c>
      <c r="Y29" s="59" t="n"/>
      <c r="Z29" s="60" t="n"/>
      <c r="AA29" s="71" t="n"/>
      <c r="AD29" s="61" t="n"/>
      <c r="BA29" s="62" t="inlineStr">
        <is>
          <t>КИ</t>
        </is>
      </c>
    </row>
    <row r="30" ht="27" customHeight="1">
      <c r="A30" s="49" t="inlineStr">
        <is>
          <t>SU002154</t>
        </is>
      </c>
      <c r="B30" s="49" t="inlineStr">
        <is>
          <t>P002326</t>
        </is>
      </c>
      <c r="C30" s="50" t="n">
        <v>4301051178</v>
      </c>
      <c r="D30" s="107" t="n">
        <v>4607091383911</v>
      </c>
      <c r="E30" s="128" t="n"/>
      <c r="F30" s="162" t="n">
        <v>0.33</v>
      </c>
      <c r="G30" s="52" t="n">
        <v>6</v>
      </c>
      <c r="H30" s="162" t="n">
        <v>1.98</v>
      </c>
      <c r="I30" s="162" t="n">
        <v>2.246</v>
      </c>
      <c r="J30" s="52" t="n">
        <v>156</v>
      </c>
      <c r="K30" s="52" t="inlineStr">
        <is>
          <t>12</t>
        </is>
      </c>
      <c r="L30" s="53" t="inlineStr">
        <is>
          <t>СК2</t>
        </is>
      </c>
      <c r="M30" s="52" t="n">
        <v>35</v>
      </c>
      <c r="N30" s="10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63" t="n"/>
      <c r="P30" s="163" t="n"/>
      <c r="Q30" s="163" t="n"/>
      <c r="R30" s="128" t="n"/>
      <c r="S30" s="54" t="n"/>
      <c r="T30" s="54" t="n"/>
      <c r="U30" s="55" t="inlineStr">
        <is>
          <t>кг</t>
        </is>
      </c>
      <c r="V30" s="164" t="n">
        <v>0</v>
      </c>
      <c r="W30" s="165">
        <f>IFERROR(IF(V30="",0,CEILING((V30/$H30),1)*$H30),"")</f>
        <v/>
      </c>
      <c r="X30" s="58">
        <f>IFERROR(IF(W30=0,"",ROUNDUP(W30/H30,0)*0.00753),"")</f>
        <v/>
      </c>
      <c r="Y30" s="59" t="n"/>
      <c r="Z30" s="60" t="n"/>
      <c r="AA30" s="71" t="n"/>
      <c r="AD30" s="61" t="n"/>
      <c r="BA30" s="62" t="inlineStr">
        <is>
          <t>КИ</t>
        </is>
      </c>
    </row>
    <row r="31" ht="27" customHeight="1">
      <c r="A31" s="49" t="inlineStr">
        <is>
          <t>SU000152</t>
        </is>
      </c>
      <c r="B31" s="49" t="inlineStr">
        <is>
          <t>P002466</t>
        </is>
      </c>
      <c r="C31" s="50" t="n">
        <v>4301051174</v>
      </c>
      <c r="D31" s="107" t="n">
        <v>4607091388244</v>
      </c>
      <c r="E31" s="128" t="n"/>
      <c r="F31" s="162" t="n">
        <v>0.42</v>
      </c>
      <c r="G31" s="52" t="n">
        <v>6</v>
      </c>
      <c r="H31" s="162" t="n">
        <v>2.52</v>
      </c>
      <c r="I31" s="162" t="n">
        <v>2.786</v>
      </c>
      <c r="J31" s="52" t="n">
        <v>156</v>
      </c>
      <c r="K31" s="52" t="inlineStr">
        <is>
          <t>12</t>
        </is>
      </c>
      <c r="L31" s="53" t="inlineStr">
        <is>
          <t>СК2</t>
        </is>
      </c>
      <c r="M31" s="52" t="n">
        <v>35</v>
      </c>
      <c r="N31" s="1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63" t="n"/>
      <c r="P31" s="163" t="n"/>
      <c r="Q31" s="163" t="n"/>
      <c r="R31" s="128" t="n"/>
      <c r="S31" s="54" t="n"/>
      <c r="T31" s="54" t="n"/>
      <c r="U31" s="55" t="inlineStr">
        <is>
          <t>кг</t>
        </is>
      </c>
      <c r="V31" s="164" t="n">
        <v>22.68</v>
      </c>
      <c r="W31" s="165">
        <f>IFERROR(IF(V31="",0,CEILING((V31/$H31),1)*$H31),"")</f>
        <v/>
      </c>
      <c r="X31" s="58">
        <f>IFERROR(IF(W31=0,"",ROUNDUP(W31/H31,0)*0.00753),"")</f>
        <v/>
      </c>
      <c r="Y31" s="59" t="n"/>
      <c r="Z31" s="60" t="n"/>
      <c r="AA31" s="71" t="n"/>
      <c r="AD31" s="61" t="n"/>
      <c r="BA31" s="62" t="inlineStr">
        <is>
          <t>КИ</t>
        </is>
      </c>
    </row>
    <row r="32" ht="12.5" customHeight="1">
      <c r="A32" s="10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66" t="n"/>
      <c r="N32" s="110" t="inlineStr">
        <is>
          <t>Итого</t>
        </is>
      </c>
      <c r="O32" s="134" t="n"/>
      <c r="P32" s="134" t="n"/>
      <c r="Q32" s="134" t="n"/>
      <c r="R32" s="134" t="n"/>
      <c r="S32" s="134" t="n"/>
      <c r="T32" s="135" t="n"/>
      <c r="U32" s="63" t="inlineStr">
        <is>
          <t>кор</t>
        </is>
      </c>
      <c r="V32" s="167">
        <f>IFERROR(V26/H26,"0")+IFERROR(V27/H27,"0")+IFERROR(V28/H28,"0")+IFERROR(V29/H29,"0")+IFERROR(V30/H30,"0")+IFERROR(V31/H31,"0")</f>
        <v/>
      </c>
      <c r="W32" s="167">
        <f>IFERROR(W26/H26,"0")+IFERROR(W27/H27,"0")+IFERROR(W28/H28,"0")+IFERROR(W29/H29,"0")+IFERROR(W30/H30,"0")+IFERROR(W31/H31,"0")</f>
        <v/>
      </c>
      <c r="X32" s="167">
        <f>IFERROR(IF(X26="",0,X26),"0")+IFERROR(IF(X27="",0,X27),"0")+IFERROR(IF(X28="",0,X28),"0")+IFERROR(IF(X29="",0,X29),"0")+IFERROR(IF(X30="",0,X30),"0")+IFERROR(IF(X31="",0,X31),"0")</f>
        <v/>
      </c>
      <c r="Y32" s="168" t="n"/>
      <c r="Z32" s="168" t="n"/>
      <c r="AA32" s="71" t="n"/>
    </row>
    <row r="33" ht="12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66" t="n"/>
      <c r="N33" s="110" t="inlineStr">
        <is>
          <t>Итого</t>
        </is>
      </c>
      <c r="O33" s="134" t="n"/>
      <c r="P33" s="134" t="n"/>
      <c r="Q33" s="134" t="n"/>
      <c r="R33" s="134" t="n"/>
      <c r="S33" s="134" t="n"/>
      <c r="T33" s="135" t="n"/>
      <c r="U33" s="63" t="inlineStr">
        <is>
          <t>кг</t>
        </is>
      </c>
      <c r="V33" s="167">
        <f>IFERROR(SUM(V26:V31),"0")</f>
        <v/>
      </c>
      <c r="W33" s="167">
        <f>IFERROR(SUM(W26:W31),"0")</f>
        <v/>
      </c>
      <c r="X33" s="63" t="n"/>
      <c r="Y33" s="168" t="n"/>
      <c r="Z33" s="168" t="n"/>
      <c r="AA33" s="71" t="n"/>
    </row>
    <row r="34" ht="14.25" customHeight="1">
      <c r="A34" s="10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06" t="n"/>
      <c r="Z34" s="106" t="n"/>
      <c r="AA34" s="71" t="n"/>
    </row>
    <row r="35" ht="27" customHeight="1">
      <c r="A35" s="49" t="inlineStr">
        <is>
          <t>SU002050</t>
        </is>
      </c>
      <c r="B35" s="49" t="inlineStr">
        <is>
          <t>P002188</t>
        </is>
      </c>
      <c r="C35" s="50" t="n">
        <v>4301032013</v>
      </c>
      <c r="D35" s="107" t="n">
        <v>4607091388503</v>
      </c>
      <c r="E35" s="128" t="n"/>
      <c r="F35" s="162" t="n">
        <v>0.05</v>
      </c>
      <c r="G35" s="52" t="n">
        <v>12</v>
      </c>
      <c r="H35" s="162" t="n">
        <v>0.6</v>
      </c>
      <c r="I35" s="162" t="n">
        <v>0.842</v>
      </c>
      <c r="J35" s="52" t="n">
        <v>156</v>
      </c>
      <c r="K35" s="52" t="inlineStr">
        <is>
          <t>12</t>
        </is>
      </c>
      <c r="L35" s="53" t="inlineStr">
        <is>
          <t>АК</t>
        </is>
      </c>
      <c r="M35" s="52" t="n">
        <v>120</v>
      </c>
      <c r="N35" s="10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63" t="n"/>
      <c r="P35" s="163" t="n"/>
      <c r="Q35" s="163" t="n"/>
      <c r="R35" s="128" t="n"/>
      <c r="S35" s="54" t="n"/>
      <c r="T35" s="54" t="n"/>
      <c r="U35" s="55" t="inlineStr">
        <is>
          <t>кг</t>
        </is>
      </c>
      <c r="V35" s="164" t="n">
        <v>0</v>
      </c>
      <c r="W35" s="165">
        <f>IFERROR(IF(V35="",0,CEILING((V35/$H35),1)*$H35),"")</f>
        <v/>
      </c>
      <c r="X35" s="58">
        <f>IFERROR(IF(W35=0,"",ROUNDUP(W35/H35,0)*0.00753),"")</f>
        <v/>
      </c>
      <c r="Y35" s="59" t="n"/>
      <c r="Z35" s="60" t="n"/>
      <c r="AA35" s="71" t="n"/>
      <c r="AD35" s="61" t="n"/>
      <c r="BA35" s="62" t="inlineStr">
        <is>
          <t>СНК</t>
        </is>
      </c>
    </row>
    <row r="36" ht="12.5" customHeight="1">
      <c r="A36" s="109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66" t="n"/>
      <c r="N36" s="110" t="inlineStr">
        <is>
          <t>Итого</t>
        </is>
      </c>
      <c r="O36" s="134" t="n"/>
      <c r="P36" s="134" t="n"/>
      <c r="Q36" s="134" t="n"/>
      <c r="R36" s="134" t="n"/>
      <c r="S36" s="134" t="n"/>
      <c r="T36" s="135" t="n"/>
      <c r="U36" s="63" t="inlineStr">
        <is>
          <t>кор</t>
        </is>
      </c>
      <c r="V36" s="167">
        <f>IFERROR(V35/H35,"0")</f>
        <v/>
      </c>
      <c r="W36" s="167">
        <f>IFERROR(W35/H35,"0")</f>
        <v/>
      </c>
      <c r="X36" s="167">
        <f>IFERROR(IF(X35="",0,X35),"0")</f>
        <v/>
      </c>
      <c r="Y36" s="168" t="n"/>
      <c r="Z36" s="168" t="n"/>
      <c r="AA36" s="71" t="n"/>
    </row>
    <row r="37" ht="12.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66" t="n"/>
      <c r="N37" s="110" t="inlineStr">
        <is>
          <t>Итого</t>
        </is>
      </c>
      <c r="O37" s="134" t="n"/>
      <c r="P37" s="134" t="n"/>
      <c r="Q37" s="134" t="n"/>
      <c r="R37" s="134" t="n"/>
      <c r="S37" s="134" t="n"/>
      <c r="T37" s="135" t="n"/>
      <c r="U37" s="63" t="inlineStr">
        <is>
          <t>кг</t>
        </is>
      </c>
      <c r="V37" s="167">
        <f>IFERROR(SUM(V35:V35),"0")</f>
        <v/>
      </c>
      <c r="W37" s="167">
        <f>IFERROR(SUM(W35:W35),"0")</f>
        <v/>
      </c>
      <c r="X37" s="63" t="n"/>
      <c r="Y37" s="168" t="n"/>
      <c r="Z37" s="168" t="n"/>
      <c r="AA37" s="71" t="n"/>
    </row>
    <row r="38" ht="14.25" customHeight="1">
      <c r="A38" s="10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06" t="n"/>
      <c r="Z38" s="106" t="n"/>
      <c r="AA38" s="71" t="n"/>
    </row>
    <row r="39" ht="80.25" customHeight="1">
      <c r="A39" s="49" t="inlineStr">
        <is>
          <t>SU001872</t>
        </is>
      </c>
      <c r="B39" s="49" t="inlineStr">
        <is>
          <t>P001933</t>
        </is>
      </c>
      <c r="C39" s="50" t="n">
        <v>4301160001</v>
      </c>
      <c r="D39" s="107" t="n">
        <v>4607091388282</v>
      </c>
      <c r="E39" s="128" t="n"/>
      <c r="F39" s="162" t="n">
        <v>0.3</v>
      </c>
      <c r="G39" s="52" t="n">
        <v>6</v>
      </c>
      <c r="H39" s="162" t="n">
        <v>1.8</v>
      </c>
      <c r="I39" s="162" t="n">
        <v>2.084</v>
      </c>
      <c r="J39" s="52" t="n">
        <v>156</v>
      </c>
      <c r="K39" s="52" t="inlineStr">
        <is>
          <t>12</t>
        </is>
      </c>
      <c r="L39" s="53" t="inlineStr">
        <is>
          <t>АК</t>
        </is>
      </c>
      <c r="M39" s="52" t="n">
        <v>30</v>
      </c>
      <c r="N39" s="10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63" t="n"/>
      <c r="P39" s="163" t="n"/>
      <c r="Q39" s="163" t="n"/>
      <c r="R39" s="128" t="n"/>
      <c r="S39" s="54" t="n"/>
      <c r="T39" s="54" t="n"/>
      <c r="U39" s="55" t="inlineStr">
        <is>
          <t>кг</t>
        </is>
      </c>
      <c r="V39" s="164" t="n">
        <v>0</v>
      </c>
      <c r="W39" s="165">
        <f>IFERROR(IF(V39="",0,CEILING((V39/$H39),1)*$H39),"")</f>
        <v/>
      </c>
      <c r="X39" s="58">
        <f>IFERROR(IF(W39=0,"",ROUNDUP(W39/H39,0)*0.00753),"")</f>
        <v/>
      </c>
      <c r="Y39" s="59" t="inlineStr">
        <is>
          <t>Предзаказ по четвергам до 12:00 на отгрузку со вторника следующей недели</t>
        </is>
      </c>
      <c r="Z39" s="60" t="n"/>
      <c r="AA39" s="71" t="n"/>
      <c r="AD39" s="61" t="n"/>
      <c r="BA39" s="62" t="inlineStr">
        <is>
          <t>КИ</t>
        </is>
      </c>
    </row>
    <row r="40" ht="12.5" customHeight="1">
      <c r="A40" s="10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66" t="n"/>
      <c r="N40" s="110" t="inlineStr">
        <is>
          <t>Итого</t>
        </is>
      </c>
      <c r="O40" s="134" t="n"/>
      <c r="P40" s="134" t="n"/>
      <c r="Q40" s="134" t="n"/>
      <c r="R40" s="134" t="n"/>
      <c r="S40" s="134" t="n"/>
      <c r="T40" s="135" t="n"/>
      <c r="U40" s="63" t="inlineStr">
        <is>
          <t>кор</t>
        </is>
      </c>
      <c r="V40" s="167">
        <f>IFERROR(V39/H39,"0")</f>
        <v/>
      </c>
      <c r="W40" s="167">
        <f>IFERROR(W39/H39,"0")</f>
        <v/>
      </c>
      <c r="X40" s="167">
        <f>IFERROR(IF(X39="",0,X39),"0")</f>
        <v/>
      </c>
      <c r="Y40" s="168" t="n"/>
      <c r="Z40" s="168" t="n"/>
      <c r="AA40" s="71" t="n"/>
    </row>
    <row r="41" ht="12.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66" t="n"/>
      <c r="N41" s="110" t="inlineStr">
        <is>
          <t>Итого</t>
        </is>
      </c>
      <c r="O41" s="134" t="n"/>
      <c r="P41" s="134" t="n"/>
      <c r="Q41" s="134" t="n"/>
      <c r="R41" s="134" t="n"/>
      <c r="S41" s="134" t="n"/>
      <c r="T41" s="135" t="n"/>
      <c r="U41" s="63" t="inlineStr">
        <is>
          <t>кг</t>
        </is>
      </c>
      <c r="V41" s="167">
        <f>IFERROR(SUM(V39:V39),"0")</f>
        <v/>
      </c>
      <c r="W41" s="167">
        <f>IFERROR(SUM(W39:W39),"0")</f>
        <v/>
      </c>
      <c r="X41" s="63" t="n"/>
      <c r="Y41" s="168" t="n"/>
      <c r="Z41" s="168" t="n"/>
      <c r="AA41" s="71" t="n"/>
    </row>
    <row r="42" ht="14.25" customHeight="1">
      <c r="A42" s="10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06" t="n"/>
      <c r="Z42" s="106" t="n"/>
      <c r="AA42" s="71" t="n"/>
    </row>
    <row r="43" ht="27" customHeight="1">
      <c r="A43" s="49" t="inlineStr">
        <is>
          <t>SU002049</t>
        </is>
      </c>
      <c r="B43" s="49" t="inlineStr">
        <is>
          <t>P002191</t>
        </is>
      </c>
      <c r="C43" s="50" t="n">
        <v>4301170002</v>
      </c>
      <c r="D43" s="107" t="n">
        <v>4607091389111</v>
      </c>
      <c r="E43" s="128" t="n"/>
      <c r="F43" s="162" t="n">
        <v>0.025</v>
      </c>
      <c r="G43" s="52" t="n">
        <v>10</v>
      </c>
      <c r="H43" s="162" t="n">
        <v>0.25</v>
      </c>
      <c r="I43" s="162" t="n">
        <v>0.492</v>
      </c>
      <c r="J43" s="52" t="n">
        <v>156</v>
      </c>
      <c r="K43" s="52" t="inlineStr">
        <is>
          <t>12</t>
        </is>
      </c>
      <c r="L43" s="53" t="inlineStr">
        <is>
          <t>АК</t>
        </is>
      </c>
      <c r="M43" s="52" t="n">
        <v>120</v>
      </c>
      <c r="N43" s="10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63" t="n"/>
      <c r="P43" s="163" t="n"/>
      <c r="Q43" s="163" t="n"/>
      <c r="R43" s="128" t="n"/>
      <c r="S43" s="54" t="n"/>
      <c r="T43" s="54" t="n"/>
      <c r="U43" s="55" t="inlineStr">
        <is>
          <t>кг</t>
        </is>
      </c>
      <c r="V43" s="164" t="n">
        <v>0</v>
      </c>
      <c r="W43" s="165">
        <f>IFERROR(IF(V43="",0,CEILING((V43/$H43),1)*$H43),"")</f>
        <v/>
      </c>
      <c r="X43" s="58">
        <f>IFERROR(IF(W43=0,"",ROUNDUP(W43/H43,0)*0.00753),"")</f>
        <v/>
      </c>
      <c r="Y43" s="59" t="n"/>
      <c r="Z43" s="60" t="n"/>
      <c r="AA43" s="71" t="n"/>
      <c r="AD43" s="61" t="n"/>
      <c r="BA43" s="62" t="inlineStr">
        <is>
          <t>СНК</t>
        </is>
      </c>
    </row>
    <row r="44" ht="12.5" customHeight="1">
      <c r="A44" s="109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66" t="n"/>
      <c r="N44" s="110" t="inlineStr">
        <is>
          <t>Итого</t>
        </is>
      </c>
      <c r="O44" s="134" t="n"/>
      <c r="P44" s="134" t="n"/>
      <c r="Q44" s="134" t="n"/>
      <c r="R44" s="134" t="n"/>
      <c r="S44" s="134" t="n"/>
      <c r="T44" s="135" t="n"/>
      <c r="U44" s="63" t="inlineStr">
        <is>
          <t>кор</t>
        </is>
      </c>
      <c r="V44" s="167">
        <f>IFERROR(V43/H43,"0")</f>
        <v/>
      </c>
      <c r="W44" s="167">
        <f>IFERROR(W43/H43,"0")</f>
        <v/>
      </c>
      <c r="X44" s="167">
        <f>IFERROR(IF(X43="",0,X43),"0")</f>
        <v/>
      </c>
      <c r="Y44" s="168" t="n"/>
      <c r="Z44" s="168" t="n"/>
      <c r="AA44" s="71" t="n"/>
    </row>
    <row r="45" ht="12.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66" t="n"/>
      <c r="N45" s="110" t="inlineStr">
        <is>
          <t>Итого</t>
        </is>
      </c>
      <c r="O45" s="134" t="n"/>
      <c r="P45" s="134" t="n"/>
      <c r="Q45" s="134" t="n"/>
      <c r="R45" s="134" t="n"/>
      <c r="S45" s="134" t="n"/>
      <c r="T45" s="135" t="n"/>
      <c r="U45" s="63" t="inlineStr">
        <is>
          <t>кг</t>
        </is>
      </c>
      <c r="V45" s="167">
        <f>IFERROR(SUM(V43:V43),"0")</f>
        <v/>
      </c>
      <c r="W45" s="167">
        <f>IFERROR(SUM(W43:W43),"0")</f>
        <v/>
      </c>
      <c r="X45" s="63" t="n"/>
      <c r="Y45" s="168" t="n"/>
      <c r="Z45" s="168" t="n"/>
      <c r="AA45" s="71" t="n"/>
    </row>
    <row r="46" ht="27.75" customHeight="1">
      <c r="A46" s="104" t="inlineStr">
        <is>
          <t>Вязанка</t>
        </is>
      </c>
      <c r="B46" s="161" t="n"/>
      <c r="C46" s="161" t="n"/>
      <c r="D46" s="161" t="n"/>
      <c r="E46" s="161" t="n"/>
      <c r="F46" s="161" t="n"/>
      <c r="G46" s="161" t="n"/>
      <c r="H46" s="161" t="n"/>
      <c r="I46" s="161" t="n"/>
      <c r="J46" s="161" t="n"/>
      <c r="K46" s="161" t="n"/>
      <c r="L46" s="161" t="n"/>
      <c r="M46" s="161" t="n"/>
      <c r="N46" s="161" t="n"/>
      <c r="O46" s="161" t="n"/>
      <c r="P46" s="161" t="n"/>
      <c r="Q46" s="161" t="n"/>
      <c r="R46" s="161" t="n"/>
      <c r="S46" s="161" t="n"/>
      <c r="T46" s="161" t="n"/>
      <c r="U46" s="161" t="n"/>
      <c r="V46" s="161" t="n"/>
      <c r="W46" s="161" t="n"/>
      <c r="X46" s="161" t="n"/>
      <c r="Y46" s="46" t="n"/>
      <c r="Z46" s="46" t="n"/>
      <c r="AA46" s="71" t="n"/>
    </row>
    <row r="47" ht="16.5" customHeight="1">
      <c r="A47" s="10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05" t="n"/>
      <c r="Z47" s="105" t="n"/>
      <c r="AA47" s="71" t="n"/>
    </row>
    <row r="48" ht="14.25" customHeight="1">
      <c r="A48" s="10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06" t="n"/>
      <c r="Z48" s="106" t="n"/>
      <c r="AA48" s="71" t="n"/>
    </row>
    <row r="49" ht="27" customHeight="1">
      <c r="A49" s="49" t="inlineStr">
        <is>
          <t>SU002828</t>
        </is>
      </c>
      <c r="B49" s="49" t="inlineStr">
        <is>
          <t>P003234</t>
        </is>
      </c>
      <c r="C49" s="50" t="n">
        <v>4301020234</v>
      </c>
      <c r="D49" s="107" t="n">
        <v>4680115881440</v>
      </c>
      <c r="E49" s="128" t="n"/>
      <c r="F49" s="162" t="n">
        <v>1.35</v>
      </c>
      <c r="G49" s="52" t="n">
        <v>8</v>
      </c>
      <c r="H49" s="162" t="n">
        <v>10.8</v>
      </c>
      <c r="I49" s="162" t="n">
        <v>11.28</v>
      </c>
      <c r="J49" s="52" t="n">
        <v>56</v>
      </c>
      <c r="K49" s="52" t="inlineStr">
        <is>
          <t>8</t>
        </is>
      </c>
      <c r="L49" s="53" t="inlineStr">
        <is>
          <t>СК1</t>
        </is>
      </c>
      <c r="M49" s="52" t="n">
        <v>50</v>
      </c>
      <c r="N49" s="108">
        <f>HYPERLINK("https://abi.ru/products/Охлажденные/Вязанка/Столичная/Ветчины/P003234/","Ветчины «Филейская» Весовые Вектор ТМ «Вязанка»")</f>
        <v/>
      </c>
      <c r="O49" s="163" t="n"/>
      <c r="P49" s="163" t="n"/>
      <c r="Q49" s="163" t="n"/>
      <c r="R49" s="128" t="n"/>
      <c r="S49" s="54" t="n"/>
      <c r="T49" s="54" t="n"/>
      <c r="U49" s="55" t="inlineStr">
        <is>
          <t>кг</t>
        </is>
      </c>
      <c r="V49" s="164" t="n">
        <v>0</v>
      </c>
      <c r="W49" s="165">
        <f>IFERROR(IF(V49="",0,CEILING((V49/$H49),1)*$H49),"")</f>
        <v/>
      </c>
      <c r="X49" s="58">
        <f>IFERROR(IF(W49=0,"",ROUNDUP(W49/H49,0)*0.02175),"")</f>
        <v/>
      </c>
      <c r="Y49" s="59" t="n"/>
      <c r="Z49" s="60" t="n"/>
      <c r="AA49" s="71" t="n"/>
      <c r="AD49" s="61" t="n"/>
      <c r="BA49" s="62" t="inlineStr">
        <is>
          <t>КИ</t>
        </is>
      </c>
    </row>
    <row r="50" ht="27" customHeight="1">
      <c r="A50" s="49" t="inlineStr">
        <is>
          <t>SU002814</t>
        </is>
      </c>
      <c r="B50" s="49" t="inlineStr">
        <is>
          <t>P003226</t>
        </is>
      </c>
      <c r="C50" s="50" t="n">
        <v>4301020232</v>
      </c>
      <c r="D50" s="107" t="n">
        <v>4680115881433</v>
      </c>
      <c r="E50" s="128" t="n"/>
      <c r="F50" s="162" t="n">
        <v>0.45</v>
      </c>
      <c r="G50" s="52" t="n">
        <v>6</v>
      </c>
      <c r="H50" s="162" t="n">
        <v>2.7</v>
      </c>
      <c r="I50" s="162" t="n">
        <v>2.9</v>
      </c>
      <c r="J50" s="52" t="n">
        <v>156</v>
      </c>
      <c r="K50" s="52" t="inlineStr">
        <is>
          <t>12</t>
        </is>
      </c>
      <c r="L50" s="53" t="inlineStr">
        <is>
          <t>СК1</t>
        </is>
      </c>
      <c r="M50" s="52" t="n">
        <v>50</v>
      </c>
      <c r="N50" s="1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163" t="n"/>
      <c r="P50" s="163" t="n"/>
      <c r="Q50" s="163" t="n"/>
      <c r="R50" s="128" t="n"/>
      <c r="S50" s="54" t="n"/>
      <c r="T50" s="54" t="n"/>
      <c r="U50" s="55" t="inlineStr">
        <is>
          <t>кг</t>
        </is>
      </c>
      <c r="V50" s="164" t="n">
        <v>16.2</v>
      </c>
      <c r="W50" s="165">
        <f>IFERROR(IF(V50="",0,CEILING((V50/$H50),1)*$H50),"")</f>
        <v/>
      </c>
      <c r="X50" s="58">
        <f>IFERROR(IF(W50=0,"",ROUNDUP(W50/H50,0)*0.00753),"")</f>
        <v/>
      </c>
      <c r="Y50" s="59" t="n"/>
      <c r="Z50" s="60" t="n"/>
      <c r="AA50" s="71" t="n"/>
      <c r="AD50" s="61" t="n"/>
      <c r="BA50" s="62" t="inlineStr">
        <is>
          <t>КИ</t>
        </is>
      </c>
    </row>
    <row r="51" ht="12.5" customHeight="1">
      <c r="A51" s="109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66" t="n"/>
      <c r="N51" s="110" t="inlineStr">
        <is>
          <t>Итого</t>
        </is>
      </c>
      <c r="O51" s="134" t="n"/>
      <c r="P51" s="134" t="n"/>
      <c r="Q51" s="134" t="n"/>
      <c r="R51" s="134" t="n"/>
      <c r="S51" s="134" t="n"/>
      <c r="T51" s="135" t="n"/>
      <c r="U51" s="63" t="inlineStr">
        <is>
          <t>кор</t>
        </is>
      </c>
      <c r="V51" s="167">
        <f>IFERROR(V49/H49,"0")+IFERROR(V50/H50,"0")</f>
        <v/>
      </c>
      <c r="W51" s="167">
        <f>IFERROR(W49/H49,"0")+IFERROR(W50/H50,"0")</f>
        <v/>
      </c>
      <c r="X51" s="167">
        <f>IFERROR(IF(X49="",0,X49),"0")+IFERROR(IF(X50="",0,X50),"0")</f>
        <v/>
      </c>
      <c r="Y51" s="168" t="n"/>
      <c r="Z51" s="168" t="n"/>
      <c r="AA51" s="71" t="n"/>
    </row>
    <row r="52" ht="12.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66" t="n"/>
      <c r="N52" s="110" t="inlineStr">
        <is>
          <t>Итого</t>
        </is>
      </c>
      <c r="O52" s="134" t="n"/>
      <c r="P52" s="134" t="n"/>
      <c r="Q52" s="134" t="n"/>
      <c r="R52" s="134" t="n"/>
      <c r="S52" s="134" t="n"/>
      <c r="T52" s="135" t="n"/>
      <c r="U52" s="63" t="inlineStr">
        <is>
          <t>кг</t>
        </is>
      </c>
      <c r="V52" s="167">
        <f>IFERROR(SUM(V49:V50),"0")</f>
        <v/>
      </c>
      <c r="W52" s="167">
        <f>IFERROR(SUM(W49:W50),"0")</f>
        <v/>
      </c>
      <c r="X52" s="63" t="n"/>
      <c r="Y52" s="168" t="n"/>
      <c r="Z52" s="168" t="n"/>
      <c r="AA52" s="71" t="n"/>
    </row>
    <row r="53" ht="16.5" customHeight="1">
      <c r="A53" s="10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05" t="n"/>
      <c r="Z53" s="105" t="n"/>
      <c r="AA53" s="71" t="n"/>
    </row>
    <row r="54" ht="14.25" customHeight="1">
      <c r="A54" s="10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06" t="n"/>
      <c r="Z54" s="106" t="n"/>
      <c r="AA54" s="71" t="n"/>
    </row>
    <row r="55" ht="27" customHeight="1">
      <c r="A55" s="49" t="inlineStr">
        <is>
          <t>SU002829</t>
        </is>
      </c>
      <c r="B55" s="49" t="inlineStr">
        <is>
          <t>P003298</t>
        </is>
      </c>
      <c r="C55" s="50" t="n">
        <v>4301011481</v>
      </c>
      <c r="D55" s="107" t="n">
        <v>4680115881426</v>
      </c>
      <c r="E55" s="128" t="n"/>
      <c r="F55" s="162" t="n">
        <v>1.35</v>
      </c>
      <c r="G55" s="52" t="n">
        <v>8</v>
      </c>
      <c r="H55" s="162" t="n">
        <v>10.8</v>
      </c>
      <c r="I55" s="162" t="n">
        <v>11.28</v>
      </c>
      <c r="J55" s="52" t="n">
        <v>48</v>
      </c>
      <c r="K55" s="52" t="inlineStr">
        <is>
          <t>8</t>
        </is>
      </c>
      <c r="L55" s="53" t="inlineStr">
        <is>
          <t>ВЗ</t>
        </is>
      </c>
      <c r="M55" s="52" t="n">
        <v>55</v>
      </c>
      <c r="N55" s="115" t="inlineStr">
        <is>
          <t>Вареные колбасы «Филейская» Весовые Вектор ТМ «Вязанка»</t>
        </is>
      </c>
      <c r="O55" s="163" t="n"/>
      <c r="P55" s="163" t="n"/>
      <c r="Q55" s="163" t="n"/>
      <c r="R55" s="128" t="n"/>
      <c r="S55" s="54" t="n"/>
      <c r="T55" s="54" t="n"/>
      <c r="U55" s="55" t="inlineStr">
        <is>
          <t>кг</t>
        </is>
      </c>
      <c r="V55" s="164" t="n">
        <v>0</v>
      </c>
      <c r="W55" s="165">
        <f>IFERROR(IF(V55="",0,CEILING((V55/$H55),1)*$H55),"")</f>
        <v/>
      </c>
      <c r="X55" s="58">
        <f>IFERROR(IF(W55=0,"",ROUNDUP(W55/H55,0)*0.02039),"")</f>
        <v/>
      </c>
      <c r="Y55" s="59" t="n"/>
      <c r="Z55" s="60" t="n"/>
      <c r="AA55" s="71" t="n"/>
      <c r="AD55" s="61" t="n"/>
      <c r="BA55" s="62" t="inlineStr">
        <is>
          <t>КИ</t>
        </is>
      </c>
    </row>
    <row r="56" ht="27" customHeight="1">
      <c r="A56" s="49" t="inlineStr">
        <is>
          <t>SU002829</t>
        </is>
      </c>
      <c r="B56" s="49" t="inlineStr">
        <is>
          <t>P003235</t>
        </is>
      </c>
      <c r="C56" s="50" t="n">
        <v>4301011452</v>
      </c>
      <c r="D56" s="107" t="n">
        <v>4680115881426</v>
      </c>
      <c r="E56" s="128" t="n"/>
      <c r="F56" s="162" t="n">
        <v>1.35</v>
      </c>
      <c r="G56" s="52" t="n">
        <v>8</v>
      </c>
      <c r="H56" s="162" t="n">
        <v>10.8</v>
      </c>
      <c r="I56" s="162" t="n">
        <v>11.28</v>
      </c>
      <c r="J56" s="52" t="n">
        <v>56</v>
      </c>
      <c r="K56" s="52" t="inlineStr">
        <is>
          <t>8</t>
        </is>
      </c>
      <c r="L56" s="53" t="inlineStr">
        <is>
          <t>СК1</t>
        </is>
      </c>
      <c r="M56" s="52" t="n">
        <v>50</v>
      </c>
      <c r="N56" s="10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63" t="n"/>
      <c r="P56" s="163" t="n"/>
      <c r="Q56" s="163" t="n"/>
      <c r="R56" s="128" t="n"/>
      <c r="S56" s="54" t="n"/>
      <c r="T56" s="54" t="n"/>
      <c r="U56" s="55" t="inlineStr">
        <is>
          <t>кг</t>
        </is>
      </c>
      <c r="V56" s="164" t="n">
        <v>0</v>
      </c>
      <c r="W56" s="165">
        <f>IFERROR(IF(V56="",0,CEILING((V56/$H56),1)*$H56),"")</f>
        <v/>
      </c>
      <c r="X56" s="58">
        <f>IFERROR(IF(W56=0,"",ROUNDUP(W56/H56,0)*0.02175),"")</f>
        <v/>
      </c>
      <c r="Y56" s="59" t="n"/>
      <c r="Z56" s="60" t="n"/>
      <c r="AA56" s="71" t="n"/>
      <c r="AD56" s="61" t="n"/>
      <c r="BA56" s="62" t="inlineStr">
        <is>
          <t>КИ</t>
        </is>
      </c>
    </row>
    <row r="57" ht="27" customHeight="1">
      <c r="A57" s="49" t="inlineStr">
        <is>
          <t>SU002815</t>
        </is>
      </c>
      <c r="B57" s="49" t="inlineStr">
        <is>
          <t>P003227</t>
        </is>
      </c>
      <c r="C57" s="50" t="n">
        <v>4301011437</v>
      </c>
      <c r="D57" s="107" t="n">
        <v>4680115881419</v>
      </c>
      <c r="E57" s="128" t="n"/>
      <c r="F57" s="162" t="n">
        <v>0.45</v>
      </c>
      <c r="G57" s="52" t="n">
        <v>10</v>
      </c>
      <c r="H57" s="162" t="n">
        <v>4.5</v>
      </c>
      <c r="I57" s="162" t="n">
        <v>4.74</v>
      </c>
      <c r="J57" s="52" t="n">
        <v>120</v>
      </c>
      <c r="K57" s="52" t="inlineStr">
        <is>
          <t>12</t>
        </is>
      </c>
      <c r="L57" s="53" t="inlineStr">
        <is>
          <t>СК1</t>
        </is>
      </c>
      <c r="M57" s="52" t="n">
        <v>50</v>
      </c>
      <c r="N57" s="10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63" t="n"/>
      <c r="P57" s="163" t="n"/>
      <c r="Q57" s="163" t="n"/>
      <c r="R57" s="128" t="n"/>
      <c r="S57" s="54" t="n"/>
      <c r="T57" s="54" t="n"/>
      <c r="U57" s="55" t="inlineStr">
        <is>
          <t>кг</t>
        </is>
      </c>
      <c r="V57" s="164" t="n">
        <v>5.4</v>
      </c>
      <c r="W57" s="165">
        <f>IFERROR(IF(V57="",0,CEILING((V57/$H57),1)*$H57),"")</f>
        <v/>
      </c>
      <c r="X57" s="58">
        <f>IFERROR(IF(W57=0,"",ROUNDUP(W57/H57,0)*0.00937),"")</f>
        <v/>
      </c>
      <c r="Y57" s="59" t="n"/>
      <c r="Z57" s="60" t="n"/>
      <c r="AA57" s="71" t="n"/>
      <c r="AD57" s="61" t="n"/>
      <c r="BA57" s="62" t="inlineStr">
        <is>
          <t>КИ</t>
        </is>
      </c>
    </row>
    <row r="58" ht="27" customHeight="1">
      <c r="A58" s="49" t="inlineStr">
        <is>
          <t>SU002831</t>
        </is>
      </c>
      <c r="B58" s="49" t="inlineStr">
        <is>
          <t>P003243</t>
        </is>
      </c>
      <c r="C58" s="50" t="n">
        <v>4301011458</v>
      </c>
      <c r="D58" s="107" t="n">
        <v>4680115881525</v>
      </c>
      <c r="E58" s="128" t="n"/>
      <c r="F58" s="162" t="n">
        <v>0.4</v>
      </c>
      <c r="G58" s="52" t="n">
        <v>10</v>
      </c>
      <c r="H58" s="162" t="n">
        <v>4</v>
      </c>
      <c r="I58" s="162" t="n">
        <v>4.24</v>
      </c>
      <c r="J58" s="52" t="n">
        <v>120</v>
      </c>
      <c r="K58" s="52" t="inlineStr">
        <is>
          <t>12</t>
        </is>
      </c>
      <c r="L58" s="53" t="inlineStr">
        <is>
          <t>СК1</t>
        </is>
      </c>
      <c r="M58" s="52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63" t="n"/>
      <c r="P58" s="163" t="n"/>
      <c r="Q58" s="163" t="n"/>
      <c r="R58" s="128" t="n"/>
      <c r="S58" s="54" t="n"/>
      <c r="T58" s="54" t="n"/>
      <c r="U58" s="55" t="inlineStr">
        <is>
          <t>кг</t>
        </is>
      </c>
      <c r="V58" s="164" t="n">
        <v>12.8</v>
      </c>
      <c r="W58" s="165">
        <f>IFERROR(IF(V58="",0,CEILING((V58/$H58),1)*$H58),"")</f>
        <v/>
      </c>
      <c r="X58" s="58">
        <f>IFERROR(IF(W58=0,"",ROUNDUP(W58/H58,0)*0.00937),"")</f>
        <v/>
      </c>
      <c r="Y58" s="59" t="n"/>
      <c r="Z58" s="60" t="n"/>
      <c r="AA58" s="71" t="n"/>
      <c r="AD58" s="61" t="n"/>
      <c r="BA58" s="62" t="inlineStr">
        <is>
          <t>КИ</t>
        </is>
      </c>
    </row>
    <row r="59" ht="12.5" customHeight="1">
      <c r="A59" s="10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66" t="n"/>
      <c r="N59" s="110" t="inlineStr">
        <is>
          <t>Итого</t>
        </is>
      </c>
      <c r="O59" s="134" t="n"/>
      <c r="P59" s="134" t="n"/>
      <c r="Q59" s="134" t="n"/>
      <c r="R59" s="134" t="n"/>
      <c r="S59" s="134" t="n"/>
      <c r="T59" s="135" t="n"/>
      <c r="U59" s="63" t="inlineStr">
        <is>
          <t>кор</t>
        </is>
      </c>
      <c r="V59" s="167">
        <f>IFERROR(V55/H55,"0")+IFERROR(V56/H56,"0")+IFERROR(V57/H57,"0")+IFERROR(V58/H58,"0")</f>
        <v/>
      </c>
      <c r="W59" s="167">
        <f>IFERROR(W55/H55,"0")+IFERROR(W56/H56,"0")+IFERROR(W57/H57,"0")+IFERROR(W58/H58,"0")</f>
        <v/>
      </c>
      <c r="X59" s="167">
        <f>IFERROR(IF(X55="",0,X55),"0")+IFERROR(IF(X56="",0,X56),"0")+IFERROR(IF(X57="",0,X57),"0")+IFERROR(IF(X58="",0,X58),"0")</f>
        <v/>
      </c>
      <c r="Y59" s="168" t="n"/>
      <c r="Z59" s="168" t="n"/>
      <c r="AA59" s="71" t="n"/>
    </row>
    <row r="60" ht="12.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66" t="n"/>
      <c r="N60" s="110" t="inlineStr">
        <is>
          <t>Итого</t>
        </is>
      </c>
      <c r="O60" s="134" t="n"/>
      <c r="P60" s="134" t="n"/>
      <c r="Q60" s="134" t="n"/>
      <c r="R60" s="134" t="n"/>
      <c r="S60" s="134" t="n"/>
      <c r="T60" s="135" t="n"/>
      <c r="U60" s="63" t="inlineStr">
        <is>
          <t>кг</t>
        </is>
      </c>
      <c r="V60" s="167">
        <f>IFERROR(SUM(V55:V58),"0")</f>
        <v/>
      </c>
      <c r="W60" s="167">
        <f>IFERROR(SUM(W55:W58),"0")</f>
        <v/>
      </c>
      <c r="X60" s="63" t="n"/>
      <c r="Y60" s="168" t="n"/>
      <c r="Z60" s="168" t="n"/>
      <c r="AA60" s="71" t="n"/>
    </row>
    <row r="61" ht="16.5" customHeight="1">
      <c r="A61" s="10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05" t="n"/>
      <c r="Z61" s="105" t="n"/>
      <c r="AA61" s="71" t="n"/>
    </row>
    <row r="62" ht="14.25" customHeight="1">
      <c r="A62" s="10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06" t="n"/>
      <c r="Z62" s="106" t="n"/>
      <c r="AA62" s="71" t="n"/>
    </row>
    <row r="63" ht="27" customHeight="1">
      <c r="A63" s="49" t="inlineStr">
        <is>
          <t>SU000124</t>
        </is>
      </c>
      <c r="B63" s="49" t="inlineStr">
        <is>
          <t>P003690</t>
        </is>
      </c>
      <c r="C63" s="50" t="n">
        <v>4301011623</v>
      </c>
      <c r="D63" s="107" t="n">
        <v>4607091382945</v>
      </c>
      <c r="E63" s="128" t="n"/>
      <c r="F63" s="162" t="n">
        <v>1.4</v>
      </c>
      <c r="G63" s="52" t="n">
        <v>8</v>
      </c>
      <c r="H63" s="162" t="n">
        <v>11.2</v>
      </c>
      <c r="I63" s="162" t="n">
        <v>11.68</v>
      </c>
      <c r="J63" s="52" t="n">
        <v>56</v>
      </c>
      <c r="K63" s="52" t="inlineStr">
        <is>
          <t>8</t>
        </is>
      </c>
      <c r="L63" s="53" t="inlineStr">
        <is>
          <t>СК1</t>
        </is>
      </c>
      <c r="M63" s="52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63" t="n"/>
      <c r="P63" s="163" t="n"/>
      <c r="Q63" s="163" t="n"/>
      <c r="R63" s="128" t="n"/>
      <c r="S63" s="54" t="n"/>
      <c r="T63" s="54" t="n"/>
      <c r="U63" s="55" t="inlineStr">
        <is>
          <t>кг</t>
        </is>
      </c>
      <c r="V63" s="164" t="n">
        <v>0</v>
      </c>
      <c r="W63" s="165">
        <f>IFERROR(IF(V63="",0,CEILING((V63/$H63),1)*$H63),"")</f>
        <v/>
      </c>
      <c r="X63" s="58">
        <f>IFERROR(IF(W63=0,"",ROUNDUP(W63/H63,0)*0.02175),"")</f>
        <v/>
      </c>
      <c r="Y63" s="59" t="n"/>
      <c r="Z63" s="60" t="n"/>
      <c r="AA63" s="71" t="n"/>
      <c r="AD63" s="61" t="n"/>
      <c r="BA63" s="62" t="inlineStr">
        <is>
          <t>КИ</t>
        </is>
      </c>
    </row>
    <row r="64" ht="27" customHeight="1">
      <c r="A64" s="49" t="inlineStr">
        <is>
          <t>SU000722</t>
        </is>
      </c>
      <c r="B64" s="49" t="inlineStr">
        <is>
          <t>P003011</t>
        </is>
      </c>
      <c r="C64" s="50" t="n">
        <v>4301011380</v>
      </c>
      <c r="D64" s="107" t="n">
        <v>4607091385670</v>
      </c>
      <c r="E64" s="128" t="n"/>
      <c r="F64" s="162" t="n">
        <v>1.35</v>
      </c>
      <c r="G64" s="52" t="n">
        <v>8</v>
      </c>
      <c r="H64" s="162" t="n">
        <v>10.8</v>
      </c>
      <c r="I64" s="162" t="n">
        <v>11.28</v>
      </c>
      <c r="J64" s="52" t="n">
        <v>56</v>
      </c>
      <c r="K64" s="52" t="inlineStr">
        <is>
          <t>8</t>
        </is>
      </c>
      <c r="L64" s="53" t="inlineStr">
        <is>
          <t>СК1</t>
        </is>
      </c>
      <c r="M64" s="52" t="n">
        <v>50</v>
      </c>
      <c r="N64" s="10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63" t="n"/>
      <c r="P64" s="163" t="n"/>
      <c r="Q64" s="163" t="n"/>
      <c r="R64" s="128" t="n"/>
      <c r="S64" s="54" t="n"/>
      <c r="T64" s="54" t="n"/>
      <c r="U64" s="55" t="inlineStr">
        <is>
          <t>кг</t>
        </is>
      </c>
      <c r="V64" s="164" t="n">
        <v>16.2</v>
      </c>
      <c r="W64" s="165">
        <f>IFERROR(IF(V64="",0,CEILING((V64/$H64),1)*$H64),"")</f>
        <v/>
      </c>
      <c r="X64" s="58">
        <f>IFERROR(IF(W64=0,"",ROUNDUP(W64/H64,0)*0.02175),"")</f>
        <v/>
      </c>
      <c r="Y64" s="59" t="n"/>
      <c r="Z64" s="60" t="n"/>
      <c r="AA64" s="71" t="n"/>
      <c r="AD64" s="61" t="n"/>
      <c r="BA64" s="62" t="inlineStr">
        <is>
          <t>КИ</t>
        </is>
      </c>
    </row>
    <row r="65" ht="27" customHeight="1">
      <c r="A65" s="49" t="inlineStr">
        <is>
          <t>SU002830</t>
        </is>
      </c>
      <c r="B65" s="49" t="inlineStr">
        <is>
          <t>P003239</t>
        </is>
      </c>
      <c r="C65" s="50" t="n">
        <v>4301011468</v>
      </c>
      <c r="D65" s="107" t="n">
        <v>4680115881327</v>
      </c>
      <c r="E65" s="128" t="n"/>
      <c r="F65" s="162" t="n">
        <v>1.35</v>
      </c>
      <c r="G65" s="52" t="n">
        <v>8</v>
      </c>
      <c r="H65" s="162" t="n">
        <v>10.8</v>
      </c>
      <c r="I65" s="162" t="n">
        <v>11.28</v>
      </c>
      <c r="J65" s="52" t="n">
        <v>56</v>
      </c>
      <c r="K65" s="52" t="inlineStr">
        <is>
          <t>8</t>
        </is>
      </c>
      <c r="L65" s="53" t="inlineStr">
        <is>
          <t>СК4</t>
        </is>
      </c>
      <c r="M65" s="52" t="n">
        <v>50</v>
      </c>
      <c r="N65" s="108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63" t="n"/>
      <c r="P65" s="163" t="n"/>
      <c r="Q65" s="163" t="n"/>
      <c r="R65" s="128" t="n"/>
      <c r="S65" s="54" t="n"/>
      <c r="T65" s="54" t="n"/>
      <c r="U65" s="55" t="inlineStr">
        <is>
          <t>кг</t>
        </is>
      </c>
      <c r="V65" s="164" t="n">
        <v>0</v>
      </c>
      <c r="W65" s="165">
        <f>IFERROR(IF(V65="",0,CEILING((V65/$H65),1)*$H65),"")</f>
        <v/>
      </c>
      <c r="X65" s="58">
        <f>IFERROR(IF(W65=0,"",ROUNDUP(W65/H65,0)*0.02175),"")</f>
        <v/>
      </c>
      <c r="Y65" s="59" t="n"/>
      <c r="Z65" s="60" t="n"/>
      <c r="AA65" s="71" t="n"/>
      <c r="AD65" s="61" t="n"/>
      <c r="BA65" s="62" t="inlineStr">
        <is>
          <t>КИ</t>
        </is>
      </c>
    </row>
    <row r="66" ht="16.5" customHeight="1">
      <c r="A66" s="49" t="inlineStr">
        <is>
          <t>SU002928</t>
        </is>
      </c>
      <c r="B66" s="49" t="inlineStr">
        <is>
          <t>P003357</t>
        </is>
      </c>
      <c r="C66" s="50" t="n">
        <v>4301011514</v>
      </c>
      <c r="D66" s="107" t="n">
        <v>4680115882133</v>
      </c>
      <c r="E66" s="128" t="n"/>
      <c r="F66" s="162" t="n">
        <v>1.35</v>
      </c>
      <c r="G66" s="52" t="n">
        <v>8</v>
      </c>
      <c r="H66" s="162" t="n">
        <v>10.8</v>
      </c>
      <c r="I66" s="162" t="n">
        <v>11.28</v>
      </c>
      <c r="J66" s="52" t="n">
        <v>56</v>
      </c>
      <c r="K66" s="52" t="inlineStr">
        <is>
          <t>8</t>
        </is>
      </c>
      <c r="L66" s="53" t="inlineStr">
        <is>
          <t>СК1</t>
        </is>
      </c>
      <c r="M66" s="52" t="n">
        <v>50</v>
      </c>
      <c r="N66" s="10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63" t="n"/>
      <c r="P66" s="163" t="n"/>
      <c r="Q66" s="163" t="n"/>
      <c r="R66" s="128" t="n"/>
      <c r="S66" s="54" t="n"/>
      <c r="T66" s="54" t="n"/>
      <c r="U66" s="55" t="inlineStr">
        <is>
          <t>кг</t>
        </is>
      </c>
      <c r="V66" s="164" t="n">
        <v>0</v>
      </c>
      <c r="W66" s="165">
        <f>IFERROR(IF(V66="",0,CEILING((V66/$H66),1)*$H66),"")</f>
        <v/>
      </c>
      <c r="X66" s="58">
        <f>IFERROR(IF(W66=0,"",ROUNDUP(W66/H66,0)*0.02175),"")</f>
        <v/>
      </c>
      <c r="Y66" s="59" t="n"/>
      <c r="Z66" s="60" t="n"/>
      <c r="AA66" s="71" t="n"/>
      <c r="AD66" s="61" t="n"/>
      <c r="BA66" s="62" t="inlineStr">
        <is>
          <t>КИ</t>
        </is>
      </c>
    </row>
    <row r="67" ht="27" customHeight="1">
      <c r="A67" s="49" t="inlineStr">
        <is>
          <t>SU000125</t>
        </is>
      </c>
      <c r="B67" s="49" t="inlineStr">
        <is>
          <t>P002479</t>
        </is>
      </c>
      <c r="C67" s="50" t="n">
        <v>4301011192</v>
      </c>
      <c r="D67" s="107" t="n">
        <v>4607091382952</v>
      </c>
      <c r="E67" s="128" t="n"/>
      <c r="F67" s="162" t="n">
        <v>0.5</v>
      </c>
      <c r="G67" s="52" t="n">
        <v>6</v>
      </c>
      <c r="H67" s="162" t="n">
        <v>3</v>
      </c>
      <c r="I67" s="162" t="n">
        <v>3.2</v>
      </c>
      <c r="J67" s="52" t="n">
        <v>156</v>
      </c>
      <c r="K67" s="52" t="inlineStr">
        <is>
          <t>12</t>
        </is>
      </c>
      <c r="L67" s="53" t="inlineStr">
        <is>
          <t>СК1</t>
        </is>
      </c>
      <c r="M67" s="52" t="n">
        <v>50</v>
      </c>
      <c r="N67" s="1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63" t="n"/>
      <c r="P67" s="163" t="n"/>
      <c r="Q67" s="163" t="n"/>
      <c r="R67" s="128" t="n"/>
      <c r="S67" s="54" t="n"/>
      <c r="T67" s="54" t="n"/>
      <c r="U67" s="55" t="inlineStr">
        <is>
          <t>кг</t>
        </is>
      </c>
      <c r="V67" s="164" t="n">
        <v>0</v>
      </c>
      <c r="W67" s="165">
        <f>IFERROR(IF(V67="",0,CEILING((V67/$H67),1)*$H67),"")</f>
        <v/>
      </c>
      <c r="X67" s="58">
        <f>IFERROR(IF(W67=0,"",ROUNDUP(W67/H67,0)*0.00753),"")</f>
        <v/>
      </c>
      <c r="Y67" s="59" t="n"/>
      <c r="Z67" s="60" t="n"/>
      <c r="AA67" s="71" t="n"/>
      <c r="AD67" s="61" t="n"/>
      <c r="BA67" s="62" t="inlineStr">
        <is>
          <t>КИ</t>
        </is>
      </c>
    </row>
    <row r="68" ht="27" customHeight="1">
      <c r="A68" s="49" t="inlineStr">
        <is>
          <t>SU002986</t>
        </is>
      </c>
      <c r="B68" s="49" t="inlineStr">
        <is>
          <t>P003429</t>
        </is>
      </c>
      <c r="C68" s="50" t="n">
        <v>4301011565</v>
      </c>
      <c r="D68" s="107" t="n">
        <v>4680115882539</v>
      </c>
      <c r="E68" s="128" t="n"/>
      <c r="F68" s="162" t="n">
        <v>0.37</v>
      </c>
      <c r="G68" s="52" t="n">
        <v>10</v>
      </c>
      <c r="H68" s="162" t="n">
        <v>3.7</v>
      </c>
      <c r="I68" s="162" t="n">
        <v>3.94</v>
      </c>
      <c r="J68" s="52" t="n">
        <v>120</v>
      </c>
      <c r="K68" s="52" t="inlineStr">
        <is>
          <t>12</t>
        </is>
      </c>
      <c r="L68" s="53" t="inlineStr">
        <is>
          <t>СК3</t>
        </is>
      </c>
      <c r="M68" s="52" t="n">
        <v>50</v>
      </c>
      <c r="N68" s="10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63" t="n"/>
      <c r="P68" s="163" t="n"/>
      <c r="Q68" s="163" t="n"/>
      <c r="R68" s="128" t="n"/>
      <c r="S68" s="54" t="n"/>
      <c r="T68" s="54" t="n"/>
      <c r="U68" s="55" t="inlineStr">
        <is>
          <t>кг</t>
        </is>
      </c>
      <c r="V68" s="164" t="n">
        <v>8.879999999999999</v>
      </c>
      <c r="W68" s="165">
        <f>IFERROR(IF(V68="",0,CEILING((V68/$H68),1)*$H68),"")</f>
        <v/>
      </c>
      <c r="X68" s="58">
        <f>IFERROR(IF(W68=0,"",ROUNDUP(W68/H68,0)*0.00937),"")</f>
        <v/>
      </c>
      <c r="Y68" s="59" t="n"/>
      <c r="Z68" s="60" t="n"/>
      <c r="AA68" s="71" t="n"/>
      <c r="AD68" s="61" t="n"/>
      <c r="BA68" s="62" t="inlineStr">
        <is>
          <t>КИ</t>
        </is>
      </c>
    </row>
    <row r="69" ht="27" customHeight="1">
      <c r="A69" s="49" t="inlineStr">
        <is>
          <t>SU001485</t>
        </is>
      </c>
      <c r="B69" s="49" t="inlineStr">
        <is>
          <t>P003008</t>
        </is>
      </c>
      <c r="C69" s="50" t="n">
        <v>4301011382</v>
      </c>
      <c r="D69" s="107" t="n">
        <v>4607091385687</v>
      </c>
      <c r="E69" s="128" t="n"/>
      <c r="F69" s="162" t="n">
        <v>0.4</v>
      </c>
      <c r="G69" s="52" t="n">
        <v>10</v>
      </c>
      <c r="H69" s="162" t="n">
        <v>4</v>
      </c>
      <c r="I69" s="162" t="n">
        <v>4.24</v>
      </c>
      <c r="J69" s="52" t="n">
        <v>120</v>
      </c>
      <c r="K69" s="52" t="inlineStr">
        <is>
          <t>12</t>
        </is>
      </c>
      <c r="L69" s="53" t="inlineStr">
        <is>
          <t>СК3</t>
        </is>
      </c>
      <c r="M69" s="52" t="n">
        <v>50</v>
      </c>
      <c r="N69" s="1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63" t="n"/>
      <c r="P69" s="163" t="n"/>
      <c r="Q69" s="163" t="n"/>
      <c r="R69" s="128" t="n"/>
      <c r="S69" s="54" t="n"/>
      <c r="T69" s="54" t="n"/>
      <c r="U69" s="55" t="inlineStr">
        <is>
          <t>кг</t>
        </is>
      </c>
      <c r="V69" s="164" t="n">
        <v>0</v>
      </c>
      <c r="W69" s="165">
        <f>IFERROR(IF(V69="",0,CEILING((V69/$H69),1)*$H69),"")</f>
        <v/>
      </c>
      <c r="X69" s="58">
        <f>IFERROR(IF(W69=0,"",ROUNDUP(W69/H69,0)*0.00937),"")</f>
        <v/>
      </c>
      <c r="Y69" s="59" t="n"/>
      <c r="Z69" s="60" t="n"/>
      <c r="AA69" s="71" t="n"/>
      <c r="AD69" s="61" t="n"/>
      <c r="BA69" s="62" t="inlineStr">
        <is>
          <t>КИ</t>
        </is>
      </c>
    </row>
    <row r="70" ht="27" customHeight="1">
      <c r="A70" s="49" t="inlineStr">
        <is>
          <t>SU002312</t>
        </is>
      </c>
      <c r="B70" s="49" t="inlineStr">
        <is>
          <t>P002577</t>
        </is>
      </c>
      <c r="C70" s="50" t="n">
        <v>4301011344</v>
      </c>
      <c r="D70" s="107" t="n">
        <v>4607091384604</v>
      </c>
      <c r="E70" s="128" t="n"/>
      <c r="F70" s="162" t="n">
        <v>0.4</v>
      </c>
      <c r="G70" s="52" t="n">
        <v>10</v>
      </c>
      <c r="H70" s="162" t="n">
        <v>4</v>
      </c>
      <c r="I70" s="162" t="n">
        <v>4.24</v>
      </c>
      <c r="J70" s="52" t="n">
        <v>120</v>
      </c>
      <c r="K70" s="52" t="inlineStr">
        <is>
          <t>12</t>
        </is>
      </c>
      <c r="L70" s="53" t="inlineStr">
        <is>
          <t>СК1</t>
        </is>
      </c>
      <c r="M70" s="52" t="n">
        <v>50</v>
      </c>
      <c r="N70" s="10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63" t="n"/>
      <c r="P70" s="163" t="n"/>
      <c r="Q70" s="163" t="n"/>
      <c r="R70" s="128" t="n"/>
      <c r="S70" s="54" t="n"/>
      <c r="T70" s="54" t="n"/>
      <c r="U70" s="55" t="inlineStr">
        <is>
          <t>кг</t>
        </is>
      </c>
      <c r="V70" s="164" t="n">
        <v>0</v>
      </c>
      <c r="W70" s="165">
        <f>IFERROR(IF(V70="",0,CEILING((V70/$H70),1)*$H70),"")</f>
        <v/>
      </c>
      <c r="X70" s="58">
        <f>IFERROR(IF(W70=0,"",ROUNDUP(W70/H70,0)*0.00937),"")</f>
        <v/>
      </c>
      <c r="Y70" s="59" t="n"/>
      <c r="Z70" s="60" t="n"/>
      <c r="AA70" s="71" t="n"/>
      <c r="AD70" s="61" t="n"/>
      <c r="BA70" s="62" t="inlineStr">
        <is>
          <t>КИ</t>
        </is>
      </c>
    </row>
    <row r="71" ht="27" customHeight="1">
      <c r="A71" s="49" t="inlineStr">
        <is>
          <t>SU002674</t>
        </is>
      </c>
      <c r="B71" s="49" t="inlineStr">
        <is>
          <t>P003045</t>
        </is>
      </c>
      <c r="C71" s="50" t="n">
        <v>4301011386</v>
      </c>
      <c r="D71" s="107" t="n">
        <v>4680115880283</v>
      </c>
      <c r="E71" s="128" t="n"/>
      <c r="F71" s="162" t="n">
        <v>0.6</v>
      </c>
      <c r="G71" s="52" t="n">
        <v>8</v>
      </c>
      <c r="H71" s="162" t="n">
        <v>4.8</v>
      </c>
      <c r="I71" s="162" t="n">
        <v>5.04</v>
      </c>
      <c r="J71" s="52" t="n">
        <v>120</v>
      </c>
      <c r="K71" s="52" t="inlineStr">
        <is>
          <t>12</t>
        </is>
      </c>
      <c r="L71" s="53" t="inlineStr">
        <is>
          <t>СК1</t>
        </is>
      </c>
      <c r="M71" s="52" t="n">
        <v>45</v>
      </c>
      <c r="N71" s="1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63" t="n"/>
      <c r="P71" s="163" t="n"/>
      <c r="Q71" s="163" t="n"/>
      <c r="R71" s="128" t="n"/>
      <c r="S71" s="54" t="n"/>
      <c r="T71" s="54" t="n"/>
      <c r="U71" s="55" t="inlineStr">
        <is>
          <t>кг</t>
        </is>
      </c>
      <c r="V71" s="164" t="n">
        <v>0</v>
      </c>
      <c r="W71" s="165">
        <f>IFERROR(IF(V71="",0,CEILING((V71/$H71),1)*$H71),"")</f>
        <v/>
      </c>
      <c r="X71" s="58">
        <f>IFERROR(IF(W71=0,"",ROUNDUP(W71/H71,0)*0.00937),"")</f>
        <v/>
      </c>
      <c r="Y71" s="59" t="n"/>
      <c r="Z71" s="60" t="n"/>
      <c r="AA71" s="71" t="n"/>
      <c r="AD71" s="61" t="n"/>
      <c r="BA71" s="62" t="inlineStr">
        <is>
          <t>КИ</t>
        </is>
      </c>
    </row>
    <row r="72" ht="16.5" customHeight="1">
      <c r="A72" s="49" t="inlineStr">
        <is>
          <t>SU002832</t>
        </is>
      </c>
      <c r="B72" s="49" t="inlineStr">
        <is>
          <t>P003245</t>
        </is>
      </c>
      <c r="C72" s="50" t="n">
        <v>4301011476</v>
      </c>
      <c r="D72" s="107" t="n">
        <v>4680115881518</v>
      </c>
      <c r="E72" s="128" t="n"/>
      <c r="F72" s="162" t="n">
        <v>0.4</v>
      </c>
      <c r="G72" s="52" t="n">
        <v>10</v>
      </c>
      <c r="H72" s="162" t="n">
        <v>4</v>
      </c>
      <c r="I72" s="162" t="n">
        <v>4.24</v>
      </c>
      <c r="J72" s="52" t="n">
        <v>120</v>
      </c>
      <c r="K72" s="52" t="inlineStr">
        <is>
          <t>12</t>
        </is>
      </c>
      <c r="L72" s="53" t="inlineStr">
        <is>
          <t>СК3</t>
        </is>
      </c>
      <c r="M72" s="52" t="n">
        <v>50</v>
      </c>
      <c r="N72" s="1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63" t="n"/>
      <c r="P72" s="163" t="n"/>
      <c r="Q72" s="163" t="n"/>
      <c r="R72" s="128" t="n"/>
      <c r="S72" s="54" t="n"/>
      <c r="T72" s="54" t="n"/>
      <c r="U72" s="55" t="inlineStr">
        <is>
          <t>кг</t>
        </is>
      </c>
      <c r="V72" s="164" t="n">
        <v>0</v>
      </c>
      <c r="W72" s="165">
        <f>IFERROR(IF(V72="",0,CEILING((V72/$H72),1)*$H72),"")</f>
        <v/>
      </c>
      <c r="X72" s="58">
        <f>IFERROR(IF(W72=0,"",ROUNDUP(W72/H72,0)*0.00937),"")</f>
        <v/>
      </c>
      <c r="Y72" s="59" t="n"/>
      <c r="Z72" s="60" t="n"/>
      <c r="AA72" s="71" t="n"/>
      <c r="AD72" s="61" t="n"/>
      <c r="BA72" s="62" t="inlineStr">
        <is>
          <t>КИ</t>
        </is>
      </c>
    </row>
    <row r="73" ht="27" customHeight="1">
      <c r="A73" s="49" t="inlineStr">
        <is>
          <t>SU002816</t>
        </is>
      </c>
      <c r="B73" s="49" t="inlineStr">
        <is>
          <t>P003228</t>
        </is>
      </c>
      <c r="C73" s="50" t="n">
        <v>4301011443</v>
      </c>
      <c r="D73" s="107" t="n">
        <v>4680115881303</v>
      </c>
      <c r="E73" s="128" t="n"/>
      <c r="F73" s="162" t="n">
        <v>0.45</v>
      </c>
      <c r="G73" s="52" t="n">
        <v>10</v>
      </c>
      <c r="H73" s="162" t="n">
        <v>4.5</v>
      </c>
      <c r="I73" s="162" t="n">
        <v>4.71</v>
      </c>
      <c r="J73" s="52" t="n">
        <v>120</v>
      </c>
      <c r="K73" s="52" t="inlineStr">
        <is>
          <t>12</t>
        </is>
      </c>
      <c r="L73" s="53" t="inlineStr">
        <is>
          <t>СК4</t>
        </is>
      </c>
      <c r="M73" s="52" t="n">
        <v>50</v>
      </c>
      <c r="N73" s="1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63" t="n"/>
      <c r="P73" s="163" t="n"/>
      <c r="Q73" s="163" t="n"/>
      <c r="R73" s="128" t="n"/>
      <c r="S73" s="54" t="n"/>
      <c r="T73" s="54" t="n"/>
      <c r="U73" s="55" t="inlineStr">
        <is>
          <t>кг</t>
        </is>
      </c>
      <c r="V73" s="164" t="n">
        <v>10.8</v>
      </c>
      <c r="W73" s="165">
        <f>IFERROR(IF(V73="",0,CEILING((V73/$H73),1)*$H73),"")</f>
        <v/>
      </c>
      <c r="X73" s="58">
        <f>IFERROR(IF(W73=0,"",ROUNDUP(W73/H73,0)*0.00937),"")</f>
        <v/>
      </c>
      <c r="Y73" s="59" t="n"/>
      <c r="Z73" s="60" t="n"/>
      <c r="AA73" s="71" t="n"/>
      <c r="AD73" s="61" t="n"/>
      <c r="BA73" s="62" t="inlineStr">
        <is>
          <t>КИ</t>
        </is>
      </c>
    </row>
    <row r="74" ht="27" customHeight="1">
      <c r="A74" s="49" t="inlineStr">
        <is>
          <t>SU002983</t>
        </is>
      </c>
      <c r="B74" s="49" t="inlineStr">
        <is>
          <t>P003437</t>
        </is>
      </c>
      <c r="C74" s="50" t="n">
        <v>4301011562</v>
      </c>
      <c r="D74" s="107" t="n">
        <v>4680115882577</v>
      </c>
      <c r="E74" s="128" t="n"/>
      <c r="F74" s="162" t="n">
        <v>0.4</v>
      </c>
      <c r="G74" s="52" t="n">
        <v>8</v>
      </c>
      <c r="H74" s="162" t="n">
        <v>3.2</v>
      </c>
      <c r="I74" s="162" t="n">
        <v>3.4</v>
      </c>
      <c r="J74" s="52" t="n">
        <v>156</v>
      </c>
      <c r="K74" s="52" t="inlineStr">
        <is>
          <t>12</t>
        </is>
      </c>
      <c r="L74" s="53" t="inlineStr">
        <is>
          <t>АК</t>
        </is>
      </c>
      <c r="M74" s="52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63" t="n"/>
      <c r="P74" s="163" t="n"/>
      <c r="Q74" s="163" t="n"/>
      <c r="R74" s="128" t="n"/>
      <c r="S74" s="54" t="n"/>
      <c r="T74" s="54" t="n"/>
      <c r="U74" s="55" t="inlineStr">
        <is>
          <t>кг</t>
        </is>
      </c>
      <c r="V74" s="164" t="n">
        <v>0</v>
      </c>
      <c r="W74" s="165">
        <f>IFERROR(IF(V74="",0,CEILING((V74/$H74),1)*$H74),"")</f>
        <v/>
      </c>
      <c r="X74" s="58">
        <f>IFERROR(IF(W74=0,"",ROUNDUP(W74/H74,0)*0.00753),"")</f>
        <v/>
      </c>
      <c r="Y74" s="59" t="n"/>
      <c r="Z74" s="60" t="n"/>
      <c r="AA74" s="71" t="n"/>
      <c r="AD74" s="61" t="n"/>
      <c r="BA74" s="62" t="inlineStr">
        <is>
          <t>КИ</t>
        </is>
      </c>
    </row>
    <row r="75" ht="27" customHeight="1">
      <c r="A75" s="49" t="inlineStr">
        <is>
          <t>SU002785</t>
        </is>
      </c>
      <c r="B75" s="49" t="inlineStr">
        <is>
          <t>P003187</t>
        </is>
      </c>
      <c r="C75" s="50" t="n">
        <v>4301011432</v>
      </c>
      <c r="D75" s="107" t="n">
        <v>4680115882720</v>
      </c>
      <c r="E75" s="128" t="n"/>
      <c r="F75" s="162" t="n">
        <v>0.45</v>
      </c>
      <c r="G75" s="52" t="n">
        <v>10</v>
      </c>
      <c r="H75" s="162" t="n">
        <v>4.5</v>
      </c>
      <c r="I75" s="162" t="n">
        <v>4.74</v>
      </c>
      <c r="J75" s="52" t="n">
        <v>120</v>
      </c>
      <c r="K75" s="52" t="inlineStr">
        <is>
          <t>12</t>
        </is>
      </c>
      <c r="L75" s="53" t="inlineStr">
        <is>
          <t>СК1</t>
        </is>
      </c>
      <c r="M75" s="52" t="n">
        <v>90</v>
      </c>
      <c r="N75" s="115" t="inlineStr">
        <is>
          <t>Вареные колбасы «Филейская #Живой_пар» ф/в 0,45 п/а ТМ «Вязанка»</t>
        </is>
      </c>
      <c r="O75" s="163" t="n"/>
      <c r="P75" s="163" t="n"/>
      <c r="Q75" s="163" t="n"/>
      <c r="R75" s="128" t="n"/>
      <c r="S75" s="54" t="n"/>
      <c r="T75" s="54" t="n"/>
      <c r="U75" s="55" t="inlineStr">
        <is>
          <t>кг</t>
        </is>
      </c>
      <c r="V75" s="164" t="n">
        <v>0</v>
      </c>
      <c r="W75" s="165">
        <f>IFERROR(IF(V75="",0,CEILING((V75/$H75),1)*$H75),"")</f>
        <v/>
      </c>
      <c r="X75" s="58">
        <f>IFERROR(IF(W75=0,"",ROUNDUP(W75/H75,0)*0.00937),"")</f>
        <v/>
      </c>
      <c r="Y75" s="59" t="n"/>
      <c r="Z75" s="60" t="n"/>
      <c r="AA75" s="71" t="n"/>
      <c r="AD75" s="61" t="n"/>
      <c r="BA75" s="62" t="inlineStr">
        <is>
          <t>КИ</t>
        </is>
      </c>
    </row>
    <row r="76" ht="27" customHeight="1">
      <c r="A76" s="49" t="inlineStr">
        <is>
          <t>SU001905</t>
        </is>
      </c>
      <c r="B76" s="49" t="inlineStr">
        <is>
          <t>P001685</t>
        </is>
      </c>
      <c r="C76" s="50" t="n">
        <v>4301011352</v>
      </c>
      <c r="D76" s="107" t="n">
        <v>4607091388466</v>
      </c>
      <c r="E76" s="128" t="n"/>
      <c r="F76" s="162" t="n">
        <v>0.45</v>
      </c>
      <c r="G76" s="52" t="n">
        <v>6</v>
      </c>
      <c r="H76" s="162" t="n">
        <v>2.7</v>
      </c>
      <c r="I76" s="162" t="n">
        <v>2.9</v>
      </c>
      <c r="J76" s="52" t="n">
        <v>156</v>
      </c>
      <c r="K76" s="52" t="inlineStr">
        <is>
          <t>12</t>
        </is>
      </c>
      <c r="L76" s="53" t="inlineStr">
        <is>
          <t>СК3</t>
        </is>
      </c>
      <c r="M76" s="52" t="n">
        <v>45</v>
      </c>
      <c r="N76" s="1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63" t="n"/>
      <c r="P76" s="163" t="n"/>
      <c r="Q76" s="163" t="n"/>
      <c r="R76" s="128" t="n"/>
      <c r="S76" s="54" t="n"/>
      <c r="T76" s="54" t="n"/>
      <c r="U76" s="55" t="inlineStr">
        <is>
          <t>кг</t>
        </is>
      </c>
      <c r="V76" s="164" t="n">
        <v>0</v>
      </c>
      <c r="W76" s="165">
        <f>IFERROR(IF(V76="",0,CEILING((V76/$H76),1)*$H76),"")</f>
        <v/>
      </c>
      <c r="X76" s="58">
        <f>IFERROR(IF(W76=0,"",ROUNDUP(W76/H76,0)*0.00753),"")</f>
        <v/>
      </c>
      <c r="Y76" s="59" t="n"/>
      <c r="Z76" s="60" t="n"/>
      <c r="AA76" s="71" t="n"/>
      <c r="AD76" s="61" t="n"/>
      <c r="BA76" s="62" t="inlineStr">
        <is>
          <t>КИ</t>
        </is>
      </c>
    </row>
    <row r="77" ht="27" customHeight="1">
      <c r="A77" s="49" t="inlineStr">
        <is>
          <t>SU002733</t>
        </is>
      </c>
      <c r="B77" s="49" t="inlineStr">
        <is>
          <t>P003102</t>
        </is>
      </c>
      <c r="C77" s="50" t="n">
        <v>4301011417</v>
      </c>
      <c r="D77" s="107" t="n">
        <v>4680115880269</v>
      </c>
      <c r="E77" s="128" t="n"/>
      <c r="F77" s="162" t="n">
        <v>0.375</v>
      </c>
      <c r="G77" s="52" t="n">
        <v>10</v>
      </c>
      <c r="H77" s="162" t="n">
        <v>3.75</v>
      </c>
      <c r="I77" s="162" t="n">
        <v>3.99</v>
      </c>
      <c r="J77" s="52" t="n">
        <v>120</v>
      </c>
      <c r="K77" s="52" t="inlineStr">
        <is>
          <t>12</t>
        </is>
      </c>
      <c r="L77" s="53" t="inlineStr">
        <is>
          <t>СК3</t>
        </is>
      </c>
      <c r="M77" s="52" t="n">
        <v>50</v>
      </c>
      <c r="N77" s="1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63" t="n"/>
      <c r="P77" s="163" t="n"/>
      <c r="Q77" s="163" t="n"/>
      <c r="R77" s="128" t="n"/>
      <c r="S77" s="54" t="n"/>
      <c r="T77" s="54" t="n"/>
      <c r="U77" s="55" t="inlineStr">
        <is>
          <t>кг</t>
        </is>
      </c>
      <c r="V77" s="164" t="n">
        <v>0</v>
      </c>
      <c r="W77" s="165">
        <f>IFERROR(IF(V77="",0,CEILING((V77/$H77),1)*$H77),"")</f>
        <v/>
      </c>
      <c r="X77" s="58">
        <f>IFERROR(IF(W77=0,"",ROUNDUP(W77/H77,0)*0.00937),"")</f>
        <v/>
      </c>
      <c r="Y77" s="59" t="n"/>
      <c r="Z77" s="60" t="n"/>
      <c r="AA77" s="71" t="n"/>
      <c r="AD77" s="61" t="n"/>
      <c r="BA77" s="62" t="inlineStr">
        <is>
          <t>КИ</t>
        </is>
      </c>
    </row>
    <row r="78" ht="16.5" customHeight="1">
      <c r="A78" s="49" t="inlineStr">
        <is>
          <t>SU002734</t>
        </is>
      </c>
      <c r="B78" s="49" t="inlineStr">
        <is>
          <t>P003103</t>
        </is>
      </c>
      <c r="C78" s="50" t="n">
        <v>4301011415</v>
      </c>
      <c r="D78" s="107" t="n">
        <v>4680115880429</v>
      </c>
      <c r="E78" s="128" t="n"/>
      <c r="F78" s="162" t="n">
        <v>0.45</v>
      </c>
      <c r="G78" s="52" t="n">
        <v>10</v>
      </c>
      <c r="H78" s="162" t="n">
        <v>4.5</v>
      </c>
      <c r="I78" s="162" t="n">
        <v>4.74</v>
      </c>
      <c r="J78" s="52" t="n">
        <v>120</v>
      </c>
      <c r="K78" s="52" t="inlineStr">
        <is>
          <t>12</t>
        </is>
      </c>
      <c r="L78" s="53" t="inlineStr">
        <is>
          <t>СК3</t>
        </is>
      </c>
      <c r="M78" s="52" t="n">
        <v>50</v>
      </c>
      <c r="N78" s="1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63" t="n"/>
      <c r="P78" s="163" t="n"/>
      <c r="Q78" s="163" t="n"/>
      <c r="R78" s="128" t="n"/>
      <c r="S78" s="54" t="n"/>
      <c r="T78" s="54" t="n"/>
      <c r="U78" s="55" t="inlineStr">
        <is>
          <t>кг</t>
        </is>
      </c>
      <c r="V78" s="164" t="n">
        <v>9</v>
      </c>
      <c r="W78" s="165">
        <f>IFERROR(IF(V78="",0,CEILING((V78/$H78),1)*$H78),"")</f>
        <v/>
      </c>
      <c r="X78" s="58">
        <f>IFERROR(IF(W78=0,"",ROUNDUP(W78/H78,0)*0.00937),"")</f>
        <v/>
      </c>
      <c r="Y78" s="59" t="n"/>
      <c r="Z78" s="60" t="n"/>
      <c r="AA78" s="71" t="n"/>
      <c r="AD78" s="61" t="n"/>
      <c r="BA78" s="62" t="inlineStr">
        <is>
          <t>КИ</t>
        </is>
      </c>
    </row>
    <row r="79" ht="16.5" customHeight="1">
      <c r="A79" s="49" t="inlineStr">
        <is>
          <t>SU002827</t>
        </is>
      </c>
      <c r="B79" s="49" t="inlineStr">
        <is>
          <t>P003233</t>
        </is>
      </c>
      <c r="C79" s="50" t="n">
        <v>4301011462</v>
      </c>
      <c r="D79" s="107" t="n">
        <v>4680115881457</v>
      </c>
      <c r="E79" s="128" t="n"/>
      <c r="F79" s="162" t="n">
        <v>0.75</v>
      </c>
      <c r="G79" s="52" t="n">
        <v>6</v>
      </c>
      <c r="H79" s="162" t="n">
        <v>4.5</v>
      </c>
      <c r="I79" s="162" t="n">
        <v>4.74</v>
      </c>
      <c r="J79" s="52" t="n">
        <v>120</v>
      </c>
      <c r="K79" s="52" t="inlineStr">
        <is>
          <t>12</t>
        </is>
      </c>
      <c r="L79" s="53" t="inlineStr">
        <is>
          <t>СК3</t>
        </is>
      </c>
      <c r="M79" s="52" t="n">
        <v>50</v>
      </c>
      <c r="N79" s="1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63" t="n"/>
      <c r="P79" s="163" t="n"/>
      <c r="Q79" s="163" t="n"/>
      <c r="R79" s="128" t="n"/>
      <c r="S79" s="54" t="n"/>
      <c r="T79" s="54" t="n"/>
      <c r="U79" s="55" t="inlineStr">
        <is>
          <t>кг</t>
        </is>
      </c>
      <c r="V79" s="164" t="n">
        <v>0</v>
      </c>
      <c r="W79" s="165">
        <f>IFERROR(IF(V79="",0,CEILING((V79/$H79),1)*$H79),"")</f>
        <v/>
      </c>
      <c r="X79" s="58">
        <f>IFERROR(IF(W79=0,"",ROUNDUP(W79/H79,0)*0.00937),"")</f>
        <v/>
      </c>
      <c r="Y79" s="59" t="n"/>
      <c r="Z79" s="60" t="n"/>
      <c r="AA79" s="71" t="n"/>
      <c r="AD79" s="61" t="n"/>
      <c r="BA79" s="62" t="inlineStr">
        <is>
          <t>КИ</t>
        </is>
      </c>
    </row>
    <row r="80" ht="12.5" customHeight="1">
      <c r="A80" s="109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66" t="n"/>
      <c r="N80" s="110" t="inlineStr">
        <is>
          <t>Итого</t>
        </is>
      </c>
      <c r="O80" s="134" t="n"/>
      <c r="P80" s="134" t="n"/>
      <c r="Q80" s="134" t="n"/>
      <c r="R80" s="134" t="n"/>
      <c r="S80" s="134" t="n"/>
      <c r="T80" s="135" t="n"/>
      <c r="U80" s="63" t="inlineStr">
        <is>
          <t>кор</t>
        </is>
      </c>
      <c r="V80" s="1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16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16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168" t="n"/>
      <c r="Z80" s="168" t="n"/>
      <c r="AA80" s="71" t="n"/>
    </row>
    <row r="81" ht="12.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66" t="n"/>
      <c r="N81" s="110" t="inlineStr">
        <is>
          <t>Итого</t>
        </is>
      </c>
      <c r="O81" s="134" t="n"/>
      <c r="P81" s="134" t="n"/>
      <c r="Q81" s="134" t="n"/>
      <c r="R81" s="134" t="n"/>
      <c r="S81" s="134" t="n"/>
      <c r="T81" s="135" t="n"/>
      <c r="U81" s="63" t="inlineStr">
        <is>
          <t>кг</t>
        </is>
      </c>
      <c r="V81" s="167">
        <f>IFERROR(SUM(V63:V79),"0")</f>
        <v/>
      </c>
      <c r="W81" s="167">
        <f>IFERROR(SUM(W63:W79),"0")</f>
        <v/>
      </c>
      <c r="X81" s="63" t="n"/>
      <c r="Y81" s="168" t="n"/>
      <c r="Z81" s="168" t="n"/>
      <c r="AA81" s="71" t="n"/>
    </row>
    <row r="82" ht="14.25" customHeight="1">
      <c r="A82" s="106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06" t="n"/>
      <c r="Z82" s="106" t="n"/>
      <c r="AA82" s="71" t="n"/>
    </row>
    <row r="83" ht="27" customHeight="1">
      <c r="A83" s="49" t="inlineStr">
        <is>
          <t>SU002488</t>
        </is>
      </c>
      <c r="B83" s="49" t="inlineStr">
        <is>
          <t>P002800</t>
        </is>
      </c>
      <c r="C83" s="50" t="n">
        <v>4301020189</v>
      </c>
      <c r="D83" s="107" t="n">
        <v>4607091384789</v>
      </c>
      <c r="E83" s="128" t="n"/>
      <c r="F83" s="162" t="n">
        <v>1</v>
      </c>
      <c r="G83" s="52" t="n">
        <v>6</v>
      </c>
      <c r="H83" s="162" t="n">
        <v>6</v>
      </c>
      <c r="I83" s="162" t="n">
        <v>6.36</v>
      </c>
      <c r="J83" s="52" t="n">
        <v>104</v>
      </c>
      <c r="K83" s="52" t="inlineStr">
        <is>
          <t>8</t>
        </is>
      </c>
      <c r="L83" s="53" t="inlineStr">
        <is>
          <t>СК1</t>
        </is>
      </c>
      <c r="M83" s="52" t="n">
        <v>45</v>
      </c>
      <c r="N83" s="115" t="inlineStr">
        <is>
          <t>Ветчины Запекуша с сочным окороком Вязанка Весовые П/а Вязанка</t>
        </is>
      </c>
      <c r="O83" s="163" t="n"/>
      <c r="P83" s="163" t="n"/>
      <c r="Q83" s="163" t="n"/>
      <c r="R83" s="128" t="n"/>
      <c r="S83" s="54" t="n"/>
      <c r="T83" s="54" t="n"/>
      <c r="U83" s="55" t="inlineStr">
        <is>
          <t>кг</t>
        </is>
      </c>
      <c r="V83" s="164" t="n">
        <v>0</v>
      </c>
      <c r="W83" s="165">
        <f>IFERROR(IF(V83="",0,CEILING((V83/$H83),1)*$H83),"")</f>
        <v/>
      </c>
      <c r="X83" s="58">
        <f>IFERROR(IF(W83=0,"",ROUNDUP(W83/H83,0)*0.01196),"")</f>
        <v/>
      </c>
      <c r="Y83" s="59" t="n"/>
      <c r="Z83" s="60" t="n"/>
      <c r="AA83" s="71" t="n"/>
      <c r="AD83" s="61" t="n"/>
      <c r="BA83" s="62" t="inlineStr">
        <is>
          <t>КИ</t>
        </is>
      </c>
    </row>
    <row r="84" ht="16.5" customHeight="1">
      <c r="A84" s="49" t="inlineStr">
        <is>
          <t>SU002833</t>
        </is>
      </c>
      <c r="B84" s="49" t="inlineStr">
        <is>
          <t>P003236</t>
        </is>
      </c>
      <c r="C84" s="50" t="n">
        <v>4301020235</v>
      </c>
      <c r="D84" s="107" t="n">
        <v>4680115881488</v>
      </c>
      <c r="E84" s="128" t="n"/>
      <c r="F84" s="162" t="n">
        <v>1.35</v>
      </c>
      <c r="G84" s="52" t="n">
        <v>8</v>
      </c>
      <c r="H84" s="162" t="n">
        <v>10.8</v>
      </c>
      <c r="I84" s="162" t="n">
        <v>11.28</v>
      </c>
      <c r="J84" s="52" t="n">
        <v>48</v>
      </c>
      <c r="K84" s="52" t="inlineStr">
        <is>
          <t>8</t>
        </is>
      </c>
      <c r="L84" s="53" t="inlineStr">
        <is>
          <t>СК1</t>
        </is>
      </c>
      <c r="M84" s="52" t="n">
        <v>50</v>
      </c>
      <c r="N84" s="108">
        <f>HYPERLINK("https://abi.ru/products/Охлажденные/Вязанка/Вязанка/Ветчины/P003236/","Ветчины Сливушка с индейкой Вязанка вес П/а Вязанка")</f>
        <v/>
      </c>
      <c r="O84" s="163" t="n"/>
      <c r="P84" s="163" t="n"/>
      <c r="Q84" s="163" t="n"/>
      <c r="R84" s="128" t="n"/>
      <c r="S84" s="54" t="n"/>
      <c r="T84" s="54" t="n"/>
      <c r="U84" s="55" t="inlineStr">
        <is>
          <t>кг</t>
        </is>
      </c>
      <c r="V84" s="164" t="n">
        <v>0</v>
      </c>
      <c r="W84" s="165">
        <f>IFERROR(IF(V84="",0,CEILING((V84/$H84),1)*$H84),"")</f>
        <v/>
      </c>
      <c r="X84" s="58">
        <f>IFERROR(IF(W84=0,"",ROUNDUP(W84/H84,0)*0.02175),"")</f>
        <v/>
      </c>
      <c r="Y84" s="59" t="n"/>
      <c r="Z84" s="60" t="n"/>
      <c r="AA84" s="71" t="n"/>
      <c r="AD84" s="61" t="n"/>
      <c r="BA84" s="62" t="inlineStr">
        <is>
          <t>КИ</t>
        </is>
      </c>
    </row>
    <row r="85" ht="27" customHeight="1">
      <c r="A85" s="49" t="inlineStr">
        <is>
          <t>SU002313</t>
        </is>
      </c>
      <c r="B85" s="49" t="inlineStr">
        <is>
          <t>P002583</t>
        </is>
      </c>
      <c r="C85" s="50" t="n">
        <v>4301020183</v>
      </c>
      <c r="D85" s="107" t="n">
        <v>4607091384765</v>
      </c>
      <c r="E85" s="128" t="n"/>
      <c r="F85" s="162" t="n">
        <v>0.42</v>
      </c>
      <c r="G85" s="52" t="n">
        <v>6</v>
      </c>
      <c r="H85" s="162" t="n">
        <v>2.52</v>
      </c>
      <c r="I85" s="162" t="n">
        <v>2.72</v>
      </c>
      <c r="J85" s="52" t="n">
        <v>156</v>
      </c>
      <c r="K85" s="52" t="inlineStr">
        <is>
          <t>12</t>
        </is>
      </c>
      <c r="L85" s="53" t="inlineStr">
        <is>
          <t>СК1</t>
        </is>
      </c>
      <c r="M85" s="52" t="n">
        <v>45</v>
      </c>
      <c r="N85" s="115" t="inlineStr">
        <is>
          <t>Ветчины Запекуша с сочным окороком Вязанка Фикс.вес 0,42 п/а Вязанка</t>
        </is>
      </c>
      <c r="O85" s="163" t="n"/>
      <c r="P85" s="163" t="n"/>
      <c r="Q85" s="163" t="n"/>
      <c r="R85" s="128" t="n"/>
      <c r="S85" s="54" t="n"/>
      <c r="T85" s="54" t="n"/>
      <c r="U85" s="55" t="inlineStr">
        <is>
          <t>кг</t>
        </is>
      </c>
      <c r="V85" s="164" t="n">
        <v>0</v>
      </c>
      <c r="W85" s="165">
        <f>IFERROR(IF(V85="",0,CEILING((V85/$H85),1)*$H85),"")</f>
        <v/>
      </c>
      <c r="X85" s="58">
        <f>IFERROR(IF(W85=0,"",ROUNDUP(W85/H85,0)*0.00753),"")</f>
        <v/>
      </c>
      <c r="Y85" s="59" t="n"/>
      <c r="Z85" s="60" t="n"/>
      <c r="AA85" s="71" t="n"/>
      <c r="AD85" s="61" t="n"/>
      <c r="BA85" s="62" t="inlineStr">
        <is>
          <t>КИ</t>
        </is>
      </c>
    </row>
    <row r="86" ht="27" customHeight="1">
      <c r="A86" s="49" t="inlineStr">
        <is>
          <t>SU002786</t>
        </is>
      </c>
      <c r="B86" s="49" t="inlineStr">
        <is>
          <t>P003188</t>
        </is>
      </c>
      <c r="C86" s="50" t="n">
        <v>4301020228</v>
      </c>
      <c r="D86" s="107" t="n">
        <v>4680115882751</v>
      </c>
      <c r="E86" s="128" t="n"/>
      <c r="F86" s="162" t="n">
        <v>0.45</v>
      </c>
      <c r="G86" s="52" t="n">
        <v>10</v>
      </c>
      <c r="H86" s="162" t="n">
        <v>4.5</v>
      </c>
      <c r="I86" s="162" t="n">
        <v>4.74</v>
      </c>
      <c r="J86" s="52" t="n">
        <v>120</v>
      </c>
      <c r="K86" s="52" t="inlineStr">
        <is>
          <t>12</t>
        </is>
      </c>
      <c r="L86" s="53" t="inlineStr">
        <is>
          <t>СК1</t>
        </is>
      </c>
      <c r="M86" s="52" t="n">
        <v>90</v>
      </c>
      <c r="N86" s="115" t="inlineStr">
        <is>
          <t>Ветчины «Филейская #Живой_пар» ф/в 0,45 п/а ТМ «Вязанка»</t>
        </is>
      </c>
      <c r="O86" s="163" t="n"/>
      <c r="P86" s="163" t="n"/>
      <c r="Q86" s="163" t="n"/>
      <c r="R86" s="128" t="n"/>
      <c r="S86" s="54" t="n"/>
      <c r="T86" s="54" t="n"/>
      <c r="U86" s="55" t="inlineStr">
        <is>
          <t>кг</t>
        </is>
      </c>
      <c r="V86" s="164" t="n">
        <v>0</v>
      </c>
      <c r="W86" s="165">
        <f>IFERROR(IF(V86="",0,CEILING((V86/$H86),1)*$H86),"")</f>
        <v/>
      </c>
      <c r="X86" s="58">
        <f>IFERROR(IF(W86=0,"",ROUNDUP(W86/H86,0)*0.00937),"")</f>
        <v/>
      </c>
      <c r="Y86" s="59" t="n"/>
      <c r="Z86" s="60" t="n"/>
      <c r="AA86" s="71" t="n"/>
      <c r="AD86" s="61" t="n"/>
      <c r="BA86" s="62" t="inlineStr">
        <is>
          <t>КИ</t>
        </is>
      </c>
    </row>
    <row r="87" ht="27" customHeight="1">
      <c r="A87" s="49" t="inlineStr">
        <is>
          <t>SU003037</t>
        </is>
      </c>
      <c r="B87" s="49" t="inlineStr">
        <is>
          <t>P003575</t>
        </is>
      </c>
      <c r="C87" s="50" t="n">
        <v>4301020258</v>
      </c>
      <c r="D87" s="107" t="n">
        <v>4680115882775</v>
      </c>
      <c r="E87" s="128" t="n"/>
      <c r="F87" s="162" t="n">
        <v>0.3</v>
      </c>
      <c r="G87" s="52" t="n">
        <v>8</v>
      </c>
      <c r="H87" s="162" t="n">
        <v>2.4</v>
      </c>
      <c r="I87" s="162" t="n">
        <v>2.5</v>
      </c>
      <c r="J87" s="52" t="n">
        <v>234</v>
      </c>
      <c r="K87" s="52" t="inlineStr">
        <is>
          <t>18</t>
        </is>
      </c>
      <c r="L87" s="53" t="inlineStr">
        <is>
          <t>СК3</t>
        </is>
      </c>
      <c r="M87" s="52" t="n">
        <v>50</v>
      </c>
      <c r="N87" s="115" t="inlineStr">
        <is>
          <t>Ветчины «Сливушка с индейкой» Фикс.вес 0,3 П/а ТМ «Вязанка»</t>
        </is>
      </c>
      <c r="O87" s="163" t="n"/>
      <c r="P87" s="163" t="n"/>
      <c r="Q87" s="163" t="n"/>
      <c r="R87" s="128" t="n"/>
      <c r="S87" s="54" t="n"/>
      <c r="T87" s="54" t="n"/>
      <c r="U87" s="55" t="inlineStr">
        <is>
          <t>кг</t>
        </is>
      </c>
      <c r="V87" s="164" t="n">
        <v>0</v>
      </c>
      <c r="W87" s="165">
        <f>IFERROR(IF(V87="",0,CEILING((V87/$H87),1)*$H87),"")</f>
        <v/>
      </c>
      <c r="X87" s="58">
        <f>IFERROR(IF(W87=0,"",ROUNDUP(W87/H87,0)*0.00502),"")</f>
        <v/>
      </c>
      <c r="Y87" s="59" t="n"/>
      <c r="Z87" s="60" t="n"/>
      <c r="AA87" s="71" t="n"/>
      <c r="AD87" s="61" t="n"/>
      <c r="BA87" s="62" t="inlineStr">
        <is>
          <t>КИ</t>
        </is>
      </c>
    </row>
    <row r="88" ht="27" customHeight="1">
      <c r="A88" s="49" t="inlineStr">
        <is>
          <t>SU002735</t>
        </is>
      </c>
      <c r="B88" s="49" t="inlineStr">
        <is>
          <t>P003107</t>
        </is>
      </c>
      <c r="C88" s="50" t="n">
        <v>4301020217</v>
      </c>
      <c r="D88" s="107" t="n">
        <v>4680115880658</v>
      </c>
      <c r="E88" s="128" t="n"/>
      <c r="F88" s="162" t="n">
        <v>0.4</v>
      </c>
      <c r="G88" s="52" t="n">
        <v>6</v>
      </c>
      <c r="H88" s="162" t="n">
        <v>2.4</v>
      </c>
      <c r="I88" s="162" t="n">
        <v>2.6</v>
      </c>
      <c r="J88" s="52" t="n">
        <v>156</v>
      </c>
      <c r="K88" s="52" t="inlineStr">
        <is>
          <t>12</t>
        </is>
      </c>
      <c r="L88" s="53" t="inlineStr">
        <is>
          <t>СК1</t>
        </is>
      </c>
      <c r="M88" s="52" t="n">
        <v>50</v>
      </c>
      <c r="N88" s="1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63" t="n"/>
      <c r="P88" s="163" t="n"/>
      <c r="Q88" s="163" t="n"/>
      <c r="R88" s="128" t="n"/>
      <c r="S88" s="54" t="n"/>
      <c r="T88" s="54" t="n"/>
      <c r="U88" s="55" t="inlineStr">
        <is>
          <t>кг</t>
        </is>
      </c>
      <c r="V88" s="164" t="n">
        <v>14.4</v>
      </c>
      <c r="W88" s="165">
        <f>IFERROR(IF(V88="",0,CEILING((V88/$H88),1)*$H88),"")</f>
        <v/>
      </c>
      <c r="X88" s="58">
        <f>IFERROR(IF(W88=0,"",ROUNDUP(W88/H88,0)*0.00753),"")</f>
        <v/>
      </c>
      <c r="Y88" s="59" t="n"/>
      <c r="Z88" s="60" t="n"/>
      <c r="AA88" s="71" t="n"/>
      <c r="AD88" s="61" t="n"/>
      <c r="BA88" s="62" t="inlineStr">
        <is>
          <t>КИ</t>
        </is>
      </c>
    </row>
    <row r="89" ht="27" customHeight="1">
      <c r="A89" s="49" t="inlineStr">
        <is>
          <t>SU000082</t>
        </is>
      </c>
      <c r="B89" s="49" t="inlineStr">
        <is>
          <t>P003164</t>
        </is>
      </c>
      <c r="C89" s="50" t="n">
        <v>4301020223</v>
      </c>
      <c r="D89" s="107" t="n">
        <v>4607091381962</v>
      </c>
      <c r="E89" s="128" t="n"/>
      <c r="F89" s="162" t="n">
        <v>0.5</v>
      </c>
      <c r="G89" s="52" t="n">
        <v>6</v>
      </c>
      <c r="H89" s="162" t="n">
        <v>3</v>
      </c>
      <c r="I89" s="162" t="n">
        <v>3.2</v>
      </c>
      <c r="J89" s="52" t="n">
        <v>156</v>
      </c>
      <c r="K89" s="52" t="inlineStr">
        <is>
          <t>12</t>
        </is>
      </c>
      <c r="L89" s="53" t="inlineStr">
        <is>
          <t>СК1</t>
        </is>
      </c>
      <c r="M89" s="52" t="n">
        <v>50</v>
      </c>
      <c r="N89" s="108">
        <f>HYPERLINK("https://abi.ru/products/Охлажденные/Вязанка/Вязанка/Ветчины/P003164/","Ветчины Столичная Вязанка Фикс.вес 0,5 Вектор Вязанка")</f>
        <v/>
      </c>
      <c r="O89" s="163" t="n"/>
      <c r="P89" s="163" t="n"/>
      <c r="Q89" s="163" t="n"/>
      <c r="R89" s="128" t="n"/>
      <c r="S89" s="54" t="n"/>
      <c r="T89" s="54" t="n"/>
      <c r="U89" s="55" t="inlineStr">
        <is>
          <t>кг</t>
        </is>
      </c>
      <c r="V89" s="164" t="n">
        <v>0</v>
      </c>
      <c r="W89" s="165">
        <f>IFERROR(IF(V89="",0,CEILING((V89/$H89),1)*$H89),"")</f>
        <v/>
      </c>
      <c r="X89" s="58">
        <f>IFERROR(IF(W89=0,"",ROUNDUP(W89/H89,0)*0.00753),"")</f>
        <v/>
      </c>
      <c r="Y89" s="59" t="n"/>
      <c r="Z89" s="60" t="n"/>
      <c r="AA89" s="71" t="n"/>
      <c r="AD89" s="61" t="n"/>
      <c r="BA89" s="62" t="inlineStr">
        <is>
          <t>КИ</t>
        </is>
      </c>
    </row>
    <row r="90" ht="12.5" customHeight="1">
      <c r="A90" s="109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66" t="n"/>
      <c r="N90" s="110" t="inlineStr">
        <is>
          <t>Итого</t>
        </is>
      </c>
      <c r="O90" s="134" t="n"/>
      <c r="P90" s="134" t="n"/>
      <c r="Q90" s="134" t="n"/>
      <c r="R90" s="134" t="n"/>
      <c r="S90" s="134" t="n"/>
      <c r="T90" s="135" t="n"/>
      <c r="U90" s="63" t="inlineStr">
        <is>
          <t>кор</t>
        </is>
      </c>
      <c r="V90" s="167">
        <f>IFERROR(V83/H83,"0")+IFERROR(V84/H84,"0")+IFERROR(V85/H85,"0")+IFERROR(V86/H86,"0")+IFERROR(V87/H87,"0")+IFERROR(V88/H88,"0")+IFERROR(V89/H89,"0")</f>
        <v/>
      </c>
      <c r="W90" s="167">
        <f>IFERROR(W83/H83,"0")+IFERROR(W84/H84,"0")+IFERROR(W85/H85,"0")+IFERROR(W86/H86,"0")+IFERROR(W87/H87,"0")+IFERROR(W88/H88,"0")+IFERROR(W89/H89,"0")</f>
        <v/>
      </c>
      <c r="X90" s="167">
        <f>IFERROR(IF(X83="",0,X83),"0")+IFERROR(IF(X84="",0,X84),"0")+IFERROR(IF(X85="",0,X85),"0")+IFERROR(IF(X86="",0,X86),"0")+IFERROR(IF(X87="",0,X87),"0")+IFERROR(IF(X88="",0,X88),"0")+IFERROR(IF(X89="",0,X89),"0")</f>
        <v/>
      </c>
      <c r="Y90" s="168" t="n"/>
      <c r="Z90" s="168" t="n"/>
      <c r="AA90" s="71" t="n"/>
    </row>
    <row r="91" ht="12.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66" t="n"/>
      <c r="N91" s="110" t="inlineStr">
        <is>
          <t>Итого</t>
        </is>
      </c>
      <c r="O91" s="134" t="n"/>
      <c r="P91" s="134" t="n"/>
      <c r="Q91" s="134" t="n"/>
      <c r="R91" s="134" t="n"/>
      <c r="S91" s="134" t="n"/>
      <c r="T91" s="135" t="n"/>
      <c r="U91" s="63" t="inlineStr">
        <is>
          <t>кг</t>
        </is>
      </c>
      <c r="V91" s="167">
        <f>IFERROR(SUM(V83:V89),"0")</f>
        <v/>
      </c>
      <c r="W91" s="167">
        <f>IFERROR(SUM(W83:W89),"0")</f>
        <v/>
      </c>
      <c r="X91" s="63" t="n"/>
      <c r="Y91" s="168" t="n"/>
      <c r="Z91" s="168" t="n"/>
      <c r="AA91" s="71" t="n"/>
    </row>
    <row r="92" ht="14.25" customHeight="1">
      <c r="A92" s="106" t="inlineStr">
        <is>
          <t>Копченые колбасы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06" t="n"/>
      <c r="Z92" s="106" t="n"/>
      <c r="AA92" s="71" t="n"/>
    </row>
    <row r="93" ht="16.5" customHeight="1">
      <c r="A93" s="49" t="inlineStr">
        <is>
          <t>SU000064</t>
        </is>
      </c>
      <c r="B93" s="49" t="inlineStr">
        <is>
          <t>P001841</t>
        </is>
      </c>
      <c r="C93" s="50" t="n">
        <v>4301030895</v>
      </c>
      <c r="D93" s="107" t="n">
        <v>4607091387667</v>
      </c>
      <c r="E93" s="128" t="n"/>
      <c r="F93" s="162" t="n">
        <v>0.9</v>
      </c>
      <c r="G93" s="52" t="n">
        <v>10</v>
      </c>
      <c r="H93" s="162" t="n">
        <v>9</v>
      </c>
      <c r="I93" s="162" t="n">
        <v>9.630000000000001</v>
      </c>
      <c r="J93" s="52" t="n">
        <v>56</v>
      </c>
      <c r="K93" s="52" t="inlineStr">
        <is>
          <t>8</t>
        </is>
      </c>
      <c r="L93" s="53" t="inlineStr">
        <is>
          <t>СК1</t>
        </is>
      </c>
      <c r="M93" s="52" t="n">
        <v>40</v>
      </c>
      <c r="N93" s="10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63" t="n"/>
      <c r="P93" s="163" t="n"/>
      <c r="Q93" s="163" t="n"/>
      <c r="R93" s="128" t="n"/>
      <c r="S93" s="54" t="n"/>
      <c r="T93" s="54" t="n"/>
      <c r="U93" s="55" t="inlineStr">
        <is>
          <t>кг</t>
        </is>
      </c>
      <c r="V93" s="164" t="n">
        <v>0</v>
      </c>
      <c r="W93" s="165">
        <f>IFERROR(IF(V93="",0,CEILING((V93/$H93),1)*$H93),"")</f>
        <v/>
      </c>
      <c r="X93" s="58">
        <f>IFERROR(IF(W93=0,"",ROUNDUP(W93/H93,0)*0.02175),"")</f>
        <v/>
      </c>
      <c r="Y93" s="59" t="n"/>
      <c r="Z93" s="60" t="n"/>
      <c r="AA93" s="71" t="n"/>
      <c r="AD93" s="61" t="n"/>
      <c r="BA93" s="62" t="inlineStr">
        <is>
          <t>КИ</t>
        </is>
      </c>
    </row>
    <row r="94" ht="27" customHeight="1">
      <c r="A94" s="49" t="inlineStr">
        <is>
          <t>SU000664</t>
        </is>
      </c>
      <c r="B94" s="49" t="inlineStr">
        <is>
          <t>P002177</t>
        </is>
      </c>
      <c r="C94" s="50" t="n">
        <v>4301030961</v>
      </c>
      <c r="D94" s="107" t="n">
        <v>4607091387636</v>
      </c>
      <c r="E94" s="128" t="n"/>
      <c r="F94" s="162" t="n">
        <v>0.7</v>
      </c>
      <c r="G94" s="52" t="n">
        <v>6</v>
      </c>
      <c r="H94" s="162" t="n">
        <v>4.2</v>
      </c>
      <c r="I94" s="162" t="n">
        <v>4.5</v>
      </c>
      <c r="J94" s="52" t="n">
        <v>120</v>
      </c>
      <c r="K94" s="52" t="inlineStr">
        <is>
          <t>12</t>
        </is>
      </c>
      <c r="L94" s="53" t="inlineStr">
        <is>
          <t>СК2</t>
        </is>
      </c>
      <c r="M94" s="52" t="n">
        <v>40</v>
      </c>
      <c r="N94" s="1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63" t="n"/>
      <c r="P94" s="163" t="n"/>
      <c r="Q94" s="163" t="n"/>
      <c r="R94" s="128" t="n"/>
      <c r="S94" s="54" t="n"/>
      <c r="T94" s="54" t="n"/>
      <c r="U94" s="55" t="inlineStr">
        <is>
          <t>кг</t>
        </is>
      </c>
      <c r="V94" s="164" t="n">
        <v>0</v>
      </c>
      <c r="W94" s="165">
        <f>IFERROR(IF(V94="",0,CEILING((V94/$H94),1)*$H94),"")</f>
        <v/>
      </c>
      <c r="X94" s="58">
        <f>IFERROR(IF(W94=0,"",ROUNDUP(W94/H94,0)*0.00937),"")</f>
        <v/>
      </c>
      <c r="Y94" s="59" t="n"/>
      <c r="Z94" s="60" t="n"/>
      <c r="AA94" s="71" t="n"/>
      <c r="AD94" s="61" t="n"/>
      <c r="BA94" s="62" t="inlineStr">
        <is>
          <t>КИ</t>
        </is>
      </c>
    </row>
    <row r="95" ht="27" customHeight="1">
      <c r="A95" s="49" t="inlineStr">
        <is>
          <t>SU002308</t>
        </is>
      </c>
      <c r="B95" s="49" t="inlineStr">
        <is>
          <t>P002572</t>
        </is>
      </c>
      <c r="C95" s="50" t="n">
        <v>4301031078</v>
      </c>
      <c r="D95" s="107" t="n">
        <v>4607091384727</v>
      </c>
      <c r="E95" s="128" t="n"/>
      <c r="F95" s="162" t="n">
        <v>0.8</v>
      </c>
      <c r="G95" s="52" t="n">
        <v>6</v>
      </c>
      <c r="H95" s="162" t="n">
        <v>4.8</v>
      </c>
      <c r="I95" s="162" t="n">
        <v>5.16</v>
      </c>
      <c r="J95" s="52" t="n">
        <v>104</v>
      </c>
      <c r="K95" s="52" t="inlineStr">
        <is>
          <t>8</t>
        </is>
      </c>
      <c r="L95" s="53" t="inlineStr">
        <is>
          <t>СК2</t>
        </is>
      </c>
      <c r="M95" s="52" t="n">
        <v>45</v>
      </c>
      <c r="N95" s="10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63" t="n"/>
      <c r="P95" s="163" t="n"/>
      <c r="Q95" s="163" t="n"/>
      <c r="R95" s="128" t="n"/>
      <c r="S95" s="54" t="n"/>
      <c r="T95" s="54" t="n"/>
      <c r="U95" s="55" t="inlineStr">
        <is>
          <t>кг</t>
        </is>
      </c>
      <c r="V95" s="164" t="n">
        <v>0</v>
      </c>
      <c r="W95" s="165">
        <f>IFERROR(IF(V95="",0,CEILING((V95/$H95),1)*$H95),"")</f>
        <v/>
      </c>
      <c r="X95" s="58">
        <f>IFERROR(IF(W95=0,"",ROUNDUP(W95/H95,0)*0.01196),"")</f>
        <v/>
      </c>
      <c r="Y95" s="59" t="n"/>
      <c r="Z95" s="60" t="n"/>
      <c r="AA95" s="71" t="n"/>
      <c r="AD95" s="61" t="n"/>
      <c r="BA95" s="62" t="inlineStr">
        <is>
          <t>КИ</t>
        </is>
      </c>
    </row>
    <row r="96" ht="27" customHeight="1">
      <c r="A96" s="49" t="inlineStr">
        <is>
          <t>SU002310</t>
        </is>
      </c>
      <c r="B96" s="49" t="inlineStr">
        <is>
          <t>P002574</t>
        </is>
      </c>
      <c r="C96" s="50" t="n">
        <v>4301031080</v>
      </c>
      <c r="D96" s="107" t="n">
        <v>4607091386745</v>
      </c>
      <c r="E96" s="128" t="n"/>
      <c r="F96" s="162" t="n">
        <v>0.8</v>
      </c>
      <c r="G96" s="52" t="n">
        <v>6</v>
      </c>
      <c r="H96" s="162" t="n">
        <v>4.8</v>
      </c>
      <c r="I96" s="162" t="n">
        <v>5.16</v>
      </c>
      <c r="J96" s="52" t="n">
        <v>104</v>
      </c>
      <c r="K96" s="52" t="inlineStr">
        <is>
          <t>8</t>
        </is>
      </c>
      <c r="L96" s="53" t="inlineStr">
        <is>
          <t>СК2</t>
        </is>
      </c>
      <c r="M96" s="52" t="n">
        <v>45</v>
      </c>
      <c r="N96" s="10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63" t="n"/>
      <c r="P96" s="163" t="n"/>
      <c r="Q96" s="163" t="n"/>
      <c r="R96" s="128" t="n"/>
      <c r="S96" s="54" t="n"/>
      <c r="T96" s="54" t="n"/>
      <c r="U96" s="55" t="inlineStr">
        <is>
          <t>кг</t>
        </is>
      </c>
      <c r="V96" s="164" t="n">
        <v>0</v>
      </c>
      <c r="W96" s="165">
        <f>IFERROR(IF(V96="",0,CEILING((V96/$H96),1)*$H96),"")</f>
        <v/>
      </c>
      <c r="X96" s="58">
        <f>IFERROR(IF(W96=0,"",ROUNDUP(W96/H96,0)*0.01196),"")</f>
        <v/>
      </c>
      <c r="Y96" s="59" t="n"/>
      <c r="Z96" s="60" t="n"/>
      <c r="AA96" s="71" t="n"/>
      <c r="AD96" s="61" t="n"/>
      <c r="BA96" s="62" t="inlineStr">
        <is>
          <t>КИ</t>
        </is>
      </c>
    </row>
    <row r="97" ht="16.5" customHeight="1">
      <c r="A97" s="49" t="inlineStr">
        <is>
          <t>SU000097</t>
        </is>
      </c>
      <c r="B97" s="49" t="inlineStr">
        <is>
          <t>P002179</t>
        </is>
      </c>
      <c r="C97" s="50" t="n">
        <v>4301030963</v>
      </c>
      <c r="D97" s="107" t="n">
        <v>4607091382426</v>
      </c>
      <c r="E97" s="128" t="n"/>
      <c r="F97" s="162" t="n">
        <v>0.9</v>
      </c>
      <c r="G97" s="52" t="n">
        <v>10</v>
      </c>
      <c r="H97" s="162" t="n">
        <v>9</v>
      </c>
      <c r="I97" s="162" t="n">
        <v>9.630000000000001</v>
      </c>
      <c r="J97" s="52" t="n">
        <v>56</v>
      </c>
      <c r="K97" s="52" t="inlineStr">
        <is>
          <t>8</t>
        </is>
      </c>
      <c r="L97" s="53" t="inlineStr">
        <is>
          <t>СК2</t>
        </is>
      </c>
      <c r="M97" s="52" t="n">
        <v>40</v>
      </c>
      <c r="N97" s="1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63" t="n"/>
      <c r="P97" s="163" t="n"/>
      <c r="Q97" s="163" t="n"/>
      <c r="R97" s="128" t="n"/>
      <c r="S97" s="54" t="n"/>
      <c r="T97" s="54" t="n"/>
      <c r="U97" s="55" t="inlineStr">
        <is>
          <t>кг</t>
        </is>
      </c>
      <c r="V97" s="164" t="n">
        <v>0</v>
      </c>
      <c r="W97" s="165">
        <f>IFERROR(IF(V97="",0,CEILING((V97/$H97),1)*$H97),"")</f>
        <v/>
      </c>
      <c r="X97" s="58">
        <f>IFERROR(IF(W97=0,"",ROUNDUP(W97/H97,0)*0.02175),"")</f>
        <v/>
      </c>
      <c r="Y97" s="59" t="n"/>
      <c r="Z97" s="60" t="n"/>
      <c r="AA97" s="71" t="n"/>
      <c r="AD97" s="61" t="n"/>
      <c r="BA97" s="62" t="inlineStr">
        <is>
          <t>КИ</t>
        </is>
      </c>
    </row>
    <row r="98" ht="27" customHeight="1">
      <c r="A98" s="49" t="inlineStr">
        <is>
          <t>SU000665</t>
        </is>
      </c>
      <c r="B98" s="49" t="inlineStr">
        <is>
          <t>P002178</t>
        </is>
      </c>
      <c r="C98" s="50" t="n">
        <v>4301030962</v>
      </c>
      <c r="D98" s="107" t="n">
        <v>4607091386547</v>
      </c>
      <c r="E98" s="128" t="n"/>
      <c r="F98" s="162" t="n">
        <v>0.35</v>
      </c>
      <c r="G98" s="52" t="n">
        <v>8</v>
      </c>
      <c r="H98" s="162" t="n">
        <v>2.8</v>
      </c>
      <c r="I98" s="162" t="n">
        <v>2.94</v>
      </c>
      <c r="J98" s="52" t="n">
        <v>234</v>
      </c>
      <c r="K98" s="52" t="inlineStr">
        <is>
          <t>18</t>
        </is>
      </c>
      <c r="L98" s="53" t="inlineStr">
        <is>
          <t>СК2</t>
        </is>
      </c>
      <c r="M98" s="52" t="n">
        <v>40</v>
      </c>
      <c r="N98" s="10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63" t="n"/>
      <c r="P98" s="163" t="n"/>
      <c r="Q98" s="163" t="n"/>
      <c r="R98" s="128" t="n"/>
      <c r="S98" s="54" t="n"/>
      <c r="T98" s="54" t="n"/>
      <c r="U98" s="55" t="inlineStr">
        <is>
          <t>кг</t>
        </is>
      </c>
      <c r="V98" s="164" t="n">
        <v>0</v>
      </c>
      <c r="W98" s="165">
        <f>IFERROR(IF(V98="",0,CEILING((V98/$H98),1)*$H98),"")</f>
        <v/>
      </c>
      <c r="X98" s="58">
        <f>IFERROR(IF(W98=0,"",ROUNDUP(W98/H98,0)*0.00502),"")</f>
        <v/>
      </c>
      <c r="Y98" s="59" t="n"/>
      <c r="Z98" s="60" t="n"/>
      <c r="AA98" s="71" t="n"/>
      <c r="AD98" s="61" t="n"/>
      <c r="BA98" s="62" t="inlineStr">
        <is>
          <t>КИ</t>
        </is>
      </c>
    </row>
    <row r="99" ht="27" customHeight="1">
      <c r="A99" s="49" t="inlineStr">
        <is>
          <t>SU002309</t>
        </is>
      </c>
      <c r="B99" s="49" t="inlineStr">
        <is>
          <t>P002573</t>
        </is>
      </c>
      <c r="C99" s="50" t="n">
        <v>4301031079</v>
      </c>
      <c r="D99" s="107" t="n">
        <v>4607091384734</v>
      </c>
      <c r="E99" s="128" t="n"/>
      <c r="F99" s="162" t="n">
        <v>0.35</v>
      </c>
      <c r="G99" s="52" t="n">
        <v>6</v>
      </c>
      <c r="H99" s="162" t="n">
        <v>2.1</v>
      </c>
      <c r="I99" s="162" t="n">
        <v>2.2</v>
      </c>
      <c r="J99" s="52" t="n">
        <v>234</v>
      </c>
      <c r="K99" s="52" t="inlineStr">
        <is>
          <t>18</t>
        </is>
      </c>
      <c r="L99" s="53" t="inlineStr">
        <is>
          <t>СК2</t>
        </is>
      </c>
      <c r="M99" s="52" t="n">
        <v>45</v>
      </c>
      <c r="N99" s="10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63" t="n"/>
      <c r="P99" s="163" t="n"/>
      <c r="Q99" s="163" t="n"/>
      <c r="R99" s="128" t="n"/>
      <c r="S99" s="54" t="n"/>
      <c r="T99" s="54" t="n"/>
      <c r="U99" s="55" t="inlineStr">
        <is>
          <t>кг</t>
        </is>
      </c>
      <c r="V99" s="164" t="n">
        <v>0</v>
      </c>
      <c r="W99" s="165">
        <f>IFERROR(IF(V99="",0,CEILING((V99/$H99),1)*$H99),"")</f>
        <v/>
      </c>
      <c r="X99" s="58">
        <f>IFERROR(IF(W99=0,"",ROUNDUP(W99/H99,0)*0.00502),"")</f>
        <v/>
      </c>
      <c r="Y99" s="59" t="n"/>
      <c r="Z99" s="60" t="n"/>
      <c r="AA99" s="71" t="n"/>
      <c r="AD99" s="61" t="n"/>
      <c r="BA99" s="62" t="inlineStr">
        <is>
          <t>КИ</t>
        </is>
      </c>
    </row>
    <row r="100" ht="27" customHeight="1">
      <c r="A100" s="49" t="inlineStr">
        <is>
          <t>SU001605</t>
        </is>
      </c>
      <c r="B100" s="49" t="inlineStr">
        <is>
          <t>P002180</t>
        </is>
      </c>
      <c r="C100" s="50" t="n">
        <v>4301030964</v>
      </c>
      <c r="D100" s="107" t="n">
        <v>4607091382464</v>
      </c>
      <c r="E100" s="128" t="n"/>
      <c r="F100" s="162" t="n">
        <v>0.35</v>
      </c>
      <c r="G100" s="52" t="n">
        <v>8</v>
      </c>
      <c r="H100" s="162" t="n">
        <v>2.8</v>
      </c>
      <c r="I100" s="162" t="n">
        <v>2.964</v>
      </c>
      <c r="J100" s="52" t="n">
        <v>234</v>
      </c>
      <c r="K100" s="52" t="inlineStr">
        <is>
          <t>18</t>
        </is>
      </c>
      <c r="L100" s="53" t="inlineStr">
        <is>
          <t>СК2</t>
        </is>
      </c>
      <c r="M100" s="52" t="n">
        <v>40</v>
      </c>
      <c r="N100" s="1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63" t="n"/>
      <c r="P100" s="163" t="n"/>
      <c r="Q100" s="163" t="n"/>
      <c r="R100" s="128" t="n"/>
      <c r="S100" s="54" t="n"/>
      <c r="T100" s="54" t="n"/>
      <c r="U100" s="55" t="inlineStr">
        <is>
          <t>кг</t>
        </is>
      </c>
      <c r="V100" s="164" t="n">
        <v>0</v>
      </c>
      <c r="W100" s="165">
        <f>IFERROR(IF(V100="",0,CEILING((V100/$H100),1)*$H100),"")</f>
        <v/>
      </c>
      <c r="X100" s="58">
        <f>IFERROR(IF(W100=0,"",ROUNDUP(W100/H100,0)*0.00502),"")</f>
        <v/>
      </c>
      <c r="Y100" s="59" t="n"/>
      <c r="Z100" s="60" t="n"/>
      <c r="AA100" s="71" t="n"/>
      <c r="AD100" s="61" t="n"/>
      <c r="BA100" s="62" t="inlineStr">
        <is>
          <t>КИ</t>
        </is>
      </c>
    </row>
    <row r="101" ht="27" customHeight="1">
      <c r="A101" s="49" t="inlineStr">
        <is>
          <t>SU002985</t>
        </is>
      </c>
      <c r="B101" s="49" t="inlineStr">
        <is>
          <t>P003439</t>
        </is>
      </c>
      <c r="C101" s="50" t="n">
        <v>4301031234</v>
      </c>
      <c r="D101" s="107" t="n">
        <v>4680115883444</v>
      </c>
      <c r="E101" s="128" t="n"/>
      <c r="F101" s="162" t="n">
        <v>0.35</v>
      </c>
      <c r="G101" s="52" t="n">
        <v>8</v>
      </c>
      <c r="H101" s="162" t="n">
        <v>2.8</v>
      </c>
      <c r="I101" s="162" t="n">
        <v>3.088</v>
      </c>
      <c r="J101" s="52" t="n">
        <v>156</v>
      </c>
      <c r="K101" s="52" t="inlineStr">
        <is>
          <t>12</t>
        </is>
      </c>
      <c r="L101" s="53" t="inlineStr">
        <is>
          <t>АК</t>
        </is>
      </c>
      <c r="M101" s="52" t="n">
        <v>90</v>
      </c>
      <c r="N101" s="115" t="inlineStr">
        <is>
          <t>П/к колбасы «Аль-Ислами халяль» ф/в 0,35 фиброуз ТМ «Вязанка»</t>
        </is>
      </c>
      <c r="O101" s="163" t="n"/>
      <c r="P101" s="163" t="n"/>
      <c r="Q101" s="163" t="n"/>
      <c r="R101" s="128" t="n"/>
      <c r="S101" s="54" t="n"/>
      <c r="T101" s="54" t="n"/>
      <c r="U101" s="55" t="inlineStr">
        <is>
          <t>кг</t>
        </is>
      </c>
      <c r="V101" s="164" t="n">
        <v>0</v>
      </c>
      <c r="W101" s="165">
        <f>IFERROR(IF(V101="",0,CEILING((V101/$H101),1)*$H101),"")</f>
        <v/>
      </c>
      <c r="X101" s="58">
        <f>IFERROR(IF(W101=0,"",ROUNDUP(W101/H101,0)*0.00753),"")</f>
        <v/>
      </c>
      <c r="Y101" s="59" t="n"/>
      <c r="Z101" s="60" t="n"/>
      <c r="AA101" s="71" t="n"/>
      <c r="AD101" s="61" t="n"/>
      <c r="BA101" s="62" t="inlineStr">
        <is>
          <t>КИ</t>
        </is>
      </c>
    </row>
    <row r="102" ht="27" customHeight="1">
      <c r="A102" s="49" t="inlineStr">
        <is>
          <t>SU002985</t>
        </is>
      </c>
      <c r="B102" s="49" t="inlineStr">
        <is>
          <t>P003442</t>
        </is>
      </c>
      <c r="C102" s="50" t="n">
        <v>4301031235</v>
      </c>
      <c r="D102" s="107" t="n">
        <v>4680115883444</v>
      </c>
      <c r="E102" s="128" t="n"/>
      <c r="F102" s="162" t="n">
        <v>0.35</v>
      </c>
      <c r="G102" s="52" t="n">
        <v>8</v>
      </c>
      <c r="H102" s="162" t="n">
        <v>2.8</v>
      </c>
      <c r="I102" s="162" t="n">
        <v>3.088</v>
      </c>
      <c r="J102" s="52" t="n">
        <v>156</v>
      </c>
      <c r="K102" s="52" t="inlineStr">
        <is>
          <t>12</t>
        </is>
      </c>
      <c r="L102" s="53" t="inlineStr">
        <is>
          <t>АК</t>
        </is>
      </c>
      <c r="M102" s="52" t="n">
        <v>90</v>
      </c>
      <c r="N102" s="115" t="inlineStr">
        <is>
          <t>П/к колбасы «Аль-Ислами халяль» ф/в 0,35 фиброуз ТМ «Вязанка»</t>
        </is>
      </c>
      <c r="O102" s="163" t="n"/>
      <c r="P102" s="163" t="n"/>
      <c r="Q102" s="163" t="n"/>
      <c r="R102" s="128" t="n"/>
      <c r="S102" s="54" t="n"/>
      <c r="T102" s="54" t="n"/>
      <c r="U102" s="55" t="inlineStr">
        <is>
          <t>кг</t>
        </is>
      </c>
      <c r="V102" s="164" t="n">
        <v>0</v>
      </c>
      <c r="W102" s="165">
        <f>IFERROR(IF(V102="",0,CEILING((V102/$H102),1)*$H102),"")</f>
        <v/>
      </c>
      <c r="X102" s="58">
        <f>IFERROR(IF(W102=0,"",ROUNDUP(W102/H102,0)*0.00753),"")</f>
        <v/>
      </c>
      <c r="Y102" s="59" t="n"/>
      <c r="Z102" s="60" t="n"/>
      <c r="AA102" s="71" t="n"/>
      <c r="AD102" s="61" t="n"/>
      <c r="BA102" s="62" t="inlineStr">
        <is>
          <t>КИ</t>
        </is>
      </c>
    </row>
    <row r="103" ht="12.5" customHeight="1">
      <c r="A103" s="109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66" t="n"/>
      <c r="N103" s="110" t="inlineStr">
        <is>
          <t>Итого</t>
        </is>
      </c>
      <c r="O103" s="134" t="n"/>
      <c r="P103" s="134" t="n"/>
      <c r="Q103" s="134" t="n"/>
      <c r="R103" s="134" t="n"/>
      <c r="S103" s="134" t="n"/>
      <c r="T103" s="135" t="n"/>
      <c r="U103" s="63" t="inlineStr">
        <is>
          <t>кор</t>
        </is>
      </c>
      <c r="V103" s="16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16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16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168" t="n"/>
      <c r="Z103" s="168" t="n"/>
      <c r="AA103" s="71" t="n"/>
    </row>
    <row r="104" ht="12.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66" t="n"/>
      <c r="N104" s="110" t="inlineStr">
        <is>
          <t>Итого</t>
        </is>
      </c>
      <c r="O104" s="134" t="n"/>
      <c r="P104" s="134" t="n"/>
      <c r="Q104" s="134" t="n"/>
      <c r="R104" s="134" t="n"/>
      <c r="S104" s="134" t="n"/>
      <c r="T104" s="135" t="n"/>
      <c r="U104" s="63" t="inlineStr">
        <is>
          <t>кг</t>
        </is>
      </c>
      <c r="V104" s="167">
        <f>IFERROR(SUM(V93:V102),"0")</f>
        <v/>
      </c>
      <c r="W104" s="167">
        <f>IFERROR(SUM(W93:W102),"0")</f>
        <v/>
      </c>
      <c r="X104" s="63" t="n"/>
      <c r="Y104" s="168" t="n"/>
      <c r="Z104" s="168" t="n"/>
      <c r="AA104" s="71" t="n"/>
    </row>
    <row r="105" ht="14.25" customHeight="1">
      <c r="A105" s="106" t="inlineStr">
        <is>
          <t>Сосиски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06" t="n"/>
      <c r="Z105" s="106" t="n"/>
      <c r="AA105" s="71" t="n"/>
    </row>
    <row r="106" ht="27" customHeight="1">
      <c r="A106" s="49" t="inlineStr">
        <is>
          <t>SU001523</t>
        </is>
      </c>
      <c r="B106" s="49" t="inlineStr">
        <is>
          <t>P003328</t>
        </is>
      </c>
      <c r="C106" s="50" t="n">
        <v>4301051437</v>
      </c>
      <c r="D106" s="107" t="n">
        <v>4607091386967</v>
      </c>
      <c r="E106" s="128" t="n"/>
      <c r="F106" s="162" t="n">
        <v>1.35</v>
      </c>
      <c r="G106" s="52" t="n">
        <v>6</v>
      </c>
      <c r="H106" s="162" t="n">
        <v>8.1</v>
      </c>
      <c r="I106" s="162" t="n">
        <v>8.664</v>
      </c>
      <c r="J106" s="52" t="n">
        <v>56</v>
      </c>
      <c r="K106" s="52" t="inlineStr">
        <is>
          <t>8</t>
        </is>
      </c>
      <c r="L106" s="53" t="inlineStr">
        <is>
          <t>СК3</t>
        </is>
      </c>
      <c r="M106" s="52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63" t="n"/>
      <c r="P106" s="163" t="n"/>
      <c r="Q106" s="163" t="n"/>
      <c r="R106" s="128" t="n"/>
      <c r="S106" s="54" t="n"/>
      <c r="T106" s="54" t="n"/>
      <c r="U106" s="55" t="inlineStr">
        <is>
          <t>кг</t>
        </is>
      </c>
      <c r="V106" s="164" t="n">
        <v>0</v>
      </c>
      <c r="W106" s="165">
        <f>IFERROR(IF(V106="",0,CEILING((V106/$H106),1)*$H106),"")</f>
        <v/>
      </c>
      <c r="X106" s="58">
        <f>IFERROR(IF(W106=0,"",ROUNDUP(W106/H106,0)*0.02175),"")</f>
        <v/>
      </c>
      <c r="Y106" s="59" t="n"/>
      <c r="Z106" s="60" t="n"/>
      <c r="AA106" s="71" t="n"/>
      <c r="AD106" s="61" t="n"/>
      <c r="BA106" s="62" t="inlineStr">
        <is>
          <t>КИ</t>
        </is>
      </c>
    </row>
    <row r="107" ht="27" customHeight="1">
      <c r="A107" s="49" t="inlineStr">
        <is>
          <t>SU001523</t>
        </is>
      </c>
      <c r="B107" s="49" t="inlineStr">
        <is>
          <t>P003691</t>
        </is>
      </c>
      <c r="C107" s="50" t="n">
        <v>4301051543</v>
      </c>
      <c r="D107" s="107" t="n">
        <v>4607091386967</v>
      </c>
      <c r="E107" s="128" t="n"/>
      <c r="F107" s="162" t="n">
        <v>1.4</v>
      </c>
      <c r="G107" s="52" t="n">
        <v>6</v>
      </c>
      <c r="H107" s="162" t="n">
        <v>8.4</v>
      </c>
      <c r="I107" s="162" t="n">
        <v>8.964</v>
      </c>
      <c r="J107" s="52" t="n">
        <v>56</v>
      </c>
      <c r="K107" s="52" t="inlineStr">
        <is>
          <t>8</t>
        </is>
      </c>
      <c r="L107" s="53" t="inlineStr">
        <is>
          <t>СК2</t>
        </is>
      </c>
      <c r="M107" s="52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63" t="n"/>
      <c r="P107" s="163" t="n"/>
      <c r="Q107" s="163" t="n"/>
      <c r="R107" s="128" t="n"/>
      <c r="S107" s="54" t="n"/>
      <c r="T107" s="54" t="n"/>
      <c r="U107" s="55" t="inlineStr">
        <is>
          <t>кг</t>
        </is>
      </c>
      <c r="V107" s="164" t="n">
        <v>0</v>
      </c>
      <c r="W107" s="165">
        <f>IFERROR(IF(V107="",0,CEILING((V107/$H107),1)*$H107),"")</f>
        <v/>
      </c>
      <c r="X107" s="58">
        <f>IFERROR(IF(W107=0,"",ROUNDUP(W107/H107,0)*0.02175),"")</f>
        <v/>
      </c>
      <c r="Y107" s="59" t="n"/>
      <c r="Z107" s="60" t="n"/>
      <c r="AA107" s="71" t="n"/>
      <c r="AD107" s="61" t="n"/>
      <c r="BA107" s="62" t="inlineStr">
        <is>
          <t>КИ</t>
        </is>
      </c>
    </row>
    <row r="108" ht="16.5" customHeight="1">
      <c r="A108" s="49" t="inlineStr">
        <is>
          <t>SU001351</t>
        </is>
      </c>
      <c r="B108" s="49" t="inlineStr">
        <is>
          <t>P003025</t>
        </is>
      </c>
      <c r="C108" s="50" t="n">
        <v>4301051311</v>
      </c>
      <c r="D108" s="107" t="n">
        <v>4607091385304</v>
      </c>
      <c r="E108" s="128" t="n"/>
      <c r="F108" s="162" t="n">
        <v>1.35</v>
      </c>
      <c r="G108" s="52" t="n">
        <v>6</v>
      </c>
      <c r="H108" s="162" t="n">
        <v>8.1</v>
      </c>
      <c r="I108" s="162" t="n">
        <v>8.664</v>
      </c>
      <c r="J108" s="52" t="n">
        <v>56</v>
      </c>
      <c r="K108" s="52" t="inlineStr">
        <is>
          <t>8</t>
        </is>
      </c>
      <c r="L108" s="53" t="inlineStr">
        <is>
          <t>СК2</t>
        </is>
      </c>
      <c r="M108" s="52" t="n">
        <v>40</v>
      </c>
      <c r="N108" s="108">
        <f>HYPERLINK("https://abi.ru/products/Охлажденные/Вязанка/Вязанка/Сосиски/P003025/","Сосиски Рубленые Вязанка Весовые п/а мгс Вязанка")</f>
        <v/>
      </c>
      <c r="O108" s="163" t="n"/>
      <c r="P108" s="163" t="n"/>
      <c r="Q108" s="163" t="n"/>
      <c r="R108" s="128" t="n"/>
      <c r="S108" s="54" t="n"/>
      <c r="T108" s="54" t="n"/>
      <c r="U108" s="55" t="inlineStr">
        <is>
          <t>кг</t>
        </is>
      </c>
      <c r="V108" s="164" t="n">
        <v>0</v>
      </c>
      <c r="W108" s="165">
        <f>IFERROR(IF(V108="",0,CEILING((V108/$H108),1)*$H108),"")</f>
        <v/>
      </c>
      <c r="X108" s="58">
        <f>IFERROR(IF(W108=0,"",ROUNDUP(W108/H108,0)*0.02175),"")</f>
        <v/>
      </c>
      <c r="Y108" s="59" t="n"/>
      <c r="Z108" s="60" t="n"/>
      <c r="AA108" s="71" t="n"/>
      <c r="AD108" s="61" t="n"/>
      <c r="BA108" s="62" t="inlineStr">
        <is>
          <t>КИ</t>
        </is>
      </c>
    </row>
    <row r="109" ht="16.5" customHeight="1">
      <c r="A109" s="49" t="inlineStr">
        <is>
          <t>SU001527</t>
        </is>
      </c>
      <c r="B109" s="49" t="inlineStr">
        <is>
          <t>P002217</t>
        </is>
      </c>
      <c r="C109" s="50" t="n">
        <v>4301051306</v>
      </c>
      <c r="D109" s="107" t="n">
        <v>4607091386264</v>
      </c>
      <c r="E109" s="128" t="n"/>
      <c r="F109" s="162" t="n">
        <v>0.5</v>
      </c>
      <c r="G109" s="52" t="n">
        <v>6</v>
      </c>
      <c r="H109" s="162" t="n">
        <v>3</v>
      </c>
      <c r="I109" s="162" t="n">
        <v>3.278</v>
      </c>
      <c r="J109" s="52" t="n">
        <v>156</v>
      </c>
      <c r="K109" s="52" t="inlineStr">
        <is>
          <t>12</t>
        </is>
      </c>
      <c r="L109" s="53" t="inlineStr">
        <is>
          <t>СК2</t>
        </is>
      </c>
      <c r="M109" s="52" t="n">
        <v>31</v>
      </c>
      <c r="N109" s="108">
        <f>HYPERLINK("https://abi.ru/products/Охлажденные/Вязанка/Вязанка/Сосиски/P002217/","Сосиски Венские Вязанка Фикс.вес 0,5 NDX мгс Вязанка")</f>
        <v/>
      </c>
      <c r="O109" s="163" t="n"/>
      <c r="P109" s="163" t="n"/>
      <c r="Q109" s="163" t="n"/>
      <c r="R109" s="128" t="n"/>
      <c r="S109" s="54" t="n"/>
      <c r="T109" s="54" t="n"/>
      <c r="U109" s="55" t="inlineStr">
        <is>
          <t>кг</t>
        </is>
      </c>
      <c r="V109" s="164" t="n">
        <v>6</v>
      </c>
      <c r="W109" s="165">
        <f>IFERROR(IF(V109="",0,CEILING((V109/$H109),1)*$H109),"")</f>
        <v/>
      </c>
      <c r="X109" s="58">
        <f>IFERROR(IF(W109=0,"",ROUNDUP(W109/H109,0)*0.00753),"")</f>
        <v/>
      </c>
      <c r="Y109" s="59" t="n"/>
      <c r="Z109" s="60" t="n"/>
      <c r="AA109" s="71" t="n"/>
      <c r="AD109" s="61" t="n"/>
      <c r="BA109" s="62" t="inlineStr">
        <is>
          <t>КИ</t>
        </is>
      </c>
    </row>
    <row r="110" ht="16.5" customHeight="1">
      <c r="A110" s="49" t="inlineStr">
        <is>
          <t>SU002984</t>
        </is>
      </c>
      <c r="B110" s="49" t="inlineStr">
        <is>
          <t>P003438</t>
        </is>
      </c>
      <c r="C110" s="50" t="n">
        <v>4301051476</v>
      </c>
      <c r="D110" s="107" t="n">
        <v>4680115882584</v>
      </c>
      <c r="E110" s="128" t="n"/>
      <c r="F110" s="162" t="n">
        <v>0.33</v>
      </c>
      <c r="G110" s="52" t="n">
        <v>8</v>
      </c>
      <c r="H110" s="162" t="n">
        <v>2.64</v>
      </c>
      <c r="I110" s="162" t="n">
        <v>2.928</v>
      </c>
      <c r="J110" s="52" t="n">
        <v>156</v>
      </c>
      <c r="K110" s="52" t="inlineStr">
        <is>
          <t>12</t>
        </is>
      </c>
      <c r="L110" s="53" t="inlineStr">
        <is>
          <t>АК</t>
        </is>
      </c>
      <c r="M110" s="52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63" t="n"/>
      <c r="P110" s="163" t="n"/>
      <c r="Q110" s="163" t="n"/>
      <c r="R110" s="128" t="n"/>
      <c r="S110" s="54" t="n"/>
      <c r="T110" s="54" t="n"/>
      <c r="U110" s="55" t="inlineStr">
        <is>
          <t>кг</t>
        </is>
      </c>
      <c r="V110" s="164" t="n">
        <v>0</v>
      </c>
      <c r="W110" s="165">
        <f>IFERROR(IF(V110="",0,CEILING((V110/$H110),1)*$H110),"")</f>
        <v/>
      </c>
      <c r="X110" s="58">
        <f>IFERROR(IF(W110=0,"",ROUNDUP(W110/H110,0)*0.00753),"")</f>
        <v/>
      </c>
      <c r="Y110" s="59" t="n"/>
      <c r="Z110" s="60" t="n"/>
      <c r="AA110" s="71" t="n"/>
      <c r="AD110" s="61" t="n"/>
      <c r="BA110" s="62" t="inlineStr">
        <is>
          <t>КИ</t>
        </is>
      </c>
    </row>
    <row r="111" ht="27" customHeight="1">
      <c r="A111" s="49" t="inlineStr">
        <is>
          <t>SU001718</t>
        </is>
      </c>
      <c r="B111" s="49" t="inlineStr">
        <is>
          <t>P003327</t>
        </is>
      </c>
      <c r="C111" s="50" t="n">
        <v>4301051436</v>
      </c>
      <c r="D111" s="107" t="n">
        <v>4607091385731</v>
      </c>
      <c r="E111" s="128" t="n"/>
      <c r="F111" s="162" t="n">
        <v>0.45</v>
      </c>
      <c r="G111" s="52" t="n">
        <v>6</v>
      </c>
      <c r="H111" s="162" t="n">
        <v>2.7</v>
      </c>
      <c r="I111" s="162" t="n">
        <v>2.972</v>
      </c>
      <c r="J111" s="52" t="n">
        <v>156</v>
      </c>
      <c r="K111" s="52" t="inlineStr">
        <is>
          <t>12</t>
        </is>
      </c>
      <c r="L111" s="53" t="inlineStr">
        <is>
          <t>СК3</t>
        </is>
      </c>
      <c r="M111" s="52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63" t="n"/>
      <c r="P111" s="163" t="n"/>
      <c r="Q111" s="163" t="n"/>
      <c r="R111" s="128" t="n"/>
      <c r="S111" s="54" t="n"/>
      <c r="T111" s="54" t="n"/>
      <c r="U111" s="55" t="inlineStr">
        <is>
          <t>кг</t>
        </is>
      </c>
      <c r="V111" s="164" t="n">
        <v>0</v>
      </c>
      <c r="W111" s="165">
        <f>IFERROR(IF(V111="",0,CEILING((V111/$H111),1)*$H111),"")</f>
        <v/>
      </c>
      <c r="X111" s="58">
        <f>IFERROR(IF(W111=0,"",ROUNDUP(W111/H111,0)*0.00753),"")</f>
        <v/>
      </c>
      <c r="Y111" s="59" t="n"/>
      <c r="Z111" s="60" t="n"/>
      <c r="AA111" s="71" t="n"/>
      <c r="AD111" s="61" t="n"/>
      <c r="BA111" s="62" t="inlineStr">
        <is>
          <t>КИ</t>
        </is>
      </c>
    </row>
    <row r="112" ht="27" customHeight="1">
      <c r="A112" s="49" t="inlineStr">
        <is>
          <t>SU002658</t>
        </is>
      </c>
      <c r="B112" s="49" t="inlineStr">
        <is>
          <t>P003326</t>
        </is>
      </c>
      <c r="C112" s="50" t="n">
        <v>4301051439</v>
      </c>
      <c r="D112" s="107" t="n">
        <v>4680115880214</v>
      </c>
      <c r="E112" s="128" t="n"/>
      <c r="F112" s="162" t="n">
        <v>0.45</v>
      </c>
      <c r="G112" s="52" t="n">
        <v>6</v>
      </c>
      <c r="H112" s="162" t="n">
        <v>2.7</v>
      </c>
      <c r="I112" s="162" t="n">
        <v>2.988</v>
      </c>
      <c r="J112" s="52" t="n">
        <v>120</v>
      </c>
      <c r="K112" s="52" t="inlineStr">
        <is>
          <t>12</t>
        </is>
      </c>
      <c r="L112" s="53" t="inlineStr">
        <is>
          <t>СК3</t>
        </is>
      </c>
      <c r="M112" s="52" t="n">
        <v>45</v>
      </c>
      <c r="N112" s="115" t="inlineStr">
        <is>
          <t>Сосиски Молокуши миникушай Вязанка Ф/в 0,45 амилюкс мгс Вязанка</t>
        </is>
      </c>
      <c r="O112" s="163" t="n"/>
      <c r="P112" s="163" t="n"/>
      <c r="Q112" s="163" t="n"/>
      <c r="R112" s="128" t="n"/>
      <c r="S112" s="54" t="n"/>
      <c r="T112" s="54" t="n"/>
      <c r="U112" s="55" t="inlineStr">
        <is>
          <t>кг</t>
        </is>
      </c>
      <c r="V112" s="164" t="n">
        <v>10.8</v>
      </c>
      <c r="W112" s="165">
        <f>IFERROR(IF(V112="",0,CEILING((V112/$H112),1)*$H112),"")</f>
        <v/>
      </c>
      <c r="X112" s="58">
        <f>IFERROR(IF(W112=0,"",ROUNDUP(W112/H112,0)*0.00937),"")</f>
        <v/>
      </c>
      <c r="Y112" s="59" t="n"/>
      <c r="Z112" s="60" t="n"/>
      <c r="AA112" s="71" t="n"/>
      <c r="AD112" s="61" t="n"/>
      <c r="BA112" s="62" t="inlineStr">
        <is>
          <t>КИ</t>
        </is>
      </c>
    </row>
    <row r="113" ht="27" customHeight="1">
      <c r="A113" s="49" t="inlineStr">
        <is>
          <t>SU002769</t>
        </is>
      </c>
      <c r="B113" s="49" t="inlineStr">
        <is>
          <t>P003324</t>
        </is>
      </c>
      <c r="C113" s="50" t="n">
        <v>4301051438</v>
      </c>
      <c r="D113" s="107" t="n">
        <v>4680115880894</v>
      </c>
      <c r="E113" s="128" t="n"/>
      <c r="F113" s="162" t="n">
        <v>0.33</v>
      </c>
      <c r="G113" s="52" t="n">
        <v>6</v>
      </c>
      <c r="H113" s="162" t="n">
        <v>1.98</v>
      </c>
      <c r="I113" s="162" t="n">
        <v>2.258</v>
      </c>
      <c r="J113" s="52" t="n">
        <v>156</v>
      </c>
      <c r="K113" s="52" t="inlineStr">
        <is>
          <t>12</t>
        </is>
      </c>
      <c r="L113" s="53" t="inlineStr">
        <is>
          <t>СК3</t>
        </is>
      </c>
      <c r="M113" s="52" t="n">
        <v>45</v>
      </c>
      <c r="N113" s="115" t="inlineStr">
        <is>
          <t>Сосиски Молокуши Миникушай Вязанка фикс.вес 0,33 п/а Вязанка</t>
        </is>
      </c>
      <c r="O113" s="163" t="n"/>
      <c r="P113" s="163" t="n"/>
      <c r="Q113" s="163" t="n"/>
      <c r="R113" s="128" t="n"/>
      <c r="S113" s="54" t="n"/>
      <c r="T113" s="54" t="n"/>
      <c r="U113" s="55" t="inlineStr">
        <is>
          <t>кг</t>
        </is>
      </c>
      <c r="V113" s="164" t="n">
        <v>0</v>
      </c>
      <c r="W113" s="165">
        <f>IFERROR(IF(V113="",0,CEILING((V113/$H113),1)*$H113),"")</f>
        <v/>
      </c>
      <c r="X113" s="58">
        <f>IFERROR(IF(W113=0,"",ROUNDUP(W113/H113,0)*0.00753),"")</f>
        <v/>
      </c>
      <c r="Y113" s="59" t="n"/>
      <c r="Z113" s="60" t="n"/>
      <c r="AA113" s="71" t="n"/>
      <c r="AD113" s="61" t="n"/>
      <c r="BA113" s="62" t="inlineStr">
        <is>
          <t>КИ</t>
        </is>
      </c>
    </row>
    <row r="114" ht="16.5" customHeight="1">
      <c r="A114" s="49" t="inlineStr">
        <is>
          <t>SU001354</t>
        </is>
      </c>
      <c r="B114" s="49" t="inlineStr">
        <is>
          <t>P003030</t>
        </is>
      </c>
      <c r="C114" s="50" t="n">
        <v>4301051313</v>
      </c>
      <c r="D114" s="107" t="n">
        <v>4607091385427</v>
      </c>
      <c r="E114" s="128" t="n"/>
      <c r="F114" s="162" t="n">
        <v>0.5</v>
      </c>
      <c r="G114" s="52" t="n">
        <v>6</v>
      </c>
      <c r="H114" s="162" t="n">
        <v>3</v>
      </c>
      <c r="I114" s="162" t="n">
        <v>3.272</v>
      </c>
      <c r="J114" s="52" t="n">
        <v>156</v>
      </c>
      <c r="K114" s="52" t="inlineStr">
        <is>
          <t>12</t>
        </is>
      </c>
      <c r="L114" s="53" t="inlineStr">
        <is>
          <t>СК2</t>
        </is>
      </c>
      <c r="M114" s="52" t="n">
        <v>40</v>
      </c>
      <c r="N114" s="108">
        <f>HYPERLINK("https://abi.ru/products/Охлажденные/Вязанка/Вязанка/Сосиски/P003030/","Сосиски Рубленые Вязанка Фикс.вес 0,5 п/а мгс Вязанка")</f>
        <v/>
      </c>
      <c r="O114" s="163" t="n"/>
      <c r="P114" s="163" t="n"/>
      <c r="Q114" s="163" t="n"/>
      <c r="R114" s="128" t="n"/>
      <c r="S114" s="54" t="n"/>
      <c r="T114" s="54" t="n"/>
      <c r="U114" s="55" t="inlineStr">
        <is>
          <t>кг</t>
        </is>
      </c>
      <c r="V114" s="164" t="n">
        <v>0</v>
      </c>
      <c r="W114" s="165">
        <f>IFERROR(IF(V114="",0,CEILING((V114/$H114),1)*$H114),"")</f>
        <v/>
      </c>
      <c r="X114" s="58">
        <f>IFERROR(IF(W114=0,"",ROUNDUP(W114/H114,0)*0.00753),"")</f>
        <v/>
      </c>
      <c r="Y114" s="59" t="n"/>
      <c r="Z114" s="60" t="n"/>
      <c r="AA114" s="71" t="n"/>
      <c r="AD114" s="61" t="n"/>
      <c r="BA114" s="62" t="inlineStr">
        <is>
          <t>КИ</t>
        </is>
      </c>
    </row>
    <row r="115" ht="16.5" customHeight="1">
      <c r="A115" s="49" t="inlineStr">
        <is>
          <t>SU002996</t>
        </is>
      </c>
      <c r="B115" s="49" t="inlineStr">
        <is>
          <t>P003464</t>
        </is>
      </c>
      <c r="C115" s="50" t="n">
        <v>4301051480</v>
      </c>
      <c r="D115" s="107" t="n">
        <v>4680115882645</v>
      </c>
      <c r="E115" s="128" t="n"/>
      <c r="F115" s="162" t="n">
        <v>0.3</v>
      </c>
      <c r="G115" s="52" t="n">
        <v>6</v>
      </c>
      <c r="H115" s="162" t="n">
        <v>1.8</v>
      </c>
      <c r="I115" s="162" t="n">
        <v>2.66</v>
      </c>
      <c r="J115" s="52" t="n">
        <v>156</v>
      </c>
      <c r="K115" s="52" t="inlineStr">
        <is>
          <t>12</t>
        </is>
      </c>
      <c r="L115" s="53" t="inlineStr">
        <is>
          <t>СК2</t>
        </is>
      </c>
      <c r="M115" s="52" t="n">
        <v>40</v>
      </c>
      <c r="N115" s="115" t="inlineStr">
        <is>
          <t>Сосиски «Сливушки с сыром» ф/в 0,3 п/а ТМ «Вязанка»</t>
        </is>
      </c>
      <c r="O115" s="163" t="n"/>
      <c r="P115" s="163" t="n"/>
      <c r="Q115" s="163" t="n"/>
      <c r="R115" s="128" t="n"/>
      <c r="S115" s="54" t="n"/>
      <c r="T115" s="54" t="n"/>
      <c r="U115" s="55" t="inlineStr">
        <is>
          <t>кг</t>
        </is>
      </c>
      <c r="V115" s="164" t="n">
        <v>0</v>
      </c>
      <c r="W115" s="165">
        <f>IFERROR(IF(V115="",0,CEILING((V115/$H115),1)*$H115),"")</f>
        <v/>
      </c>
      <c r="X115" s="58">
        <f>IFERROR(IF(W115=0,"",ROUNDUP(W115/H115,0)*0.00753),"")</f>
        <v/>
      </c>
      <c r="Y115" s="59" t="n"/>
      <c r="Z115" s="60" t="n"/>
      <c r="AA115" s="71" t="n"/>
      <c r="AD115" s="61" t="n"/>
      <c r="BA115" s="62" t="inlineStr">
        <is>
          <t>КИ</t>
        </is>
      </c>
    </row>
    <row r="116" ht="12.5" customHeight="1">
      <c r="A116" s="109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66" t="n"/>
      <c r="N116" s="110" t="inlineStr">
        <is>
          <t>Итого</t>
        </is>
      </c>
      <c r="O116" s="134" t="n"/>
      <c r="P116" s="134" t="n"/>
      <c r="Q116" s="134" t="n"/>
      <c r="R116" s="134" t="n"/>
      <c r="S116" s="134" t="n"/>
      <c r="T116" s="135" t="n"/>
      <c r="U116" s="63" t="inlineStr">
        <is>
          <t>кор</t>
        </is>
      </c>
      <c r="V116" s="16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16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16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168" t="n"/>
      <c r="Z116" s="168" t="n"/>
      <c r="AA116" s="71" t="n"/>
    </row>
    <row r="117" ht="12.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66" t="n"/>
      <c r="N117" s="110" t="inlineStr">
        <is>
          <t>Итого</t>
        </is>
      </c>
      <c r="O117" s="134" t="n"/>
      <c r="P117" s="134" t="n"/>
      <c r="Q117" s="134" t="n"/>
      <c r="R117" s="134" t="n"/>
      <c r="S117" s="134" t="n"/>
      <c r="T117" s="135" t="n"/>
      <c r="U117" s="63" t="inlineStr">
        <is>
          <t>кг</t>
        </is>
      </c>
      <c r="V117" s="167">
        <f>IFERROR(SUM(V106:V115),"0")</f>
        <v/>
      </c>
      <c r="W117" s="167">
        <f>IFERROR(SUM(W106:W115),"0")</f>
        <v/>
      </c>
      <c r="X117" s="63" t="n"/>
      <c r="Y117" s="168" t="n"/>
      <c r="Z117" s="168" t="n"/>
      <c r="AA117" s="71" t="n"/>
    </row>
    <row r="118" ht="14.25" customHeight="1">
      <c r="A118" s="106" t="inlineStr">
        <is>
          <t>Сардельки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06" t="n"/>
      <c r="Z118" s="106" t="n"/>
      <c r="AA118" s="71" t="n"/>
    </row>
    <row r="119" ht="27" customHeight="1">
      <c r="A119" s="49" t="inlineStr">
        <is>
          <t>SU002071</t>
        </is>
      </c>
      <c r="B119" s="49" t="inlineStr">
        <is>
          <t>P002233</t>
        </is>
      </c>
      <c r="C119" s="50" t="n">
        <v>4301060296</v>
      </c>
      <c r="D119" s="107" t="n">
        <v>4607091383065</v>
      </c>
      <c r="E119" s="128" t="n"/>
      <c r="F119" s="162" t="n">
        <v>0.83</v>
      </c>
      <c r="G119" s="52" t="n">
        <v>4</v>
      </c>
      <c r="H119" s="162" t="n">
        <v>3.32</v>
      </c>
      <c r="I119" s="162" t="n">
        <v>3.582</v>
      </c>
      <c r="J119" s="52" t="n">
        <v>120</v>
      </c>
      <c r="K119" s="52" t="inlineStr">
        <is>
          <t>12</t>
        </is>
      </c>
      <c r="L119" s="53" t="inlineStr">
        <is>
          <t>СК2</t>
        </is>
      </c>
      <c r="M119" s="52" t="n">
        <v>30</v>
      </c>
      <c r="N119" s="10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63" t="n"/>
      <c r="P119" s="163" t="n"/>
      <c r="Q119" s="163" t="n"/>
      <c r="R119" s="128" t="n"/>
      <c r="S119" s="54" t="n"/>
      <c r="T119" s="54" t="n"/>
      <c r="U119" s="55" t="inlineStr">
        <is>
          <t>кг</t>
        </is>
      </c>
      <c r="V119" s="164" t="n">
        <v>0</v>
      </c>
      <c r="W119" s="165">
        <f>IFERROR(IF(V119="",0,CEILING((V119/$H119),1)*$H119),"")</f>
        <v/>
      </c>
      <c r="X119" s="58">
        <f>IFERROR(IF(W119=0,"",ROUNDUP(W119/H119,0)*0.00937),"")</f>
        <v/>
      </c>
      <c r="Y119" s="59" t="n"/>
      <c r="Z119" s="60" t="n"/>
      <c r="AA119" s="71" t="n"/>
      <c r="AD119" s="61" t="n"/>
      <c r="BA119" s="62" t="inlineStr">
        <is>
          <t>КИ</t>
        </is>
      </c>
    </row>
    <row r="120" ht="27" customHeight="1">
      <c r="A120" s="49" t="inlineStr">
        <is>
          <t>SU002835</t>
        </is>
      </c>
      <c r="B120" s="49" t="inlineStr">
        <is>
          <t>P003237</t>
        </is>
      </c>
      <c r="C120" s="50" t="n">
        <v>4301060350</v>
      </c>
      <c r="D120" s="107" t="n">
        <v>4680115881532</v>
      </c>
      <c r="E120" s="128" t="n"/>
      <c r="F120" s="162" t="n">
        <v>1.35</v>
      </c>
      <c r="G120" s="52" t="n">
        <v>6</v>
      </c>
      <c r="H120" s="162" t="n">
        <v>8.1</v>
      </c>
      <c r="I120" s="162" t="n">
        <v>8.58</v>
      </c>
      <c r="J120" s="52" t="n">
        <v>56</v>
      </c>
      <c r="K120" s="52" t="inlineStr">
        <is>
          <t>8</t>
        </is>
      </c>
      <c r="L120" s="53" t="inlineStr">
        <is>
          <t>СК3</t>
        </is>
      </c>
      <c r="M120" s="52" t="n">
        <v>30</v>
      </c>
      <c r="N120" s="108">
        <f>HYPERLINK("https://abi.ru/products/Охлажденные/Вязанка/Вязанка/Сардельки/P003237/","Сардельки «Филейские» Весовые NDX мгс ТМ «Вязанка»")</f>
        <v/>
      </c>
      <c r="O120" s="163" t="n"/>
      <c r="P120" s="163" t="n"/>
      <c r="Q120" s="163" t="n"/>
      <c r="R120" s="128" t="n"/>
      <c r="S120" s="54" t="n"/>
      <c r="T120" s="54" t="n"/>
      <c r="U120" s="55" t="inlineStr">
        <is>
          <t>кг</t>
        </is>
      </c>
      <c r="V120" s="164" t="n">
        <v>16.2</v>
      </c>
      <c r="W120" s="165">
        <f>IFERROR(IF(V120="",0,CEILING((V120/$H120),1)*$H120),"")</f>
        <v/>
      </c>
      <c r="X120" s="58">
        <f>IFERROR(IF(W120=0,"",ROUNDUP(W120/H120,0)*0.02175),"")</f>
        <v/>
      </c>
      <c r="Y120" s="59" t="n"/>
      <c r="Z120" s="60" t="n"/>
      <c r="AA120" s="71" t="n"/>
      <c r="AD120" s="61" t="n"/>
      <c r="BA120" s="62" t="inlineStr">
        <is>
          <t>КИ</t>
        </is>
      </c>
    </row>
    <row r="121" ht="27" customHeight="1">
      <c r="A121" s="49" t="inlineStr">
        <is>
          <t>SU002997</t>
        </is>
      </c>
      <c r="B121" s="49" t="inlineStr">
        <is>
          <t>P003465</t>
        </is>
      </c>
      <c r="C121" s="50" t="n">
        <v>4301060356</v>
      </c>
      <c r="D121" s="107" t="n">
        <v>4680115882652</v>
      </c>
      <c r="E121" s="128" t="n"/>
      <c r="F121" s="162" t="n">
        <v>0.33</v>
      </c>
      <c r="G121" s="52" t="n">
        <v>6</v>
      </c>
      <c r="H121" s="162" t="n">
        <v>1.98</v>
      </c>
      <c r="I121" s="162" t="n">
        <v>2.84</v>
      </c>
      <c r="J121" s="52" t="n">
        <v>156</v>
      </c>
      <c r="K121" s="52" t="inlineStr">
        <is>
          <t>12</t>
        </is>
      </c>
      <c r="L121" s="53" t="inlineStr">
        <is>
          <t>СК2</t>
        </is>
      </c>
      <c r="M121" s="52" t="n">
        <v>40</v>
      </c>
      <c r="N121" s="115" t="inlineStr">
        <is>
          <t>Сардельки «Сливушки с сыром #минидельки» ф/в 0,33 айпил ТМ «Вязанка»</t>
        </is>
      </c>
      <c r="O121" s="163" t="n"/>
      <c r="P121" s="163" t="n"/>
      <c r="Q121" s="163" t="n"/>
      <c r="R121" s="128" t="n"/>
      <c r="S121" s="54" t="n"/>
      <c r="T121" s="54" t="n"/>
      <c r="U121" s="55" t="inlineStr">
        <is>
          <t>кг</t>
        </is>
      </c>
      <c r="V121" s="164" t="n">
        <v>0</v>
      </c>
      <c r="W121" s="165">
        <f>IFERROR(IF(V121="",0,CEILING((V121/$H121),1)*$H121),"")</f>
        <v/>
      </c>
      <c r="X121" s="58">
        <f>IFERROR(IF(W121=0,"",ROUNDUP(W121/H121,0)*0.00753),"")</f>
        <v/>
      </c>
      <c r="Y121" s="59" t="n"/>
      <c r="Z121" s="60" t="n"/>
      <c r="AA121" s="71" t="n"/>
      <c r="AD121" s="61" t="n"/>
      <c r="BA121" s="62" t="inlineStr">
        <is>
          <t>КИ</t>
        </is>
      </c>
    </row>
    <row r="122" ht="16.5" customHeight="1">
      <c r="A122" s="49" t="inlineStr">
        <is>
          <t>SU002367</t>
        </is>
      </c>
      <c r="B122" s="49" t="inlineStr">
        <is>
          <t>P002644</t>
        </is>
      </c>
      <c r="C122" s="50" t="n">
        <v>4301060309</v>
      </c>
      <c r="D122" s="107" t="n">
        <v>4680115880238</v>
      </c>
      <c r="E122" s="128" t="n"/>
      <c r="F122" s="162" t="n">
        <v>0.33</v>
      </c>
      <c r="G122" s="52" t="n">
        <v>6</v>
      </c>
      <c r="H122" s="162" t="n">
        <v>1.98</v>
      </c>
      <c r="I122" s="162" t="n">
        <v>2.258</v>
      </c>
      <c r="J122" s="52" t="n">
        <v>156</v>
      </c>
      <c r="K122" s="52" t="inlineStr">
        <is>
          <t>12</t>
        </is>
      </c>
      <c r="L122" s="53" t="inlineStr">
        <is>
          <t>СК2</t>
        </is>
      </c>
      <c r="M122" s="52" t="n">
        <v>40</v>
      </c>
      <c r="N122" s="10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63" t="n"/>
      <c r="P122" s="163" t="n"/>
      <c r="Q122" s="163" t="n"/>
      <c r="R122" s="128" t="n"/>
      <c r="S122" s="54" t="n"/>
      <c r="T122" s="54" t="n"/>
      <c r="U122" s="55" t="inlineStr">
        <is>
          <t>кг</t>
        </is>
      </c>
      <c r="V122" s="164" t="n">
        <v>0</v>
      </c>
      <c r="W122" s="165">
        <f>IFERROR(IF(V122="",0,CEILING((V122/$H122),1)*$H122),"")</f>
        <v/>
      </c>
      <c r="X122" s="58">
        <f>IFERROR(IF(W122=0,"",ROUNDUP(W122/H122,0)*0.00753),"")</f>
        <v/>
      </c>
      <c r="Y122" s="59" t="n"/>
      <c r="Z122" s="60" t="n"/>
      <c r="AA122" s="71" t="n"/>
      <c r="AD122" s="61" t="n"/>
      <c r="BA122" s="62" t="inlineStr">
        <is>
          <t>КИ</t>
        </is>
      </c>
    </row>
    <row r="123" ht="27" customHeight="1">
      <c r="A123" s="49" t="inlineStr">
        <is>
          <t>SU002834</t>
        </is>
      </c>
      <c r="B123" s="49" t="inlineStr">
        <is>
          <t>P003238</t>
        </is>
      </c>
      <c r="C123" s="50" t="n">
        <v>4301060351</v>
      </c>
      <c r="D123" s="107" t="n">
        <v>4680115881464</v>
      </c>
      <c r="E123" s="128" t="n"/>
      <c r="F123" s="162" t="n">
        <v>0.4</v>
      </c>
      <c r="G123" s="52" t="n">
        <v>6</v>
      </c>
      <c r="H123" s="162" t="n">
        <v>2.4</v>
      </c>
      <c r="I123" s="162" t="n">
        <v>2.6</v>
      </c>
      <c r="J123" s="52" t="n">
        <v>156</v>
      </c>
      <c r="K123" s="52" t="inlineStr">
        <is>
          <t>12</t>
        </is>
      </c>
      <c r="L123" s="53" t="inlineStr">
        <is>
          <t>СК3</t>
        </is>
      </c>
      <c r="M123" s="52" t="n">
        <v>30</v>
      </c>
      <c r="N123" s="115" t="inlineStr">
        <is>
          <t>Сардельки «Филейские» Фикс.вес 0,4 NDX мгс ТМ «Вязанка»</t>
        </is>
      </c>
      <c r="O123" s="163" t="n"/>
      <c r="P123" s="163" t="n"/>
      <c r="Q123" s="163" t="n"/>
      <c r="R123" s="128" t="n"/>
      <c r="S123" s="54" t="n"/>
      <c r="T123" s="54" t="n"/>
      <c r="U123" s="55" t="inlineStr">
        <is>
          <t>кг</t>
        </is>
      </c>
      <c r="V123" s="164" t="n">
        <v>0</v>
      </c>
      <c r="W123" s="165">
        <f>IFERROR(IF(V123="",0,CEILING((V123/$H123),1)*$H123),"")</f>
        <v/>
      </c>
      <c r="X123" s="58">
        <f>IFERROR(IF(W123=0,"",ROUNDUP(W123/H123,0)*0.00753),"")</f>
        <v/>
      </c>
      <c r="Y123" s="59" t="n"/>
      <c r="Z123" s="60" t="n"/>
      <c r="AA123" s="71" t="n"/>
      <c r="AD123" s="61" t="n"/>
      <c r="BA123" s="62" t="inlineStr">
        <is>
          <t>КИ</t>
        </is>
      </c>
    </row>
    <row r="124" ht="12.5" customHeight="1">
      <c r="A124" s="109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66" t="n"/>
      <c r="N124" s="110" t="inlineStr">
        <is>
          <t>Итого</t>
        </is>
      </c>
      <c r="O124" s="134" t="n"/>
      <c r="P124" s="134" t="n"/>
      <c r="Q124" s="134" t="n"/>
      <c r="R124" s="134" t="n"/>
      <c r="S124" s="134" t="n"/>
      <c r="T124" s="135" t="n"/>
      <c r="U124" s="63" t="inlineStr">
        <is>
          <t>кор</t>
        </is>
      </c>
      <c r="V124" s="167">
        <f>IFERROR(V119/H119,"0")+IFERROR(V120/H120,"0")+IFERROR(V121/H121,"0")+IFERROR(V122/H122,"0")+IFERROR(V123/H123,"0")</f>
        <v/>
      </c>
      <c r="W124" s="167">
        <f>IFERROR(W119/H119,"0")+IFERROR(W120/H120,"0")+IFERROR(W121/H121,"0")+IFERROR(W122/H122,"0")+IFERROR(W123/H123,"0")</f>
        <v/>
      </c>
      <c r="X124" s="167">
        <f>IFERROR(IF(X119="",0,X119),"0")+IFERROR(IF(X120="",0,X120),"0")+IFERROR(IF(X121="",0,X121),"0")+IFERROR(IF(X122="",0,X122),"0")+IFERROR(IF(X123="",0,X123),"0")</f>
        <v/>
      </c>
      <c r="Y124" s="168" t="n"/>
      <c r="Z124" s="168" t="n"/>
      <c r="AA124" s="71" t="n"/>
    </row>
    <row r="125" ht="12.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66" t="n"/>
      <c r="N125" s="110" t="inlineStr">
        <is>
          <t>Итого</t>
        </is>
      </c>
      <c r="O125" s="134" t="n"/>
      <c r="P125" s="134" t="n"/>
      <c r="Q125" s="134" t="n"/>
      <c r="R125" s="134" t="n"/>
      <c r="S125" s="134" t="n"/>
      <c r="T125" s="135" t="n"/>
      <c r="U125" s="63" t="inlineStr">
        <is>
          <t>кг</t>
        </is>
      </c>
      <c r="V125" s="167">
        <f>IFERROR(SUM(V119:V123),"0")</f>
        <v/>
      </c>
      <c r="W125" s="167">
        <f>IFERROR(SUM(W119:W123),"0")</f>
        <v/>
      </c>
      <c r="X125" s="63" t="n"/>
      <c r="Y125" s="168" t="n"/>
      <c r="Z125" s="168" t="n"/>
      <c r="AA125" s="71" t="n"/>
    </row>
    <row r="126" ht="16.5" customHeight="1">
      <c r="A126" s="105" t="inlineStr">
        <is>
          <t>Сливушки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05" t="n"/>
      <c r="Z126" s="105" t="n"/>
      <c r="AA126" s="71" t="n"/>
    </row>
    <row r="127" ht="14.25" customHeight="1">
      <c r="A127" s="106" t="inlineStr">
        <is>
          <t>Сосиски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06" t="n"/>
      <c r="Z127" s="106" t="n"/>
      <c r="AA127" s="71" t="n"/>
    </row>
    <row r="128" ht="27" customHeight="1">
      <c r="A128" s="49" t="inlineStr">
        <is>
          <t>SU001721</t>
        </is>
      </c>
      <c r="B128" s="49" t="inlineStr">
        <is>
          <t>P003161</t>
        </is>
      </c>
      <c r="C128" s="50" t="n">
        <v>4301051360</v>
      </c>
      <c r="D128" s="107" t="n">
        <v>4607091385168</v>
      </c>
      <c r="E128" s="128" t="n"/>
      <c r="F128" s="162" t="n">
        <v>1.35</v>
      </c>
      <c r="G128" s="52" t="n">
        <v>6</v>
      </c>
      <c r="H128" s="162" t="n">
        <v>8.1</v>
      </c>
      <c r="I128" s="162" t="n">
        <v>8.657999999999999</v>
      </c>
      <c r="J128" s="52" t="n">
        <v>56</v>
      </c>
      <c r="K128" s="52" t="inlineStr">
        <is>
          <t>8</t>
        </is>
      </c>
      <c r="L128" s="53" t="inlineStr">
        <is>
          <t>СК3</t>
        </is>
      </c>
      <c r="M128" s="52" t="n">
        <v>45</v>
      </c>
      <c r="N128" s="10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63" t="n"/>
      <c r="P128" s="163" t="n"/>
      <c r="Q128" s="163" t="n"/>
      <c r="R128" s="128" t="n"/>
      <c r="S128" s="54" t="n"/>
      <c r="T128" s="54" t="n"/>
      <c r="U128" s="55" t="inlineStr">
        <is>
          <t>кг</t>
        </is>
      </c>
      <c r="V128" s="164" t="n">
        <v>0</v>
      </c>
      <c r="W128" s="165">
        <f>IFERROR(IF(V128="",0,CEILING((V128/$H128),1)*$H128),"")</f>
        <v/>
      </c>
      <c r="X128" s="58">
        <f>IFERROR(IF(W128=0,"",ROUNDUP(W128/H128,0)*0.02175),"")</f>
        <v/>
      </c>
      <c r="Y128" s="59" t="n"/>
      <c r="Z128" s="60" t="n"/>
      <c r="AA128" s="71" t="n"/>
      <c r="AD128" s="61" t="n"/>
      <c r="BA128" s="62" t="inlineStr">
        <is>
          <t>КИ</t>
        </is>
      </c>
    </row>
    <row r="129" ht="16.5" customHeight="1">
      <c r="A129" s="49" t="inlineStr">
        <is>
          <t>SU002139</t>
        </is>
      </c>
      <c r="B129" s="49" t="inlineStr">
        <is>
          <t>P003162</t>
        </is>
      </c>
      <c r="C129" s="50" t="n">
        <v>4301051362</v>
      </c>
      <c r="D129" s="107" t="n">
        <v>4607091383256</v>
      </c>
      <c r="E129" s="128" t="n"/>
      <c r="F129" s="162" t="n">
        <v>0.33</v>
      </c>
      <c r="G129" s="52" t="n">
        <v>6</v>
      </c>
      <c r="H129" s="162" t="n">
        <v>1.98</v>
      </c>
      <c r="I129" s="162" t="n">
        <v>2.246</v>
      </c>
      <c r="J129" s="52" t="n">
        <v>156</v>
      </c>
      <c r="K129" s="52" t="inlineStr">
        <is>
          <t>12</t>
        </is>
      </c>
      <c r="L129" s="53" t="inlineStr">
        <is>
          <t>СК3</t>
        </is>
      </c>
      <c r="M129" s="52" t="n">
        <v>45</v>
      </c>
      <c r="N129" s="108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63" t="n"/>
      <c r="P129" s="163" t="n"/>
      <c r="Q129" s="163" t="n"/>
      <c r="R129" s="128" t="n"/>
      <c r="S129" s="54" t="n"/>
      <c r="T129" s="54" t="n"/>
      <c r="U129" s="55" t="inlineStr">
        <is>
          <t>кг</t>
        </is>
      </c>
      <c r="V129" s="164" t="n">
        <v>0</v>
      </c>
      <c r="W129" s="165">
        <f>IFERROR(IF(V129="",0,CEILING((V129/$H129),1)*$H129),"")</f>
        <v/>
      </c>
      <c r="X129" s="58">
        <f>IFERROR(IF(W129=0,"",ROUNDUP(W129/H129,0)*0.00753),"")</f>
        <v/>
      </c>
      <c r="Y129" s="59" t="n"/>
      <c r="Z129" s="60" t="n"/>
      <c r="AA129" s="71" t="n"/>
      <c r="AD129" s="61" t="n"/>
      <c r="BA129" s="62" t="inlineStr">
        <is>
          <t>КИ</t>
        </is>
      </c>
    </row>
    <row r="130" ht="16.5" customHeight="1">
      <c r="A130" s="49" t="inlineStr">
        <is>
          <t>SU001720</t>
        </is>
      </c>
      <c r="B130" s="49" t="inlineStr">
        <is>
          <t>P003160</t>
        </is>
      </c>
      <c r="C130" s="50" t="n">
        <v>4301051358</v>
      </c>
      <c r="D130" s="107" t="n">
        <v>4607091385748</v>
      </c>
      <c r="E130" s="128" t="n"/>
      <c r="F130" s="162" t="n">
        <v>0.45</v>
      </c>
      <c r="G130" s="52" t="n">
        <v>6</v>
      </c>
      <c r="H130" s="162" t="n">
        <v>2.7</v>
      </c>
      <c r="I130" s="162" t="n">
        <v>2.972</v>
      </c>
      <c r="J130" s="52" t="n">
        <v>156</v>
      </c>
      <c r="K130" s="52" t="inlineStr">
        <is>
          <t>12</t>
        </is>
      </c>
      <c r="L130" s="53" t="inlineStr">
        <is>
          <t>СК3</t>
        </is>
      </c>
      <c r="M130" s="52" t="n">
        <v>45</v>
      </c>
      <c r="N130" s="10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63" t="n"/>
      <c r="P130" s="163" t="n"/>
      <c r="Q130" s="163" t="n"/>
      <c r="R130" s="128" t="n"/>
      <c r="S130" s="54" t="n"/>
      <c r="T130" s="54" t="n"/>
      <c r="U130" s="55" t="inlineStr">
        <is>
          <t>кг</t>
        </is>
      </c>
      <c r="V130" s="164" t="n">
        <v>0</v>
      </c>
      <c r="W130" s="165">
        <f>IFERROR(IF(V130="",0,CEILING((V130/$H130),1)*$H130),"")</f>
        <v/>
      </c>
      <c r="X130" s="58">
        <f>IFERROR(IF(W130=0,"",ROUNDUP(W130/H130,0)*0.00753),"")</f>
        <v/>
      </c>
      <c r="Y130" s="59" t="n"/>
      <c r="Z130" s="60" t="n"/>
      <c r="AA130" s="71" t="n"/>
      <c r="AD130" s="61" t="n"/>
      <c r="BA130" s="62" t="inlineStr">
        <is>
          <t>КИ</t>
        </is>
      </c>
    </row>
    <row r="131" ht="12.5" customHeight="1">
      <c r="A131" s="10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66" t="n"/>
      <c r="N131" s="110" t="inlineStr">
        <is>
          <t>Итого</t>
        </is>
      </c>
      <c r="O131" s="134" t="n"/>
      <c r="P131" s="134" t="n"/>
      <c r="Q131" s="134" t="n"/>
      <c r="R131" s="134" t="n"/>
      <c r="S131" s="134" t="n"/>
      <c r="T131" s="135" t="n"/>
      <c r="U131" s="63" t="inlineStr">
        <is>
          <t>кор</t>
        </is>
      </c>
      <c r="V131" s="167">
        <f>IFERROR(V128/H128,"0")+IFERROR(V129/H129,"0")+IFERROR(V130/H130,"0")</f>
        <v/>
      </c>
      <c r="W131" s="167">
        <f>IFERROR(W128/H128,"0")+IFERROR(W129/H129,"0")+IFERROR(W130/H130,"0")</f>
        <v/>
      </c>
      <c r="X131" s="167">
        <f>IFERROR(IF(X128="",0,X128),"0")+IFERROR(IF(X129="",0,X129),"0")+IFERROR(IF(X130="",0,X130),"0")</f>
        <v/>
      </c>
      <c r="Y131" s="168" t="n"/>
      <c r="Z131" s="168" t="n"/>
      <c r="AA131" s="71" t="n"/>
    </row>
    <row r="132" ht="12.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66" t="n"/>
      <c r="N132" s="110" t="inlineStr">
        <is>
          <t>Итого</t>
        </is>
      </c>
      <c r="O132" s="134" t="n"/>
      <c r="P132" s="134" t="n"/>
      <c r="Q132" s="134" t="n"/>
      <c r="R132" s="134" t="n"/>
      <c r="S132" s="134" t="n"/>
      <c r="T132" s="135" t="n"/>
      <c r="U132" s="63" t="inlineStr">
        <is>
          <t>кг</t>
        </is>
      </c>
      <c r="V132" s="167">
        <f>IFERROR(SUM(V128:V130),"0")</f>
        <v/>
      </c>
      <c r="W132" s="167">
        <f>IFERROR(SUM(W128:W130),"0")</f>
        <v/>
      </c>
      <c r="X132" s="63" t="n"/>
      <c r="Y132" s="168" t="n"/>
      <c r="Z132" s="168" t="n"/>
      <c r="AA132" s="71" t="n"/>
    </row>
    <row r="133" ht="27.75" customHeight="1">
      <c r="A133" s="104" t="inlineStr">
        <is>
          <t>Стародворье</t>
        </is>
      </c>
      <c r="B133" s="161" t="n"/>
      <c r="C133" s="161" t="n"/>
      <c r="D133" s="161" t="n"/>
      <c r="E133" s="161" t="n"/>
      <c r="F133" s="161" t="n"/>
      <c r="G133" s="161" t="n"/>
      <c r="H133" s="161" t="n"/>
      <c r="I133" s="161" t="n"/>
      <c r="J133" s="161" t="n"/>
      <c r="K133" s="161" t="n"/>
      <c r="L133" s="161" t="n"/>
      <c r="M133" s="161" t="n"/>
      <c r="N133" s="161" t="n"/>
      <c r="O133" s="161" t="n"/>
      <c r="P133" s="161" t="n"/>
      <c r="Q133" s="161" t="n"/>
      <c r="R133" s="161" t="n"/>
      <c r="S133" s="161" t="n"/>
      <c r="T133" s="161" t="n"/>
      <c r="U133" s="161" t="n"/>
      <c r="V133" s="161" t="n"/>
      <c r="W133" s="161" t="n"/>
      <c r="X133" s="161" t="n"/>
      <c r="Y133" s="46" t="n"/>
      <c r="Z133" s="46" t="n"/>
      <c r="AA133" s="71" t="n"/>
    </row>
    <row r="134" ht="16.5" customHeight="1">
      <c r="A134" s="105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05" t="n"/>
      <c r="Z134" s="105" t="n"/>
      <c r="AA134" s="71" t="n"/>
    </row>
    <row r="135" ht="14.25" customHeight="1">
      <c r="A135" s="106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06" t="n"/>
      <c r="Z135" s="106" t="n"/>
      <c r="AA135" s="71" t="n"/>
    </row>
    <row r="136" ht="27" customHeight="1">
      <c r="A136" s="49" t="inlineStr">
        <is>
          <t>SU002201</t>
        </is>
      </c>
      <c r="B136" s="49" t="inlineStr">
        <is>
          <t>P002567</t>
        </is>
      </c>
      <c r="C136" s="50" t="n">
        <v>4301011223</v>
      </c>
      <c r="D136" s="107" t="n">
        <v>4607091383423</v>
      </c>
      <c r="E136" s="128" t="n"/>
      <c r="F136" s="162" t="n">
        <v>1.35</v>
      </c>
      <c r="G136" s="52" t="n">
        <v>8</v>
      </c>
      <c r="H136" s="162" t="n">
        <v>10.8</v>
      </c>
      <c r="I136" s="162" t="n">
        <v>11.376</v>
      </c>
      <c r="J136" s="52" t="n">
        <v>56</v>
      </c>
      <c r="K136" s="52" t="inlineStr">
        <is>
          <t>8</t>
        </is>
      </c>
      <c r="L136" s="53" t="inlineStr">
        <is>
          <t>СК3</t>
        </is>
      </c>
      <c r="M136" s="52" t="n">
        <v>35</v>
      </c>
      <c r="N136" s="10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63" t="n"/>
      <c r="P136" s="163" t="n"/>
      <c r="Q136" s="163" t="n"/>
      <c r="R136" s="128" t="n"/>
      <c r="S136" s="54" t="n"/>
      <c r="T136" s="54" t="n"/>
      <c r="U136" s="55" t="inlineStr">
        <is>
          <t>кг</t>
        </is>
      </c>
      <c r="V136" s="164" t="n">
        <v>0</v>
      </c>
      <c r="W136" s="165">
        <f>IFERROR(IF(V136="",0,CEILING((V136/$H136),1)*$H136),"")</f>
        <v/>
      </c>
      <c r="X136" s="58">
        <f>IFERROR(IF(W136=0,"",ROUNDUP(W136/H136,0)*0.02175),"")</f>
        <v/>
      </c>
      <c r="Y136" s="59" t="n"/>
      <c r="Z136" s="60" t="n"/>
      <c r="AA136" s="71" t="n"/>
      <c r="AD136" s="61" t="n"/>
      <c r="BA136" s="62" t="inlineStr">
        <is>
          <t>КИ</t>
        </is>
      </c>
    </row>
    <row r="137" ht="27" customHeight="1">
      <c r="A137" s="49" t="inlineStr">
        <is>
          <t>SU002203</t>
        </is>
      </c>
      <c r="B137" s="49" t="inlineStr">
        <is>
          <t>P002568</t>
        </is>
      </c>
      <c r="C137" s="50" t="n">
        <v>4301011338</v>
      </c>
      <c r="D137" s="107" t="n">
        <v>4607091381405</v>
      </c>
      <c r="E137" s="128" t="n"/>
      <c r="F137" s="162" t="n">
        <v>1.35</v>
      </c>
      <c r="G137" s="52" t="n">
        <v>8</v>
      </c>
      <c r="H137" s="162" t="n">
        <v>10.8</v>
      </c>
      <c r="I137" s="162" t="n">
        <v>11.376</v>
      </c>
      <c r="J137" s="52" t="n">
        <v>56</v>
      </c>
      <c r="K137" s="52" t="inlineStr">
        <is>
          <t>8</t>
        </is>
      </c>
      <c r="L137" s="53" t="inlineStr">
        <is>
          <t>СК2</t>
        </is>
      </c>
      <c r="M137" s="52" t="n">
        <v>35</v>
      </c>
      <c r="N137" s="10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63" t="n"/>
      <c r="P137" s="163" t="n"/>
      <c r="Q137" s="163" t="n"/>
      <c r="R137" s="128" t="n"/>
      <c r="S137" s="54" t="n"/>
      <c r="T137" s="54" t="n"/>
      <c r="U137" s="55" t="inlineStr">
        <is>
          <t>кг</t>
        </is>
      </c>
      <c r="V137" s="164" t="n">
        <v>0</v>
      </c>
      <c r="W137" s="165">
        <f>IFERROR(IF(V137="",0,CEILING((V137/$H137),1)*$H137),"")</f>
        <v/>
      </c>
      <c r="X137" s="58">
        <f>IFERROR(IF(W137=0,"",ROUNDUP(W137/H137,0)*0.02175),"")</f>
        <v/>
      </c>
      <c r="Y137" s="59" t="n"/>
      <c r="Z137" s="60" t="n"/>
      <c r="AA137" s="71" t="n"/>
      <c r="AD137" s="61" t="n"/>
      <c r="BA137" s="62" t="inlineStr">
        <is>
          <t>КИ</t>
        </is>
      </c>
    </row>
    <row r="138" ht="27" customHeight="1">
      <c r="A138" s="49" t="inlineStr">
        <is>
          <t>SU002216</t>
        </is>
      </c>
      <c r="B138" s="49" t="inlineStr">
        <is>
          <t>P002400</t>
        </is>
      </c>
      <c r="C138" s="50" t="n">
        <v>4301011333</v>
      </c>
      <c r="D138" s="107" t="n">
        <v>4607091386516</v>
      </c>
      <c r="E138" s="128" t="n"/>
      <c r="F138" s="162" t="n">
        <v>1.4</v>
      </c>
      <c r="G138" s="52" t="n">
        <v>8</v>
      </c>
      <c r="H138" s="162" t="n">
        <v>11.2</v>
      </c>
      <c r="I138" s="162" t="n">
        <v>11.776</v>
      </c>
      <c r="J138" s="52" t="n">
        <v>56</v>
      </c>
      <c r="K138" s="52" t="inlineStr">
        <is>
          <t>8</t>
        </is>
      </c>
      <c r="L138" s="53" t="inlineStr">
        <is>
          <t>СК2</t>
        </is>
      </c>
      <c r="M138" s="52" t="n">
        <v>30</v>
      </c>
      <c r="N138" s="10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63" t="n"/>
      <c r="P138" s="163" t="n"/>
      <c r="Q138" s="163" t="n"/>
      <c r="R138" s="128" t="n"/>
      <c r="S138" s="54" t="n"/>
      <c r="T138" s="54" t="n"/>
      <c r="U138" s="55" t="inlineStr">
        <is>
          <t>кг</t>
        </is>
      </c>
      <c r="V138" s="164" t="n">
        <v>0</v>
      </c>
      <c r="W138" s="165">
        <f>IFERROR(IF(V138="",0,CEILING((V138/$H138),1)*$H138),"")</f>
        <v/>
      </c>
      <c r="X138" s="58">
        <f>IFERROR(IF(W138=0,"",ROUNDUP(W138/H138,0)*0.02175),"")</f>
        <v/>
      </c>
      <c r="Y138" s="59" t="n"/>
      <c r="Z138" s="60" t="n"/>
      <c r="AA138" s="71" t="n"/>
      <c r="AD138" s="61" t="n"/>
      <c r="BA138" s="62" t="inlineStr">
        <is>
          <t>КИ</t>
        </is>
      </c>
    </row>
    <row r="139" ht="12.5" customHeight="1">
      <c r="A139" s="10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66" t="n"/>
      <c r="N139" s="110" t="inlineStr">
        <is>
          <t>Итого</t>
        </is>
      </c>
      <c r="O139" s="134" t="n"/>
      <c r="P139" s="134" t="n"/>
      <c r="Q139" s="134" t="n"/>
      <c r="R139" s="134" t="n"/>
      <c r="S139" s="134" t="n"/>
      <c r="T139" s="135" t="n"/>
      <c r="U139" s="63" t="inlineStr">
        <is>
          <t>кор</t>
        </is>
      </c>
      <c r="V139" s="167">
        <f>IFERROR(V136/H136,"0")+IFERROR(V137/H137,"0")+IFERROR(V138/H138,"0")</f>
        <v/>
      </c>
      <c r="W139" s="167">
        <f>IFERROR(W136/H136,"0")+IFERROR(W137/H137,"0")+IFERROR(W138/H138,"0")</f>
        <v/>
      </c>
      <c r="X139" s="167">
        <f>IFERROR(IF(X136="",0,X136),"0")+IFERROR(IF(X137="",0,X137),"0")+IFERROR(IF(X138="",0,X138),"0")</f>
        <v/>
      </c>
      <c r="Y139" s="168" t="n"/>
      <c r="Z139" s="168" t="n"/>
      <c r="AA139" s="71" t="n"/>
    </row>
    <row r="140" ht="12.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66" t="n"/>
      <c r="N140" s="110" t="inlineStr">
        <is>
          <t>Итого</t>
        </is>
      </c>
      <c r="O140" s="134" t="n"/>
      <c r="P140" s="134" t="n"/>
      <c r="Q140" s="134" t="n"/>
      <c r="R140" s="134" t="n"/>
      <c r="S140" s="134" t="n"/>
      <c r="T140" s="135" t="n"/>
      <c r="U140" s="63" t="inlineStr">
        <is>
          <t>кг</t>
        </is>
      </c>
      <c r="V140" s="167">
        <f>IFERROR(SUM(V136:V138),"0")</f>
        <v/>
      </c>
      <c r="W140" s="167">
        <f>IFERROR(SUM(W136:W138),"0")</f>
        <v/>
      </c>
      <c r="X140" s="63" t="n"/>
      <c r="Y140" s="168" t="n"/>
      <c r="Z140" s="168" t="n"/>
      <c r="AA140" s="71" t="n"/>
    </row>
    <row r="141" ht="16.5" customHeight="1">
      <c r="A141" s="105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05" t="n"/>
      <c r="Z141" s="105" t="n"/>
      <c r="AA141" s="71" t="n"/>
    </row>
    <row r="142" ht="14.25" customHeight="1">
      <c r="A142" s="106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06" t="n"/>
      <c r="Z142" s="106" t="n"/>
      <c r="AA142" s="71" t="n"/>
    </row>
    <row r="143" ht="27" customHeight="1">
      <c r="A143" s="49" t="inlineStr">
        <is>
          <t>SU002756</t>
        </is>
      </c>
      <c r="B143" s="49" t="inlineStr">
        <is>
          <t>P003179</t>
        </is>
      </c>
      <c r="C143" s="50" t="n">
        <v>4301031191</v>
      </c>
      <c r="D143" s="107" t="n">
        <v>4680115880993</v>
      </c>
      <c r="E143" s="128" t="n"/>
      <c r="F143" s="162" t="n">
        <v>0.7</v>
      </c>
      <c r="G143" s="52" t="n">
        <v>6</v>
      </c>
      <c r="H143" s="162" t="n">
        <v>4.2</v>
      </c>
      <c r="I143" s="162" t="n">
        <v>4.46</v>
      </c>
      <c r="J143" s="52" t="n">
        <v>156</v>
      </c>
      <c r="K143" s="52" t="inlineStr">
        <is>
          <t>12</t>
        </is>
      </c>
      <c r="L143" s="53" t="inlineStr">
        <is>
          <t>СК2</t>
        </is>
      </c>
      <c r="M143" s="52" t="n">
        <v>40</v>
      </c>
      <c r="N143" s="1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63" t="n"/>
      <c r="P143" s="163" t="n"/>
      <c r="Q143" s="163" t="n"/>
      <c r="R143" s="128" t="n"/>
      <c r="S143" s="54" t="n"/>
      <c r="T143" s="54" t="n"/>
      <c r="U143" s="55" t="inlineStr">
        <is>
          <t>кг</t>
        </is>
      </c>
      <c r="V143" s="164" t="n">
        <v>0</v>
      </c>
      <c r="W143" s="165">
        <f>IFERROR(IF(V143="",0,CEILING((V143/$H143),1)*$H143),"")</f>
        <v/>
      </c>
      <c r="X143" s="58">
        <f>IFERROR(IF(W143=0,"",ROUNDUP(W143/H143,0)*0.00753),"")</f>
        <v/>
      </c>
      <c r="Y143" s="59" t="n"/>
      <c r="Z143" s="60" t="n"/>
      <c r="AA143" s="71" t="n"/>
      <c r="AD143" s="61" t="n"/>
      <c r="BA143" s="62" t="inlineStr">
        <is>
          <t>КИ</t>
        </is>
      </c>
    </row>
    <row r="144" ht="27" customHeight="1">
      <c r="A144" s="49" t="inlineStr">
        <is>
          <t>SU002876</t>
        </is>
      </c>
      <c r="B144" s="49" t="inlineStr">
        <is>
          <t>P003276</t>
        </is>
      </c>
      <c r="C144" s="50" t="n">
        <v>4301031204</v>
      </c>
      <c r="D144" s="107" t="n">
        <v>4680115881761</v>
      </c>
      <c r="E144" s="128" t="n"/>
      <c r="F144" s="162" t="n">
        <v>0.7</v>
      </c>
      <c r="G144" s="52" t="n">
        <v>6</v>
      </c>
      <c r="H144" s="162" t="n">
        <v>4.2</v>
      </c>
      <c r="I144" s="162" t="n">
        <v>4.46</v>
      </c>
      <c r="J144" s="52" t="n">
        <v>156</v>
      </c>
      <c r="K144" s="52" t="inlineStr">
        <is>
          <t>12</t>
        </is>
      </c>
      <c r="L144" s="53" t="inlineStr">
        <is>
          <t>СК2</t>
        </is>
      </c>
      <c r="M144" s="52" t="n">
        <v>40</v>
      </c>
      <c r="N144" s="10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63" t="n"/>
      <c r="P144" s="163" t="n"/>
      <c r="Q144" s="163" t="n"/>
      <c r="R144" s="128" t="n"/>
      <c r="S144" s="54" t="n"/>
      <c r="T144" s="54" t="n"/>
      <c r="U144" s="55" t="inlineStr">
        <is>
          <t>кг</t>
        </is>
      </c>
      <c r="V144" s="164" t="n">
        <v>0</v>
      </c>
      <c r="W144" s="165">
        <f>IFERROR(IF(V144="",0,CEILING((V144/$H144),1)*$H144),"")</f>
        <v/>
      </c>
      <c r="X144" s="58">
        <f>IFERROR(IF(W144=0,"",ROUNDUP(W144/H144,0)*0.00753),"")</f>
        <v/>
      </c>
      <c r="Y144" s="59" t="n"/>
      <c r="Z144" s="60" t="n"/>
      <c r="AA144" s="71" t="n"/>
      <c r="AD144" s="61" t="n"/>
      <c r="BA144" s="62" t="inlineStr">
        <is>
          <t>КИ</t>
        </is>
      </c>
    </row>
    <row r="145" ht="27" customHeight="1">
      <c r="A145" s="49" t="inlineStr">
        <is>
          <t>SU002847</t>
        </is>
      </c>
      <c r="B145" s="49" t="inlineStr">
        <is>
          <t>P003259</t>
        </is>
      </c>
      <c r="C145" s="50" t="n">
        <v>4301031201</v>
      </c>
      <c r="D145" s="107" t="n">
        <v>4680115881563</v>
      </c>
      <c r="E145" s="128" t="n"/>
      <c r="F145" s="162" t="n">
        <v>0.7</v>
      </c>
      <c r="G145" s="52" t="n">
        <v>6</v>
      </c>
      <c r="H145" s="162" t="n">
        <v>4.2</v>
      </c>
      <c r="I145" s="162" t="n">
        <v>4.4</v>
      </c>
      <c r="J145" s="52" t="n">
        <v>156</v>
      </c>
      <c r="K145" s="52" t="inlineStr">
        <is>
          <t>12</t>
        </is>
      </c>
      <c r="L145" s="53" t="inlineStr">
        <is>
          <t>СК2</t>
        </is>
      </c>
      <c r="M145" s="52" t="n">
        <v>40</v>
      </c>
      <c r="N145" s="10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63" t="n"/>
      <c r="P145" s="163" t="n"/>
      <c r="Q145" s="163" t="n"/>
      <c r="R145" s="128" t="n"/>
      <c r="S145" s="54" t="n"/>
      <c r="T145" s="54" t="n"/>
      <c r="U145" s="55" t="inlineStr">
        <is>
          <t>кг</t>
        </is>
      </c>
      <c r="V145" s="164" t="n">
        <v>0</v>
      </c>
      <c r="W145" s="165">
        <f>IFERROR(IF(V145="",0,CEILING((V145/$H145),1)*$H145),"")</f>
        <v/>
      </c>
      <c r="X145" s="58">
        <f>IFERROR(IF(W145=0,"",ROUNDUP(W145/H145,0)*0.00753),"")</f>
        <v/>
      </c>
      <c r="Y145" s="59" t="n"/>
      <c r="Z145" s="60" t="n"/>
      <c r="AA145" s="71" t="n"/>
      <c r="AD145" s="61" t="n"/>
      <c r="BA145" s="62" t="inlineStr">
        <is>
          <t>КИ</t>
        </is>
      </c>
    </row>
    <row r="146" ht="27" customHeight="1">
      <c r="A146" s="49" t="inlineStr">
        <is>
          <t>SU002660</t>
        </is>
      </c>
      <c r="B146" s="49" t="inlineStr">
        <is>
          <t>P003256</t>
        </is>
      </c>
      <c r="C146" s="50" t="n">
        <v>4301031199</v>
      </c>
      <c r="D146" s="107" t="n">
        <v>4680115880986</v>
      </c>
      <c r="E146" s="128" t="n"/>
      <c r="F146" s="162" t="n">
        <v>0.35</v>
      </c>
      <c r="G146" s="52" t="n">
        <v>6</v>
      </c>
      <c r="H146" s="162" t="n">
        <v>2.1</v>
      </c>
      <c r="I146" s="162" t="n">
        <v>2.23</v>
      </c>
      <c r="J146" s="52" t="n">
        <v>234</v>
      </c>
      <c r="K146" s="52" t="inlineStr">
        <is>
          <t>18</t>
        </is>
      </c>
      <c r="L146" s="53" t="inlineStr">
        <is>
          <t>СК2</t>
        </is>
      </c>
      <c r="M146" s="52" t="n">
        <v>40</v>
      </c>
      <c r="N146" s="10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63" t="n"/>
      <c r="P146" s="163" t="n"/>
      <c r="Q146" s="163" t="n"/>
      <c r="R146" s="128" t="n"/>
      <c r="S146" s="54" t="n"/>
      <c r="T146" s="54" t="n"/>
      <c r="U146" s="55" t="inlineStr">
        <is>
          <t>кг</t>
        </is>
      </c>
      <c r="V146" s="164" t="n">
        <v>0</v>
      </c>
      <c r="W146" s="165">
        <f>IFERROR(IF(V146="",0,CEILING((V146/$H146),1)*$H146),"")</f>
        <v/>
      </c>
      <c r="X146" s="58">
        <f>IFERROR(IF(W146=0,"",ROUNDUP(W146/H146,0)*0.00502),"")</f>
        <v/>
      </c>
      <c r="Y146" s="59" t="n"/>
      <c r="Z146" s="60" t="n"/>
      <c r="AA146" s="71" t="n"/>
      <c r="AD146" s="61" t="n"/>
      <c r="BA146" s="62" t="inlineStr">
        <is>
          <t>КИ</t>
        </is>
      </c>
    </row>
    <row r="147" ht="27" customHeight="1">
      <c r="A147" s="49" t="inlineStr">
        <is>
          <t>SU002826</t>
        </is>
      </c>
      <c r="B147" s="49" t="inlineStr">
        <is>
          <t>P003178</t>
        </is>
      </c>
      <c r="C147" s="50" t="n">
        <v>4301031190</v>
      </c>
      <c r="D147" s="107" t="n">
        <v>4680115880207</v>
      </c>
      <c r="E147" s="128" t="n"/>
      <c r="F147" s="162" t="n">
        <v>0.4</v>
      </c>
      <c r="G147" s="52" t="n">
        <v>6</v>
      </c>
      <c r="H147" s="162" t="n">
        <v>2.4</v>
      </c>
      <c r="I147" s="162" t="n">
        <v>2.63</v>
      </c>
      <c r="J147" s="52" t="n">
        <v>156</v>
      </c>
      <c r="K147" s="52" t="inlineStr">
        <is>
          <t>12</t>
        </is>
      </c>
      <c r="L147" s="53" t="inlineStr">
        <is>
          <t>СК2</t>
        </is>
      </c>
      <c r="M147" s="52" t="n">
        <v>40</v>
      </c>
      <c r="N147" s="1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63" t="n"/>
      <c r="P147" s="163" t="n"/>
      <c r="Q147" s="163" t="n"/>
      <c r="R147" s="128" t="n"/>
      <c r="S147" s="54" t="n"/>
      <c r="T147" s="54" t="n"/>
      <c r="U147" s="55" t="inlineStr">
        <is>
          <t>кг</t>
        </is>
      </c>
      <c r="V147" s="164" t="n">
        <v>0</v>
      </c>
      <c r="W147" s="165">
        <f>IFERROR(IF(V147="",0,CEILING((V147/$H147),1)*$H147),"")</f>
        <v/>
      </c>
      <c r="X147" s="58">
        <f>IFERROR(IF(W147=0,"",ROUNDUP(W147/H147,0)*0.00753),"")</f>
        <v/>
      </c>
      <c r="Y147" s="59" t="n"/>
      <c r="Z147" s="60" t="n"/>
      <c r="AA147" s="71" t="n"/>
      <c r="AD147" s="61" t="n"/>
      <c r="BA147" s="62" t="inlineStr">
        <is>
          <t>КИ</t>
        </is>
      </c>
    </row>
    <row r="148" ht="27" customHeight="1">
      <c r="A148" s="49" t="inlineStr">
        <is>
          <t>SU002877</t>
        </is>
      </c>
      <c r="B148" s="49" t="inlineStr">
        <is>
          <t>P003277</t>
        </is>
      </c>
      <c r="C148" s="50" t="n">
        <v>4301031205</v>
      </c>
      <c r="D148" s="107" t="n">
        <v>4680115881785</v>
      </c>
      <c r="E148" s="128" t="n"/>
      <c r="F148" s="162" t="n">
        <v>0.35</v>
      </c>
      <c r="G148" s="52" t="n">
        <v>6</v>
      </c>
      <c r="H148" s="162" t="n">
        <v>2.1</v>
      </c>
      <c r="I148" s="162" t="n">
        <v>2.23</v>
      </c>
      <c r="J148" s="52" t="n">
        <v>234</v>
      </c>
      <c r="K148" s="52" t="inlineStr">
        <is>
          <t>18</t>
        </is>
      </c>
      <c r="L148" s="53" t="inlineStr">
        <is>
          <t>СК2</t>
        </is>
      </c>
      <c r="M148" s="52" t="n">
        <v>40</v>
      </c>
      <c r="N148" s="10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63" t="n"/>
      <c r="P148" s="163" t="n"/>
      <c r="Q148" s="163" t="n"/>
      <c r="R148" s="128" t="n"/>
      <c r="S148" s="54" t="n"/>
      <c r="T148" s="54" t="n"/>
      <c r="U148" s="55" t="inlineStr">
        <is>
          <t>кг</t>
        </is>
      </c>
      <c r="V148" s="164" t="n">
        <v>0</v>
      </c>
      <c r="W148" s="165">
        <f>IFERROR(IF(V148="",0,CEILING((V148/$H148),1)*$H148),"")</f>
        <v/>
      </c>
      <c r="X148" s="58">
        <f>IFERROR(IF(W148=0,"",ROUNDUP(W148/H148,0)*0.00502),"")</f>
        <v/>
      </c>
      <c r="Y148" s="59" t="n"/>
      <c r="Z148" s="60" t="n"/>
      <c r="AA148" s="71" t="n"/>
      <c r="AD148" s="61" t="n"/>
      <c r="BA148" s="62" t="inlineStr">
        <is>
          <t>КИ</t>
        </is>
      </c>
    </row>
    <row r="149" ht="27" customHeight="1">
      <c r="A149" s="49" t="inlineStr">
        <is>
          <t>SU002848</t>
        </is>
      </c>
      <c r="B149" s="49" t="inlineStr">
        <is>
          <t>P003260</t>
        </is>
      </c>
      <c r="C149" s="50" t="n">
        <v>4301031202</v>
      </c>
      <c r="D149" s="107" t="n">
        <v>4680115881679</v>
      </c>
      <c r="E149" s="128" t="n"/>
      <c r="F149" s="162" t="n">
        <v>0.35</v>
      </c>
      <c r="G149" s="52" t="n">
        <v>6</v>
      </c>
      <c r="H149" s="162" t="n">
        <v>2.1</v>
      </c>
      <c r="I149" s="162" t="n">
        <v>2.2</v>
      </c>
      <c r="J149" s="52" t="n">
        <v>234</v>
      </c>
      <c r="K149" s="52" t="inlineStr">
        <is>
          <t>18</t>
        </is>
      </c>
      <c r="L149" s="53" t="inlineStr">
        <is>
          <t>СК2</t>
        </is>
      </c>
      <c r="M149" s="52" t="n">
        <v>40</v>
      </c>
      <c r="N149" s="1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63" t="n"/>
      <c r="P149" s="163" t="n"/>
      <c r="Q149" s="163" t="n"/>
      <c r="R149" s="128" t="n"/>
      <c r="S149" s="54" t="n"/>
      <c r="T149" s="54" t="n"/>
      <c r="U149" s="55" t="inlineStr">
        <is>
          <t>кг</t>
        </is>
      </c>
      <c r="V149" s="164" t="n">
        <v>0</v>
      </c>
      <c r="W149" s="165">
        <f>IFERROR(IF(V149="",0,CEILING((V149/$H149),1)*$H149),"")</f>
        <v/>
      </c>
      <c r="X149" s="58">
        <f>IFERROR(IF(W149=0,"",ROUNDUP(W149/H149,0)*0.00502),"")</f>
        <v/>
      </c>
      <c r="Y149" s="59" t="n"/>
      <c r="Z149" s="60" t="n"/>
      <c r="AA149" s="71" t="n"/>
      <c r="AD149" s="61" t="n"/>
      <c r="BA149" s="62" t="inlineStr">
        <is>
          <t>КИ</t>
        </is>
      </c>
    </row>
    <row r="150" ht="27" customHeight="1">
      <c r="A150" s="49" t="inlineStr">
        <is>
          <t>SU002659</t>
        </is>
      </c>
      <c r="B150" s="49" t="inlineStr">
        <is>
          <t>P003034</t>
        </is>
      </c>
      <c r="C150" s="50" t="n">
        <v>4301031158</v>
      </c>
      <c r="D150" s="107" t="n">
        <v>4680115880191</v>
      </c>
      <c r="E150" s="128" t="n"/>
      <c r="F150" s="162" t="n">
        <v>0.4</v>
      </c>
      <c r="G150" s="52" t="n">
        <v>6</v>
      </c>
      <c r="H150" s="162" t="n">
        <v>2.4</v>
      </c>
      <c r="I150" s="162" t="n">
        <v>2.6</v>
      </c>
      <c r="J150" s="52" t="n">
        <v>156</v>
      </c>
      <c r="K150" s="52" t="inlineStr">
        <is>
          <t>12</t>
        </is>
      </c>
      <c r="L150" s="53" t="inlineStr">
        <is>
          <t>СК2</t>
        </is>
      </c>
      <c r="M150" s="52" t="n">
        <v>40</v>
      </c>
      <c r="N150" s="10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63" t="n"/>
      <c r="P150" s="163" t="n"/>
      <c r="Q150" s="163" t="n"/>
      <c r="R150" s="128" t="n"/>
      <c r="S150" s="54" t="n"/>
      <c r="T150" s="54" t="n"/>
      <c r="U150" s="55" t="inlineStr">
        <is>
          <t>кг</t>
        </is>
      </c>
      <c r="V150" s="164" t="n">
        <v>0</v>
      </c>
      <c r="W150" s="165">
        <f>IFERROR(IF(V150="",0,CEILING((V150/$H150),1)*$H150),"")</f>
        <v/>
      </c>
      <c r="X150" s="58">
        <f>IFERROR(IF(W150=0,"",ROUNDUP(W150/H150,0)*0.00753),"")</f>
        <v/>
      </c>
      <c r="Y150" s="59" t="n"/>
      <c r="Z150" s="60" t="n"/>
      <c r="AA150" s="71" t="n"/>
      <c r="AD150" s="61" t="n"/>
      <c r="BA150" s="62" t="inlineStr">
        <is>
          <t>КИ</t>
        </is>
      </c>
    </row>
    <row r="151" ht="12.5" customHeight="1">
      <c r="A151" s="10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66" t="n"/>
      <c r="N151" s="110" t="inlineStr">
        <is>
          <t>Итого</t>
        </is>
      </c>
      <c r="O151" s="134" t="n"/>
      <c r="P151" s="134" t="n"/>
      <c r="Q151" s="134" t="n"/>
      <c r="R151" s="134" t="n"/>
      <c r="S151" s="134" t="n"/>
      <c r="T151" s="135" t="n"/>
      <c r="U151" s="63" t="inlineStr">
        <is>
          <t>кор</t>
        </is>
      </c>
      <c r="V151" s="167">
        <f>IFERROR(V143/H143,"0")+IFERROR(V144/H144,"0")+IFERROR(V145/H145,"0")+IFERROR(V146/H146,"0")+IFERROR(V147/H147,"0")+IFERROR(V148/H148,"0")+IFERROR(V149/H149,"0")+IFERROR(V150/H150,"0")</f>
        <v/>
      </c>
      <c r="W151" s="167">
        <f>IFERROR(W143/H143,"0")+IFERROR(W144/H144,"0")+IFERROR(W145/H145,"0")+IFERROR(W146/H146,"0")+IFERROR(W147/H147,"0")+IFERROR(W148/H148,"0")+IFERROR(W149/H149,"0")+IFERROR(W150/H150,"0")</f>
        <v/>
      </c>
      <c r="X151" s="16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168" t="n"/>
      <c r="Z151" s="168" t="n"/>
      <c r="AA151" s="71" t="n"/>
    </row>
    <row r="152" ht="12.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66" t="n"/>
      <c r="N152" s="110" t="inlineStr">
        <is>
          <t>Итого</t>
        </is>
      </c>
      <c r="O152" s="134" t="n"/>
      <c r="P152" s="134" t="n"/>
      <c r="Q152" s="134" t="n"/>
      <c r="R152" s="134" t="n"/>
      <c r="S152" s="134" t="n"/>
      <c r="T152" s="135" t="n"/>
      <c r="U152" s="63" t="inlineStr">
        <is>
          <t>кг</t>
        </is>
      </c>
      <c r="V152" s="167">
        <f>IFERROR(SUM(V143:V150),"0")</f>
        <v/>
      </c>
      <c r="W152" s="167">
        <f>IFERROR(SUM(W143:W150),"0")</f>
        <v/>
      </c>
      <c r="X152" s="63" t="n"/>
      <c r="Y152" s="168" t="n"/>
      <c r="Z152" s="168" t="n"/>
      <c r="AA152" s="71" t="n"/>
    </row>
    <row r="153" ht="16.5" customHeight="1">
      <c r="A153" s="105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05" t="n"/>
      <c r="Z153" s="105" t="n"/>
      <c r="AA153" s="71" t="n"/>
    </row>
    <row r="154" ht="14.25" customHeight="1">
      <c r="A154" s="106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06" t="n"/>
      <c r="Z154" s="106" t="n"/>
      <c r="AA154" s="71" t="n"/>
    </row>
    <row r="155" ht="16.5" customHeight="1">
      <c r="A155" s="49" t="inlineStr">
        <is>
          <t>SU002824</t>
        </is>
      </c>
      <c r="B155" s="49" t="inlineStr">
        <is>
          <t>P003231</t>
        </is>
      </c>
      <c r="C155" s="50" t="n">
        <v>4301011450</v>
      </c>
      <c r="D155" s="107" t="n">
        <v>4680115881402</v>
      </c>
      <c r="E155" s="128" t="n"/>
      <c r="F155" s="162" t="n">
        <v>1.35</v>
      </c>
      <c r="G155" s="52" t="n">
        <v>8</v>
      </c>
      <c r="H155" s="162" t="n">
        <v>10.8</v>
      </c>
      <c r="I155" s="162" t="n">
        <v>11.28</v>
      </c>
      <c r="J155" s="52" t="n">
        <v>56</v>
      </c>
      <c r="K155" s="52" t="inlineStr">
        <is>
          <t>8</t>
        </is>
      </c>
      <c r="L155" s="53" t="inlineStr">
        <is>
          <t>СК1</t>
        </is>
      </c>
      <c r="M155" s="52" t="n">
        <v>55</v>
      </c>
      <c r="N155" s="10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63" t="n"/>
      <c r="P155" s="163" t="n"/>
      <c r="Q155" s="163" t="n"/>
      <c r="R155" s="128" t="n"/>
      <c r="S155" s="54" t="n"/>
      <c r="T155" s="54" t="n"/>
      <c r="U155" s="55" t="inlineStr">
        <is>
          <t>кг</t>
        </is>
      </c>
      <c r="V155" s="164" t="n">
        <v>0</v>
      </c>
      <c r="W155" s="165">
        <f>IFERROR(IF(V155="",0,CEILING((V155/$H155),1)*$H155),"")</f>
        <v/>
      </c>
      <c r="X155" s="58">
        <f>IFERROR(IF(W155=0,"",ROUNDUP(W155/H155,0)*0.02175),"")</f>
        <v/>
      </c>
      <c r="Y155" s="59" t="n"/>
      <c r="Z155" s="60" t="n"/>
      <c r="AA155" s="71" t="n"/>
      <c r="AD155" s="61" t="n"/>
      <c r="BA155" s="62" t="inlineStr">
        <is>
          <t>КИ</t>
        </is>
      </c>
    </row>
    <row r="156" ht="27" customHeight="1">
      <c r="A156" s="49" t="inlineStr">
        <is>
          <t>SU002823</t>
        </is>
      </c>
      <c r="B156" s="49" t="inlineStr">
        <is>
          <t>P003230</t>
        </is>
      </c>
      <c r="C156" s="50" t="n">
        <v>4301011454</v>
      </c>
      <c r="D156" s="107" t="n">
        <v>4680115881396</v>
      </c>
      <c r="E156" s="128" t="n"/>
      <c r="F156" s="162" t="n">
        <v>0.45</v>
      </c>
      <c r="G156" s="52" t="n">
        <v>6</v>
      </c>
      <c r="H156" s="162" t="n">
        <v>2.7</v>
      </c>
      <c r="I156" s="162" t="n">
        <v>2.9</v>
      </c>
      <c r="J156" s="52" t="n">
        <v>156</v>
      </c>
      <c r="K156" s="52" t="inlineStr">
        <is>
          <t>12</t>
        </is>
      </c>
      <c r="L156" s="53" t="inlineStr">
        <is>
          <t>СК2</t>
        </is>
      </c>
      <c r="M156" s="52" t="n">
        <v>55</v>
      </c>
      <c r="N156" s="10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63" t="n"/>
      <c r="P156" s="163" t="n"/>
      <c r="Q156" s="163" t="n"/>
      <c r="R156" s="128" t="n"/>
      <c r="S156" s="54" t="n"/>
      <c r="T156" s="54" t="n"/>
      <c r="U156" s="55" t="inlineStr">
        <is>
          <t>кг</t>
        </is>
      </c>
      <c r="V156" s="164" t="n">
        <v>0</v>
      </c>
      <c r="W156" s="165">
        <f>IFERROR(IF(V156="",0,CEILING((V156/$H156),1)*$H156),"")</f>
        <v/>
      </c>
      <c r="X156" s="58">
        <f>IFERROR(IF(W156=0,"",ROUNDUP(W156/H156,0)*0.00753),"")</f>
        <v/>
      </c>
      <c r="Y156" s="59" t="n"/>
      <c r="Z156" s="60" t="n"/>
      <c r="AA156" s="71" t="n"/>
      <c r="AD156" s="61" t="n"/>
      <c r="BA156" s="62" t="inlineStr">
        <is>
          <t>КИ</t>
        </is>
      </c>
    </row>
    <row r="157" ht="12.5" customHeight="1">
      <c r="A157" s="109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66" t="n"/>
      <c r="N157" s="110" t="inlineStr">
        <is>
          <t>Итого</t>
        </is>
      </c>
      <c r="O157" s="134" t="n"/>
      <c r="P157" s="134" t="n"/>
      <c r="Q157" s="134" t="n"/>
      <c r="R157" s="134" t="n"/>
      <c r="S157" s="134" t="n"/>
      <c r="T157" s="135" t="n"/>
      <c r="U157" s="63" t="inlineStr">
        <is>
          <t>кор</t>
        </is>
      </c>
      <c r="V157" s="167">
        <f>IFERROR(V155/H155,"0")+IFERROR(V156/H156,"0")</f>
        <v/>
      </c>
      <c r="W157" s="167">
        <f>IFERROR(W155/H155,"0")+IFERROR(W156/H156,"0")</f>
        <v/>
      </c>
      <c r="X157" s="167">
        <f>IFERROR(IF(X155="",0,X155),"0")+IFERROR(IF(X156="",0,X156),"0")</f>
        <v/>
      </c>
      <c r="Y157" s="168" t="n"/>
      <c r="Z157" s="168" t="n"/>
      <c r="AA157" s="71" t="n"/>
    </row>
    <row r="158" ht="12.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66" t="n"/>
      <c r="N158" s="110" t="inlineStr">
        <is>
          <t>Итого</t>
        </is>
      </c>
      <c r="O158" s="134" t="n"/>
      <c r="P158" s="134" t="n"/>
      <c r="Q158" s="134" t="n"/>
      <c r="R158" s="134" t="n"/>
      <c r="S158" s="134" t="n"/>
      <c r="T158" s="135" t="n"/>
      <c r="U158" s="63" t="inlineStr">
        <is>
          <t>кг</t>
        </is>
      </c>
      <c r="V158" s="167">
        <f>IFERROR(SUM(V155:V156),"0")</f>
        <v/>
      </c>
      <c r="W158" s="167">
        <f>IFERROR(SUM(W155:W156),"0")</f>
        <v/>
      </c>
      <c r="X158" s="63" t="n"/>
      <c r="Y158" s="168" t="n"/>
      <c r="Z158" s="168" t="n"/>
      <c r="AA158" s="71" t="n"/>
    </row>
    <row r="159" ht="14.25" customHeight="1">
      <c r="A159" s="106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06" t="n"/>
      <c r="Z159" s="106" t="n"/>
      <c r="AA159" s="71" t="n"/>
    </row>
    <row r="160" ht="16.5" customHeight="1">
      <c r="A160" s="49" t="inlineStr">
        <is>
          <t>SU003068</t>
        </is>
      </c>
      <c r="B160" s="49" t="inlineStr">
        <is>
          <t>P003611</t>
        </is>
      </c>
      <c r="C160" s="50" t="n">
        <v>4301020262</v>
      </c>
      <c r="D160" s="107" t="n">
        <v>4680115882935</v>
      </c>
      <c r="E160" s="128" t="n"/>
      <c r="F160" s="162" t="n">
        <v>1.35</v>
      </c>
      <c r="G160" s="52" t="n">
        <v>8</v>
      </c>
      <c r="H160" s="162" t="n">
        <v>10.8</v>
      </c>
      <c r="I160" s="162" t="n">
        <v>11.28</v>
      </c>
      <c r="J160" s="52" t="n">
        <v>56</v>
      </c>
      <c r="K160" s="52" t="inlineStr">
        <is>
          <t>8</t>
        </is>
      </c>
      <c r="L160" s="53" t="inlineStr">
        <is>
          <t>СК3</t>
        </is>
      </c>
      <c r="M160" s="52" t="n">
        <v>50</v>
      </c>
      <c r="N160" s="115" t="inlineStr">
        <is>
          <t>Ветчина «Сочинка с сочным окороком» Весовой п/а ТМ «Стародворье»</t>
        </is>
      </c>
      <c r="O160" s="163" t="n"/>
      <c r="P160" s="163" t="n"/>
      <c r="Q160" s="163" t="n"/>
      <c r="R160" s="128" t="n"/>
      <c r="S160" s="54" t="n"/>
      <c r="T160" s="54" t="n"/>
      <c r="U160" s="55" t="inlineStr">
        <is>
          <t>кг</t>
        </is>
      </c>
      <c r="V160" s="164" t="n">
        <v>0</v>
      </c>
      <c r="W160" s="165">
        <f>IFERROR(IF(V160="",0,CEILING((V160/$H160),1)*$H160),"")</f>
        <v/>
      </c>
      <c r="X160" s="58">
        <f>IFERROR(IF(W160=0,"",ROUNDUP(W160/H160,0)*0.02175),"")</f>
        <v/>
      </c>
      <c r="Y160" s="59" t="n"/>
      <c r="Z160" s="60" t="n"/>
      <c r="AA160" s="71" t="n"/>
      <c r="AD160" s="61" t="n"/>
      <c r="BA160" s="62" t="inlineStr">
        <is>
          <t>КИ</t>
        </is>
      </c>
    </row>
    <row r="161" ht="16.5" customHeight="1">
      <c r="A161" s="49" t="inlineStr">
        <is>
          <t>SU002757</t>
        </is>
      </c>
      <c r="B161" s="49" t="inlineStr">
        <is>
          <t>P003128</t>
        </is>
      </c>
      <c r="C161" s="50" t="n">
        <v>4301020220</v>
      </c>
      <c r="D161" s="107" t="n">
        <v>4680115880764</v>
      </c>
      <c r="E161" s="128" t="n"/>
      <c r="F161" s="162" t="n">
        <v>0.35</v>
      </c>
      <c r="G161" s="52" t="n">
        <v>6</v>
      </c>
      <c r="H161" s="162" t="n">
        <v>2.1</v>
      </c>
      <c r="I161" s="162" t="n">
        <v>2.3</v>
      </c>
      <c r="J161" s="52" t="n">
        <v>156</v>
      </c>
      <c r="K161" s="52" t="inlineStr">
        <is>
          <t>12</t>
        </is>
      </c>
      <c r="L161" s="53" t="inlineStr">
        <is>
          <t>СК1</t>
        </is>
      </c>
      <c r="M161" s="52" t="n">
        <v>50</v>
      </c>
      <c r="N161" s="1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63" t="n"/>
      <c r="P161" s="163" t="n"/>
      <c r="Q161" s="163" t="n"/>
      <c r="R161" s="128" t="n"/>
      <c r="S161" s="54" t="n"/>
      <c r="T161" s="54" t="n"/>
      <c r="U161" s="55" t="inlineStr">
        <is>
          <t>кг</t>
        </is>
      </c>
      <c r="V161" s="164" t="n">
        <v>0</v>
      </c>
      <c r="W161" s="165">
        <f>IFERROR(IF(V161="",0,CEILING((V161/$H161),1)*$H161),"")</f>
        <v/>
      </c>
      <c r="X161" s="58">
        <f>IFERROR(IF(W161=0,"",ROUNDUP(W161/H161,0)*0.00753),"")</f>
        <v/>
      </c>
      <c r="Y161" s="59" t="n"/>
      <c r="Z161" s="60" t="n"/>
      <c r="AA161" s="71" t="n"/>
      <c r="AD161" s="61" t="n"/>
      <c r="BA161" s="62" t="inlineStr">
        <is>
          <t>КИ</t>
        </is>
      </c>
    </row>
    <row r="162" ht="12.5" customHeight="1">
      <c r="A162" s="109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66" t="n"/>
      <c r="N162" s="110" t="inlineStr">
        <is>
          <t>Итого</t>
        </is>
      </c>
      <c r="O162" s="134" t="n"/>
      <c r="P162" s="134" t="n"/>
      <c r="Q162" s="134" t="n"/>
      <c r="R162" s="134" t="n"/>
      <c r="S162" s="134" t="n"/>
      <c r="T162" s="135" t="n"/>
      <c r="U162" s="63" t="inlineStr">
        <is>
          <t>кор</t>
        </is>
      </c>
      <c r="V162" s="167">
        <f>IFERROR(V160/H160,"0")+IFERROR(V161/H161,"0")</f>
        <v/>
      </c>
      <c r="W162" s="167">
        <f>IFERROR(W160/H160,"0")+IFERROR(W161/H161,"0")</f>
        <v/>
      </c>
      <c r="X162" s="167">
        <f>IFERROR(IF(X160="",0,X160),"0")+IFERROR(IF(X161="",0,X161),"0")</f>
        <v/>
      </c>
      <c r="Y162" s="168" t="n"/>
      <c r="Z162" s="168" t="n"/>
      <c r="AA162" s="71" t="n"/>
    </row>
    <row r="163" ht="12.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66" t="n"/>
      <c r="N163" s="110" t="inlineStr">
        <is>
          <t>Итого</t>
        </is>
      </c>
      <c r="O163" s="134" t="n"/>
      <c r="P163" s="134" t="n"/>
      <c r="Q163" s="134" t="n"/>
      <c r="R163" s="134" t="n"/>
      <c r="S163" s="134" t="n"/>
      <c r="T163" s="135" t="n"/>
      <c r="U163" s="63" t="inlineStr">
        <is>
          <t>кг</t>
        </is>
      </c>
      <c r="V163" s="167">
        <f>IFERROR(SUM(V160:V161),"0")</f>
        <v/>
      </c>
      <c r="W163" s="167">
        <f>IFERROR(SUM(W160:W161),"0")</f>
        <v/>
      </c>
      <c r="X163" s="63" t="n"/>
      <c r="Y163" s="168" t="n"/>
      <c r="Z163" s="168" t="n"/>
      <c r="AA163" s="71" t="n"/>
    </row>
    <row r="164" ht="14.25" customHeight="1">
      <c r="A164" s="106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06" t="n"/>
      <c r="Z164" s="106" t="n"/>
      <c r="AA164" s="71" t="n"/>
    </row>
    <row r="165" ht="27" customHeight="1">
      <c r="A165" s="49" t="inlineStr">
        <is>
          <t>SU002941</t>
        </is>
      </c>
      <c r="B165" s="49" t="inlineStr">
        <is>
          <t>P003387</t>
        </is>
      </c>
      <c r="C165" s="50" t="n">
        <v>4301031224</v>
      </c>
      <c r="D165" s="107" t="n">
        <v>4680115882683</v>
      </c>
      <c r="E165" s="128" t="n"/>
      <c r="F165" s="162" t="n">
        <v>0.9</v>
      </c>
      <c r="G165" s="52" t="n">
        <v>6</v>
      </c>
      <c r="H165" s="162" t="n">
        <v>5.4</v>
      </c>
      <c r="I165" s="162" t="n">
        <v>5.61</v>
      </c>
      <c r="J165" s="52" t="n">
        <v>120</v>
      </c>
      <c r="K165" s="52" t="inlineStr">
        <is>
          <t>12</t>
        </is>
      </c>
      <c r="L165" s="53" t="inlineStr">
        <is>
          <t>СК2</t>
        </is>
      </c>
      <c r="M165" s="52" t="n">
        <v>40</v>
      </c>
      <c r="N165" s="10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63" t="n"/>
      <c r="P165" s="163" t="n"/>
      <c r="Q165" s="163" t="n"/>
      <c r="R165" s="128" t="n"/>
      <c r="S165" s="54" t="n"/>
      <c r="T165" s="54" t="n"/>
      <c r="U165" s="55" t="inlineStr">
        <is>
          <t>кг</t>
        </is>
      </c>
      <c r="V165" s="164" t="n">
        <v>0</v>
      </c>
      <c r="W165" s="165">
        <f>IFERROR(IF(V165="",0,CEILING((V165/$H165),1)*$H165),"")</f>
        <v/>
      </c>
      <c r="X165" s="58">
        <f>IFERROR(IF(W165=0,"",ROUNDUP(W165/H165,0)*0.00937),"")</f>
        <v/>
      </c>
      <c r="Y165" s="59" t="n"/>
      <c r="Z165" s="60" t="n"/>
      <c r="AA165" s="71" t="n"/>
      <c r="AD165" s="61" t="n"/>
      <c r="BA165" s="62" t="inlineStr">
        <is>
          <t>КИ</t>
        </is>
      </c>
    </row>
    <row r="166" ht="27" customHeight="1">
      <c r="A166" s="49" t="inlineStr">
        <is>
          <t>SU002943</t>
        </is>
      </c>
      <c r="B166" s="49" t="inlineStr">
        <is>
          <t>P003401</t>
        </is>
      </c>
      <c r="C166" s="50" t="n">
        <v>4301031230</v>
      </c>
      <c r="D166" s="107" t="n">
        <v>4680115882690</v>
      </c>
      <c r="E166" s="128" t="n"/>
      <c r="F166" s="162" t="n">
        <v>0.9</v>
      </c>
      <c r="G166" s="52" t="n">
        <v>6</v>
      </c>
      <c r="H166" s="162" t="n">
        <v>5.4</v>
      </c>
      <c r="I166" s="162" t="n">
        <v>5.61</v>
      </c>
      <c r="J166" s="52" t="n">
        <v>120</v>
      </c>
      <c r="K166" s="52" t="inlineStr">
        <is>
          <t>12</t>
        </is>
      </c>
      <c r="L166" s="53" t="inlineStr">
        <is>
          <t>СК2</t>
        </is>
      </c>
      <c r="M166" s="52" t="n">
        <v>40</v>
      </c>
      <c r="N166" s="1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63" t="n"/>
      <c r="P166" s="163" t="n"/>
      <c r="Q166" s="163" t="n"/>
      <c r="R166" s="128" t="n"/>
      <c r="S166" s="54" t="n"/>
      <c r="T166" s="54" t="n"/>
      <c r="U166" s="55" t="inlineStr">
        <is>
          <t>кг</t>
        </is>
      </c>
      <c r="V166" s="164" t="n">
        <v>0</v>
      </c>
      <c r="W166" s="165">
        <f>IFERROR(IF(V166="",0,CEILING((V166/$H166),1)*$H166),"")</f>
        <v/>
      </c>
      <c r="X166" s="58">
        <f>IFERROR(IF(W166=0,"",ROUNDUP(W166/H166,0)*0.00937),"")</f>
        <v/>
      </c>
      <c r="Y166" s="59" t="n"/>
      <c r="Z166" s="60" t="n"/>
      <c r="AA166" s="71" t="n"/>
      <c r="AD166" s="61" t="n"/>
      <c r="BA166" s="62" t="inlineStr">
        <is>
          <t>КИ</t>
        </is>
      </c>
    </row>
    <row r="167" ht="27" customHeight="1">
      <c r="A167" s="49" t="inlineStr">
        <is>
          <t>SU002945</t>
        </is>
      </c>
      <c r="B167" s="49" t="inlineStr">
        <is>
          <t>P003383</t>
        </is>
      </c>
      <c r="C167" s="50" t="n">
        <v>4301031220</v>
      </c>
      <c r="D167" s="107" t="n">
        <v>4680115882669</v>
      </c>
      <c r="E167" s="128" t="n"/>
      <c r="F167" s="162" t="n">
        <v>0.9</v>
      </c>
      <c r="G167" s="52" t="n">
        <v>6</v>
      </c>
      <c r="H167" s="162" t="n">
        <v>5.4</v>
      </c>
      <c r="I167" s="162" t="n">
        <v>5.61</v>
      </c>
      <c r="J167" s="52" t="n">
        <v>120</v>
      </c>
      <c r="K167" s="52" t="inlineStr">
        <is>
          <t>12</t>
        </is>
      </c>
      <c r="L167" s="53" t="inlineStr">
        <is>
          <t>СК2</t>
        </is>
      </c>
      <c r="M167" s="52" t="n">
        <v>40</v>
      </c>
      <c r="N167" s="10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63" t="n"/>
      <c r="P167" s="163" t="n"/>
      <c r="Q167" s="163" t="n"/>
      <c r="R167" s="128" t="n"/>
      <c r="S167" s="54" t="n"/>
      <c r="T167" s="54" t="n"/>
      <c r="U167" s="55" t="inlineStr">
        <is>
          <t>кг</t>
        </is>
      </c>
      <c r="V167" s="164" t="n">
        <v>0</v>
      </c>
      <c r="W167" s="165">
        <f>IFERROR(IF(V167="",0,CEILING((V167/$H167),1)*$H167),"")</f>
        <v/>
      </c>
      <c r="X167" s="58">
        <f>IFERROR(IF(W167=0,"",ROUNDUP(W167/H167,0)*0.00937),"")</f>
        <v/>
      </c>
      <c r="Y167" s="59" t="n"/>
      <c r="Z167" s="60" t="n"/>
      <c r="AA167" s="71" t="n"/>
      <c r="AD167" s="61" t="n"/>
      <c r="BA167" s="62" t="inlineStr">
        <is>
          <t>КИ</t>
        </is>
      </c>
    </row>
    <row r="168" ht="27" customHeight="1">
      <c r="A168" s="49" t="inlineStr">
        <is>
          <t>SU002947</t>
        </is>
      </c>
      <c r="B168" s="49" t="inlineStr">
        <is>
          <t>P003384</t>
        </is>
      </c>
      <c r="C168" s="50" t="n">
        <v>4301031221</v>
      </c>
      <c r="D168" s="107" t="n">
        <v>4680115882676</v>
      </c>
      <c r="E168" s="128" t="n"/>
      <c r="F168" s="162" t="n">
        <v>0.9</v>
      </c>
      <c r="G168" s="52" t="n">
        <v>6</v>
      </c>
      <c r="H168" s="162" t="n">
        <v>5.4</v>
      </c>
      <c r="I168" s="162" t="n">
        <v>5.61</v>
      </c>
      <c r="J168" s="52" t="n">
        <v>120</v>
      </c>
      <c r="K168" s="52" t="inlineStr">
        <is>
          <t>12</t>
        </is>
      </c>
      <c r="L168" s="53" t="inlineStr">
        <is>
          <t>СК2</t>
        </is>
      </c>
      <c r="M168" s="52" t="n">
        <v>40</v>
      </c>
      <c r="N168" s="10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63" t="n"/>
      <c r="P168" s="163" t="n"/>
      <c r="Q168" s="163" t="n"/>
      <c r="R168" s="128" t="n"/>
      <c r="S168" s="54" t="n"/>
      <c r="T168" s="54" t="n"/>
      <c r="U168" s="55" t="inlineStr">
        <is>
          <t>кг</t>
        </is>
      </c>
      <c r="V168" s="164" t="n">
        <v>0</v>
      </c>
      <c r="W168" s="165">
        <f>IFERROR(IF(V168="",0,CEILING((V168/$H168),1)*$H168),"")</f>
        <v/>
      </c>
      <c r="X168" s="58">
        <f>IFERROR(IF(W168=0,"",ROUNDUP(W168/H168,0)*0.00937),"")</f>
        <v/>
      </c>
      <c r="Y168" s="59" t="n"/>
      <c r="Z168" s="60" t="n"/>
      <c r="AA168" s="71" t="n"/>
      <c r="AD168" s="61" t="n"/>
      <c r="BA168" s="62" t="inlineStr">
        <is>
          <t>КИ</t>
        </is>
      </c>
    </row>
    <row r="169" ht="12.5" customHeight="1">
      <c r="A169" s="10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66" t="n"/>
      <c r="N169" s="110" t="inlineStr">
        <is>
          <t>Итого</t>
        </is>
      </c>
      <c r="O169" s="134" t="n"/>
      <c r="P169" s="134" t="n"/>
      <c r="Q169" s="134" t="n"/>
      <c r="R169" s="134" t="n"/>
      <c r="S169" s="134" t="n"/>
      <c r="T169" s="135" t="n"/>
      <c r="U169" s="63" t="inlineStr">
        <is>
          <t>кор</t>
        </is>
      </c>
      <c r="V169" s="167">
        <f>IFERROR(V165/H165,"0")+IFERROR(V166/H166,"0")+IFERROR(V167/H167,"0")+IFERROR(V168/H168,"0")</f>
        <v/>
      </c>
      <c r="W169" s="167">
        <f>IFERROR(W165/H165,"0")+IFERROR(W166/H166,"0")+IFERROR(W167/H167,"0")+IFERROR(W168/H168,"0")</f>
        <v/>
      </c>
      <c r="X169" s="167">
        <f>IFERROR(IF(X165="",0,X165),"0")+IFERROR(IF(X166="",0,X166),"0")+IFERROR(IF(X167="",0,X167),"0")+IFERROR(IF(X168="",0,X168),"0")</f>
        <v/>
      </c>
      <c r="Y169" s="168" t="n"/>
      <c r="Z169" s="168" t="n"/>
      <c r="AA169" s="71" t="n"/>
    </row>
    <row r="170" ht="12.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66" t="n"/>
      <c r="N170" s="110" t="inlineStr">
        <is>
          <t>Итого</t>
        </is>
      </c>
      <c r="O170" s="134" t="n"/>
      <c r="P170" s="134" t="n"/>
      <c r="Q170" s="134" t="n"/>
      <c r="R170" s="134" t="n"/>
      <c r="S170" s="134" t="n"/>
      <c r="T170" s="135" t="n"/>
      <c r="U170" s="63" t="inlineStr">
        <is>
          <t>кг</t>
        </is>
      </c>
      <c r="V170" s="167">
        <f>IFERROR(SUM(V165:V168),"0")</f>
        <v/>
      </c>
      <c r="W170" s="167">
        <f>IFERROR(SUM(W165:W168),"0")</f>
        <v/>
      </c>
      <c r="X170" s="63" t="n"/>
      <c r="Y170" s="168" t="n"/>
      <c r="Z170" s="168" t="n"/>
      <c r="AA170" s="71" t="n"/>
    </row>
    <row r="171" ht="14.25" customHeight="1">
      <c r="A171" s="106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06" t="n"/>
      <c r="Z171" s="106" t="n"/>
      <c r="AA171" s="71" t="n"/>
    </row>
    <row r="172" ht="27" customHeight="1">
      <c r="A172" s="49" t="inlineStr">
        <is>
          <t>SU002857</t>
        </is>
      </c>
      <c r="B172" s="49" t="inlineStr">
        <is>
          <t>P003264</t>
        </is>
      </c>
      <c r="C172" s="50" t="n">
        <v>4301051409</v>
      </c>
      <c r="D172" s="107" t="n">
        <v>4680115881556</v>
      </c>
      <c r="E172" s="128" t="n"/>
      <c r="F172" s="162" t="n">
        <v>1</v>
      </c>
      <c r="G172" s="52" t="n">
        <v>4</v>
      </c>
      <c r="H172" s="162" t="n">
        <v>4</v>
      </c>
      <c r="I172" s="162" t="n">
        <v>4.408</v>
      </c>
      <c r="J172" s="52" t="n">
        <v>104</v>
      </c>
      <c r="K172" s="52" t="inlineStr">
        <is>
          <t>8</t>
        </is>
      </c>
      <c r="L172" s="53" t="inlineStr">
        <is>
          <t>СК3</t>
        </is>
      </c>
      <c r="M172" s="52" t="n">
        <v>45</v>
      </c>
      <c r="N172" s="10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63" t="n"/>
      <c r="P172" s="163" t="n"/>
      <c r="Q172" s="163" t="n"/>
      <c r="R172" s="128" t="n"/>
      <c r="S172" s="54" t="n"/>
      <c r="T172" s="54" t="n"/>
      <c r="U172" s="55" t="inlineStr">
        <is>
          <t>кг</t>
        </is>
      </c>
      <c r="V172" s="164" t="n">
        <v>0</v>
      </c>
      <c r="W172" s="165">
        <f>IFERROR(IF(V172="",0,CEILING((V172/$H172),1)*$H172),"")</f>
        <v/>
      </c>
      <c r="X172" s="58">
        <f>IFERROR(IF(W172=0,"",ROUNDUP(W172/H172,0)*0.01196),"")</f>
        <v/>
      </c>
      <c r="Y172" s="59" t="n"/>
      <c r="Z172" s="60" t="n"/>
      <c r="AA172" s="71" t="n"/>
      <c r="AD172" s="61" t="n"/>
      <c r="BA172" s="62" t="inlineStr">
        <is>
          <t>КИ</t>
        </is>
      </c>
    </row>
    <row r="173" ht="16.5" customHeight="1">
      <c r="A173" s="49" t="inlineStr">
        <is>
          <t>SU002725</t>
        </is>
      </c>
      <c r="B173" s="49" t="inlineStr">
        <is>
          <t>P003672</t>
        </is>
      </c>
      <c r="C173" s="50" t="n">
        <v>4301051538</v>
      </c>
      <c r="D173" s="107" t="n">
        <v>4680115880573</v>
      </c>
      <c r="E173" s="128" t="n"/>
      <c r="F173" s="162" t="n">
        <v>1.45</v>
      </c>
      <c r="G173" s="52" t="n">
        <v>6</v>
      </c>
      <c r="H173" s="162" t="n">
        <v>8.699999999999999</v>
      </c>
      <c r="I173" s="162" t="n">
        <v>9.263999999999999</v>
      </c>
      <c r="J173" s="52" t="n">
        <v>56</v>
      </c>
      <c r="K173" s="52" t="inlineStr">
        <is>
          <t>8</t>
        </is>
      </c>
      <c r="L173" s="53" t="inlineStr">
        <is>
          <t>СК2</t>
        </is>
      </c>
      <c r="M173" s="52" t="n">
        <v>45</v>
      </c>
      <c r="N173" s="115" t="inlineStr">
        <is>
          <t>Сосиски «Сочинки» Весовой п/а ТМ «Стародворье»</t>
        </is>
      </c>
      <c r="O173" s="163" t="n"/>
      <c r="P173" s="163" t="n"/>
      <c r="Q173" s="163" t="n"/>
      <c r="R173" s="128" t="n"/>
      <c r="S173" s="54" t="n"/>
      <c r="T173" s="54" t="n"/>
      <c r="U173" s="55" t="inlineStr">
        <is>
          <t>кг</t>
        </is>
      </c>
      <c r="V173" s="164" t="n">
        <v>0</v>
      </c>
      <c r="W173" s="165">
        <f>IFERROR(IF(V173="",0,CEILING((V173/$H173),1)*$H173),"")</f>
        <v/>
      </c>
      <c r="X173" s="58">
        <f>IFERROR(IF(W173=0,"",ROUNDUP(W173/H173,0)*0.02175),"")</f>
        <v/>
      </c>
      <c r="Y173" s="59" t="n"/>
      <c r="Z173" s="60" t="n"/>
      <c r="AA173" s="71" t="n"/>
      <c r="AD173" s="61" t="n"/>
      <c r="BA173" s="62" t="inlineStr">
        <is>
          <t>КИ</t>
        </is>
      </c>
    </row>
    <row r="174" ht="27" customHeight="1">
      <c r="A174" s="49" t="inlineStr">
        <is>
          <t>SU002843</t>
        </is>
      </c>
      <c r="B174" s="49" t="inlineStr">
        <is>
          <t>P003263</t>
        </is>
      </c>
      <c r="C174" s="50" t="n">
        <v>4301051408</v>
      </c>
      <c r="D174" s="107" t="n">
        <v>4680115881594</v>
      </c>
      <c r="E174" s="128" t="n"/>
      <c r="F174" s="162" t="n">
        <v>1.35</v>
      </c>
      <c r="G174" s="52" t="n">
        <v>6</v>
      </c>
      <c r="H174" s="162" t="n">
        <v>8.1</v>
      </c>
      <c r="I174" s="162" t="n">
        <v>8.664</v>
      </c>
      <c r="J174" s="52" t="n">
        <v>56</v>
      </c>
      <c r="K174" s="52" t="inlineStr">
        <is>
          <t>8</t>
        </is>
      </c>
      <c r="L174" s="53" t="inlineStr">
        <is>
          <t>СК3</t>
        </is>
      </c>
      <c r="M174" s="52" t="n">
        <v>40</v>
      </c>
      <c r="N174" s="10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63" t="n"/>
      <c r="P174" s="163" t="n"/>
      <c r="Q174" s="163" t="n"/>
      <c r="R174" s="128" t="n"/>
      <c r="S174" s="54" t="n"/>
      <c r="T174" s="54" t="n"/>
      <c r="U174" s="55" t="inlineStr">
        <is>
          <t>кг</t>
        </is>
      </c>
      <c r="V174" s="164" t="n">
        <v>0</v>
      </c>
      <c r="W174" s="165">
        <f>IFERROR(IF(V174="",0,CEILING((V174/$H174),1)*$H174),"")</f>
        <v/>
      </c>
      <c r="X174" s="58">
        <f>IFERROR(IF(W174=0,"",ROUNDUP(W174/H174,0)*0.02175),"")</f>
        <v/>
      </c>
      <c r="Y174" s="59" t="n"/>
      <c r="Z174" s="60" t="n"/>
      <c r="AA174" s="71" t="n"/>
      <c r="AD174" s="61" t="n"/>
      <c r="BA174" s="62" t="inlineStr">
        <is>
          <t>КИ</t>
        </is>
      </c>
    </row>
    <row r="175" ht="27" customHeight="1">
      <c r="A175" s="49" t="inlineStr">
        <is>
          <t>SU002858</t>
        </is>
      </c>
      <c r="B175" s="49" t="inlineStr">
        <is>
          <t>P003581</t>
        </is>
      </c>
      <c r="C175" s="50" t="n">
        <v>4301051505</v>
      </c>
      <c r="D175" s="107" t="n">
        <v>4680115881587</v>
      </c>
      <c r="E175" s="128" t="n"/>
      <c r="F175" s="162" t="n">
        <v>1</v>
      </c>
      <c r="G175" s="52" t="n">
        <v>4</v>
      </c>
      <c r="H175" s="162" t="n">
        <v>4</v>
      </c>
      <c r="I175" s="162" t="n">
        <v>4.408</v>
      </c>
      <c r="J175" s="52" t="n">
        <v>104</v>
      </c>
      <c r="K175" s="52" t="inlineStr">
        <is>
          <t>8</t>
        </is>
      </c>
      <c r="L175" s="53" t="inlineStr">
        <is>
          <t>СК2</t>
        </is>
      </c>
      <c r="M175" s="52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63" t="n"/>
      <c r="P175" s="163" t="n"/>
      <c r="Q175" s="163" t="n"/>
      <c r="R175" s="128" t="n"/>
      <c r="S175" s="54" t="n"/>
      <c r="T175" s="54" t="n"/>
      <c r="U175" s="55" t="inlineStr">
        <is>
          <t>кг</t>
        </is>
      </c>
      <c r="V175" s="164" t="n">
        <v>0</v>
      </c>
      <c r="W175" s="165">
        <f>IFERROR(IF(V175="",0,CEILING((V175/$H175),1)*$H175),"")</f>
        <v/>
      </c>
      <c r="X175" s="58">
        <f>IFERROR(IF(W175=0,"",ROUNDUP(W175/H175,0)*0.01196),"")</f>
        <v/>
      </c>
      <c r="Y175" s="59" t="n"/>
      <c r="Z175" s="60" t="n"/>
      <c r="AA175" s="71" t="n"/>
      <c r="AD175" s="61" t="n"/>
      <c r="BA175" s="62" t="inlineStr">
        <is>
          <t>КИ</t>
        </is>
      </c>
    </row>
    <row r="176" ht="16.5" customHeight="1">
      <c r="A176" s="49" t="inlineStr">
        <is>
          <t>SU002795</t>
        </is>
      </c>
      <c r="B176" s="49" t="inlineStr">
        <is>
          <t>P003203</t>
        </is>
      </c>
      <c r="C176" s="50" t="n">
        <v>4301051380</v>
      </c>
      <c r="D176" s="107" t="n">
        <v>4680115880962</v>
      </c>
      <c r="E176" s="128" t="n"/>
      <c r="F176" s="162" t="n">
        <v>1.3</v>
      </c>
      <c r="G176" s="52" t="n">
        <v>6</v>
      </c>
      <c r="H176" s="162" t="n">
        <v>7.8</v>
      </c>
      <c r="I176" s="162" t="n">
        <v>8.364000000000001</v>
      </c>
      <c r="J176" s="52" t="n">
        <v>56</v>
      </c>
      <c r="K176" s="52" t="inlineStr">
        <is>
          <t>8</t>
        </is>
      </c>
      <c r="L176" s="53" t="inlineStr">
        <is>
          <t>СК2</t>
        </is>
      </c>
      <c r="M176" s="52" t="n">
        <v>40</v>
      </c>
      <c r="N176" s="10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63" t="n"/>
      <c r="P176" s="163" t="n"/>
      <c r="Q176" s="163" t="n"/>
      <c r="R176" s="128" t="n"/>
      <c r="S176" s="54" t="n"/>
      <c r="T176" s="54" t="n"/>
      <c r="U176" s="55" t="inlineStr">
        <is>
          <t>кг</t>
        </is>
      </c>
      <c r="V176" s="164" t="n">
        <v>0</v>
      </c>
      <c r="W176" s="165">
        <f>IFERROR(IF(V176="",0,CEILING((V176/$H176),1)*$H176),"")</f>
        <v/>
      </c>
      <c r="X176" s="58">
        <f>IFERROR(IF(W176=0,"",ROUNDUP(W176/H176,0)*0.02175),"")</f>
        <v/>
      </c>
      <c r="Y176" s="59" t="n"/>
      <c r="Z176" s="60" t="n"/>
      <c r="AA176" s="71" t="n"/>
      <c r="AD176" s="61" t="n"/>
      <c r="BA176" s="62" t="inlineStr">
        <is>
          <t>КИ</t>
        </is>
      </c>
    </row>
    <row r="177" ht="27" customHeight="1">
      <c r="A177" s="49" t="inlineStr">
        <is>
          <t>SU002845</t>
        </is>
      </c>
      <c r="B177" s="49" t="inlineStr">
        <is>
          <t>P003266</t>
        </is>
      </c>
      <c r="C177" s="50" t="n">
        <v>4301051411</v>
      </c>
      <c r="D177" s="107" t="n">
        <v>4680115881617</v>
      </c>
      <c r="E177" s="128" t="n"/>
      <c r="F177" s="162" t="n">
        <v>1.35</v>
      </c>
      <c r="G177" s="52" t="n">
        <v>6</v>
      </c>
      <c r="H177" s="162" t="n">
        <v>8.1</v>
      </c>
      <c r="I177" s="162" t="n">
        <v>8.646000000000001</v>
      </c>
      <c r="J177" s="52" t="n">
        <v>56</v>
      </c>
      <c r="K177" s="52" t="inlineStr">
        <is>
          <t>8</t>
        </is>
      </c>
      <c r="L177" s="53" t="inlineStr">
        <is>
          <t>СК3</t>
        </is>
      </c>
      <c r="M177" s="52" t="n">
        <v>40</v>
      </c>
      <c r="N177" s="10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63" t="n"/>
      <c r="P177" s="163" t="n"/>
      <c r="Q177" s="163" t="n"/>
      <c r="R177" s="128" t="n"/>
      <c r="S177" s="54" t="n"/>
      <c r="T177" s="54" t="n"/>
      <c r="U177" s="55" t="inlineStr">
        <is>
          <t>кг</t>
        </is>
      </c>
      <c r="V177" s="164" t="n">
        <v>0</v>
      </c>
      <c r="W177" s="165">
        <f>IFERROR(IF(V177="",0,CEILING((V177/$H177),1)*$H177),"")</f>
        <v/>
      </c>
      <c r="X177" s="58">
        <f>IFERROR(IF(W177=0,"",ROUNDUP(W177/H177,0)*0.02175),"")</f>
        <v/>
      </c>
      <c r="Y177" s="59" t="n"/>
      <c r="Z177" s="60" t="n"/>
      <c r="AA177" s="71" t="n"/>
      <c r="AD177" s="61" t="n"/>
      <c r="BA177" s="62" t="inlineStr">
        <is>
          <t>КИ</t>
        </is>
      </c>
    </row>
    <row r="178" ht="27" customHeight="1">
      <c r="A178" s="49" t="inlineStr">
        <is>
          <t>SU002801</t>
        </is>
      </c>
      <c r="B178" s="49" t="inlineStr">
        <is>
          <t>P003475</t>
        </is>
      </c>
      <c r="C178" s="50" t="n">
        <v>4301051487</v>
      </c>
      <c r="D178" s="107" t="n">
        <v>4680115881228</v>
      </c>
      <c r="E178" s="128" t="n"/>
      <c r="F178" s="162" t="n">
        <v>0.4</v>
      </c>
      <c r="G178" s="52" t="n">
        <v>6</v>
      </c>
      <c r="H178" s="162" t="n">
        <v>2.4</v>
      </c>
      <c r="I178" s="162" t="n">
        <v>2.672</v>
      </c>
      <c r="J178" s="52" t="n">
        <v>156</v>
      </c>
      <c r="K178" s="52" t="inlineStr">
        <is>
          <t>12</t>
        </is>
      </c>
      <c r="L178" s="53" t="inlineStr">
        <is>
          <t>СК2</t>
        </is>
      </c>
      <c r="M178" s="52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63" t="n"/>
      <c r="P178" s="163" t="n"/>
      <c r="Q178" s="163" t="n"/>
      <c r="R178" s="128" t="n"/>
      <c r="S178" s="54" t="n"/>
      <c r="T178" s="54" t="n"/>
      <c r="U178" s="55" t="inlineStr">
        <is>
          <t>кг</t>
        </is>
      </c>
      <c r="V178" s="164" t="n">
        <v>0</v>
      </c>
      <c r="W178" s="165">
        <f>IFERROR(IF(V178="",0,CEILING((V178/$H178),1)*$H178),"")</f>
        <v/>
      </c>
      <c r="X178" s="58">
        <f>IFERROR(IF(W178=0,"",ROUNDUP(W178/H178,0)*0.00753),"")</f>
        <v/>
      </c>
      <c r="Y178" s="59" t="n"/>
      <c r="Z178" s="60" t="n"/>
      <c r="AA178" s="71" t="n"/>
      <c r="AD178" s="61" t="n"/>
      <c r="BA178" s="62" t="inlineStr">
        <is>
          <t>КИ</t>
        </is>
      </c>
    </row>
    <row r="179" ht="27" customHeight="1">
      <c r="A179" s="49" t="inlineStr">
        <is>
          <t>SU002802</t>
        </is>
      </c>
      <c r="B179" s="49" t="inlineStr">
        <is>
          <t>P003580</t>
        </is>
      </c>
      <c r="C179" s="50" t="n">
        <v>4301051506</v>
      </c>
      <c r="D179" s="107" t="n">
        <v>4680115881037</v>
      </c>
      <c r="E179" s="128" t="n"/>
      <c r="F179" s="162" t="n">
        <v>0.84</v>
      </c>
      <c r="G179" s="52" t="n">
        <v>4</v>
      </c>
      <c r="H179" s="162" t="n">
        <v>3.36</v>
      </c>
      <c r="I179" s="162" t="n">
        <v>3.618</v>
      </c>
      <c r="J179" s="52" t="n">
        <v>120</v>
      </c>
      <c r="K179" s="52" t="inlineStr">
        <is>
          <t>12</t>
        </is>
      </c>
      <c r="L179" s="53" t="inlineStr">
        <is>
          <t>СК2</t>
        </is>
      </c>
      <c r="M179" s="52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63" t="n"/>
      <c r="P179" s="163" t="n"/>
      <c r="Q179" s="163" t="n"/>
      <c r="R179" s="128" t="n"/>
      <c r="S179" s="54" t="n"/>
      <c r="T179" s="54" t="n"/>
      <c r="U179" s="55" t="inlineStr">
        <is>
          <t>кг</t>
        </is>
      </c>
      <c r="V179" s="164" t="n">
        <v>0</v>
      </c>
      <c r="W179" s="165">
        <f>IFERROR(IF(V179="",0,CEILING((V179/$H179),1)*$H179),"")</f>
        <v/>
      </c>
      <c r="X179" s="58">
        <f>IFERROR(IF(W179=0,"",ROUNDUP(W179/H179,0)*0.00937),"")</f>
        <v/>
      </c>
      <c r="Y179" s="59" t="n"/>
      <c r="Z179" s="60" t="n"/>
      <c r="AA179" s="71" t="n"/>
      <c r="AD179" s="61" t="n"/>
      <c r="BA179" s="62" t="inlineStr">
        <is>
          <t>КИ</t>
        </is>
      </c>
    </row>
    <row r="180" ht="27" customHeight="1">
      <c r="A180" s="49" t="inlineStr">
        <is>
          <t>SU002799</t>
        </is>
      </c>
      <c r="B180" s="49" t="inlineStr">
        <is>
          <t>P003217</t>
        </is>
      </c>
      <c r="C180" s="50" t="n">
        <v>4301051384</v>
      </c>
      <c r="D180" s="107" t="n">
        <v>4680115881211</v>
      </c>
      <c r="E180" s="128" t="n"/>
      <c r="F180" s="162" t="n">
        <v>0.4</v>
      </c>
      <c r="G180" s="52" t="n">
        <v>6</v>
      </c>
      <c r="H180" s="162" t="n">
        <v>2.4</v>
      </c>
      <c r="I180" s="162" t="n">
        <v>2.6</v>
      </c>
      <c r="J180" s="52" t="n">
        <v>156</v>
      </c>
      <c r="K180" s="52" t="inlineStr">
        <is>
          <t>12</t>
        </is>
      </c>
      <c r="L180" s="53" t="inlineStr">
        <is>
          <t>СК2</t>
        </is>
      </c>
      <c r="M180" s="52" t="n">
        <v>45</v>
      </c>
      <c r="N180" s="10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63" t="n"/>
      <c r="P180" s="163" t="n"/>
      <c r="Q180" s="163" t="n"/>
      <c r="R180" s="128" t="n"/>
      <c r="S180" s="54" t="n"/>
      <c r="T180" s="54" t="n"/>
      <c r="U180" s="55" t="inlineStr">
        <is>
          <t>кг</t>
        </is>
      </c>
      <c r="V180" s="164" t="n">
        <v>0</v>
      </c>
      <c r="W180" s="165">
        <f>IFERROR(IF(V180="",0,CEILING((V180/$H180),1)*$H180),"")</f>
        <v/>
      </c>
      <c r="X180" s="58">
        <f>IFERROR(IF(W180=0,"",ROUNDUP(W180/H180,0)*0.00753),"")</f>
        <v/>
      </c>
      <c r="Y180" s="59" t="n"/>
      <c r="Z180" s="60" t="n"/>
      <c r="AA180" s="71" t="n"/>
      <c r="AD180" s="61" t="n"/>
      <c r="BA180" s="62" t="inlineStr">
        <is>
          <t>КИ</t>
        </is>
      </c>
    </row>
    <row r="181" ht="27" customHeight="1">
      <c r="A181" s="49" t="inlineStr">
        <is>
          <t>SU002800</t>
        </is>
      </c>
      <c r="B181" s="49" t="inlineStr">
        <is>
          <t>P003201</t>
        </is>
      </c>
      <c r="C181" s="50" t="n">
        <v>4301051378</v>
      </c>
      <c r="D181" s="107" t="n">
        <v>4680115881020</v>
      </c>
      <c r="E181" s="128" t="n"/>
      <c r="F181" s="162" t="n">
        <v>0.84</v>
      </c>
      <c r="G181" s="52" t="n">
        <v>4</v>
      </c>
      <c r="H181" s="162" t="n">
        <v>3.36</v>
      </c>
      <c r="I181" s="162" t="n">
        <v>3.57</v>
      </c>
      <c r="J181" s="52" t="n">
        <v>120</v>
      </c>
      <c r="K181" s="52" t="inlineStr">
        <is>
          <t>12</t>
        </is>
      </c>
      <c r="L181" s="53" t="inlineStr">
        <is>
          <t>СК2</t>
        </is>
      </c>
      <c r="M181" s="52" t="n">
        <v>45</v>
      </c>
      <c r="N181" s="1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63" t="n"/>
      <c r="P181" s="163" t="n"/>
      <c r="Q181" s="163" t="n"/>
      <c r="R181" s="128" t="n"/>
      <c r="S181" s="54" t="n"/>
      <c r="T181" s="54" t="n"/>
      <c r="U181" s="55" t="inlineStr">
        <is>
          <t>кг</t>
        </is>
      </c>
      <c r="V181" s="164" t="n">
        <v>0</v>
      </c>
      <c r="W181" s="165">
        <f>IFERROR(IF(V181="",0,CEILING((V181/$H181),1)*$H181),"")</f>
        <v/>
      </c>
      <c r="X181" s="58">
        <f>IFERROR(IF(W181=0,"",ROUNDUP(W181/H181,0)*0.00937),"")</f>
        <v/>
      </c>
      <c r="Y181" s="59" t="n"/>
      <c r="Z181" s="60" t="n"/>
      <c r="AA181" s="71" t="n"/>
      <c r="AD181" s="61" t="n"/>
      <c r="BA181" s="62" t="inlineStr">
        <is>
          <t>КИ</t>
        </is>
      </c>
    </row>
    <row r="182" ht="27" customHeight="1">
      <c r="A182" s="49" t="inlineStr">
        <is>
          <t>SU002842</t>
        </is>
      </c>
      <c r="B182" s="49" t="inlineStr">
        <is>
          <t>P003262</t>
        </is>
      </c>
      <c r="C182" s="50" t="n">
        <v>4301051407</v>
      </c>
      <c r="D182" s="107" t="n">
        <v>4680115882195</v>
      </c>
      <c r="E182" s="128" t="n"/>
      <c r="F182" s="162" t="n">
        <v>0.4</v>
      </c>
      <c r="G182" s="52" t="n">
        <v>6</v>
      </c>
      <c r="H182" s="162" t="n">
        <v>2.4</v>
      </c>
      <c r="I182" s="162" t="n">
        <v>2.69</v>
      </c>
      <c r="J182" s="52" t="n">
        <v>156</v>
      </c>
      <c r="K182" s="52" t="inlineStr">
        <is>
          <t>12</t>
        </is>
      </c>
      <c r="L182" s="53" t="inlineStr">
        <is>
          <t>СК3</t>
        </is>
      </c>
      <c r="M182" s="52" t="n">
        <v>40</v>
      </c>
      <c r="N182" s="10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63" t="n"/>
      <c r="P182" s="163" t="n"/>
      <c r="Q182" s="163" t="n"/>
      <c r="R182" s="128" t="n"/>
      <c r="S182" s="54" t="n"/>
      <c r="T182" s="54" t="n"/>
      <c r="U182" s="55" t="inlineStr">
        <is>
          <t>кг</t>
        </is>
      </c>
      <c r="V182" s="164" t="n">
        <v>0</v>
      </c>
      <c r="W182" s="165">
        <f>IFERROR(IF(V182="",0,CEILING((V182/$H182),1)*$H182),"")</f>
        <v/>
      </c>
      <c r="X182" s="58">
        <f>IFERROR(IF(W182=0,"",ROUNDUP(W182/H182,0)*0.00753),"")</f>
        <v/>
      </c>
      <c r="Y182" s="59" t="n"/>
      <c r="Z182" s="60" t="n"/>
      <c r="AA182" s="71" t="n"/>
      <c r="AD182" s="61" t="n"/>
      <c r="BA182" s="62" t="inlineStr">
        <is>
          <t>КИ</t>
        </is>
      </c>
    </row>
    <row r="183" ht="27" customHeight="1">
      <c r="A183" s="49" t="inlineStr">
        <is>
          <t>SU002992</t>
        </is>
      </c>
      <c r="B183" s="49" t="inlineStr">
        <is>
          <t>P003443</t>
        </is>
      </c>
      <c r="C183" s="50" t="n">
        <v>4301051479</v>
      </c>
      <c r="D183" s="107" t="n">
        <v>4680115882607</v>
      </c>
      <c r="E183" s="128" t="n"/>
      <c r="F183" s="162" t="n">
        <v>0.3</v>
      </c>
      <c r="G183" s="52" t="n">
        <v>6</v>
      </c>
      <c r="H183" s="162" t="n">
        <v>1.8</v>
      </c>
      <c r="I183" s="162" t="n">
        <v>2.072</v>
      </c>
      <c r="J183" s="52" t="n">
        <v>156</v>
      </c>
      <c r="K183" s="52" t="inlineStr">
        <is>
          <t>12</t>
        </is>
      </c>
      <c r="L183" s="53" t="inlineStr">
        <is>
          <t>СК3</t>
        </is>
      </c>
      <c r="M183" s="52" t="n">
        <v>45</v>
      </c>
      <c r="N183" s="10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63" t="n"/>
      <c r="P183" s="163" t="n"/>
      <c r="Q183" s="163" t="n"/>
      <c r="R183" s="128" t="n"/>
      <c r="S183" s="54" t="n"/>
      <c r="T183" s="54" t="n"/>
      <c r="U183" s="55" t="inlineStr">
        <is>
          <t>кг</t>
        </is>
      </c>
      <c r="V183" s="164" t="n">
        <v>0</v>
      </c>
      <c r="W183" s="165">
        <f>IFERROR(IF(V183="",0,CEILING((V183/$H183),1)*$H183),"")</f>
        <v/>
      </c>
      <c r="X183" s="58">
        <f>IFERROR(IF(W183=0,"",ROUNDUP(W183/H183,0)*0.00753),"")</f>
        <v/>
      </c>
      <c r="Y183" s="59" t="n"/>
      <c r="Z183" s="60" t="n"/>
      <c r="AA183" s="71" t="n"/>
      <c r="AD183" s="61" t="n"/>
      <c r="BA183" s="62" t="inlineStr">
        <is>
          <t>КИ</t>
        </is>
      </c>
    </row>
    <row r="184" ht="27" customHeight="1">
      <c r="A184" s="49" t="inlineStr">
        <is>
          <t>SU002618</t>
        </is>
      </c>
      <c r="B184" s="49" t="inlineStr">
        <is>
          <t>P003398</t>
        </is>
      </c>
      <c r="C184" s="50" t="n">
        <v>4301051468</v>
      </c>
      <c r="D184" s="107" t="n">
        <v>4680115880092</v>
      </c>
      <c r="E184" s="128" t="n"/>
      <c r="F184" s="162" t="n">
        <v>0.4</v>
      </c>
      <c r="G184" s="52" t="n">
        <v>6</v>
      </c>
      <c r="H184" s="162" t="n">
        <v>2.4</v>
      </c>
      <c r="I184" s="162" t="n">
        <v>2.672</v>
      </c>
      <c r="J184" s="52" t="n">
        <v>156</v>
      </c>
      <c r="K184" s="52" t="inlineStr">
        <is>
          <t>12</t>
        </is>
      </c>
      <c r="L184" s="53" t="inlineStr">
        <is>
          <t>СК3</t>
        </is>
      </c>
      <c r="M184" s="52" t="n">
        <v>45</v>
      </c>
      <c r="N184" s="10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63" t="n"/>
      <c r="P184" s="163" t="n"/>
      <c r="Q184" s="163" t="n"/>
      <c r="R184" s="128" t="n"/>
      <c r="S184" s="54" t="n"/>
      <c r="T184" s="54" t="n"/>
      <c r="U184" s="55" t="inlineStr">
        <is>
          <t>кг</t>
        </is>
      </c>
      <c r="V184" s="164" t="n">
        <v>0</v>
      </c>
      <c r="W184" s="165">
        <f>IFERROR(IF(V184="",0,CEILING((V184/$H184),1)*$H184),"")</f>
        <v/>
      </c>
      <c r="X184" s="58">
        <f>IFERROR(IF(W184=0,"",ROUNDUP(W184/H184,0)*0.00753),"")</f>
        <v/>
      </c>
      <c r="Y184" s="59" t="n"/>
      <c r="Z184" s="60" t="n"/>
      <c r="AA184" s="71" t="n"/>
      <c r="AD184" s="61" t="n"/>
      <c r="BA184" s="62" t="inlineStr">
        <is>
          <t>КИ</t>
        </is>
      </c>
    </row>
    <row r="185" ht="27" customHeight="1">
      <c r="A185" s="49" t="inlineStr">
        <is>
          <t>SU002621</t>
        </is>
      </c>
      <c r="B185" s="49" t="inlineStr">
        <is>
          <t>P003399</t>
        </is>
      </c>
      <c r="C185" s="50" t="n">
        <v>4301051469</v>
      </c>
      <c r="D185" s="107" t="n">
        <v>4680115880221</v>
      </c>
      <c r="E185" s="128" t="n"/>
      <c r="F185" s="162" t="n">
        <v>0.4</v>
      </c>
      <c r="G185" s="52" t="n">
        <v>6</v>
      </c>
      <c r="H185" s="162" t="n">
        <v>2.4</v>
      </c>
      <c r="I185" s="162" t="n">
        <v>2.672</v>
      </c>
      <c r="J185" s="52" t="n">
        <v>156</v>
      </c>
      <c r="K185" s="52" t="inlineStr">
        <is>
          <t>12</t>
        </is>
      </c>
      <c r="L185" s="53" t="inlineStr">
        <is>
          <t>СК3</t>
        </is>
      </c>
      <c r="M185" s="52" t="n">
        <v>45</v>
      </c>
      <c r="N185" s="1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63" t="n"/>
      <c r="P185" s="163" t="n"/>
      <c r="Q185" s="163" t="n"/>
      <c r="R185" s="128" t="n"/>
      <c r="S185" s="54" t="n"/>
      <c r="T185" s="54" t="n"/>
      <c r="U185" s="55" t="inlineStr">
        <is>
          <t>кг</t>
        </is>
      </c>
      <c r="V185" s="164" t="n">
        <v>9.600000000000001</v>
      </c>
      <c r="W185" s="165">
        <f>IFERROR(IF(V185="",0,CEILING((V185/$H185),1)*$H185),"")</f>
        <v/>
      </c>
      <c r="X185" s="58">
        <f>IFERROR(IF(W185=0,"",ROUNDUP(W185/H185,0)*0.00753),"")</f>
        <v/>
      </c>
      <c r="Y185" s="59" t="n"/>
      <c r="Z185" s="60" t="n"/>
      <c r="AA185" s="71" t="n"/>
      <c r="AD185" s="61" t="n"/>
      <c r="BA185" s="62" t="inlineStr">
        <is>
          <t>КИ</t>
        </is>
      </c>
    </row>
    <row r="186" ht="16.5" customHeight="1">
      <c r="A186" s="49" t="inlineStr">
        <is>
          <t>SU003073</t>
        </is>
      </c>
      <c r="B186" s="49" t="inlineStr">
        <is>
          <t>P003613</t>
        </is>
      </c>
      <c r="C186" s="50" t="n">
        <v>4301051523</v>
      </c>
      <c r="D186" s="107" t="n">
        <v>4680115882942</v>
      </c>
      <c r="E186" s="128" t="n"/>
      <c r="F186" s="162" t="n">
        <v>0.3</v>
      </c>
      <c r="G186" s="52" t="n">
        <v>6</v>
      </c>
      <c r="H186" s="162" t="n">
        <v>1.8</v>
      </c>
      <c r="I186" s="162" t="n">
        <v>2.072</v>
      </c>
      <c r="J186" s="52" t="n">
        <v>156</v>
      </c>
      <c r="K186" s="52" t="inlineStr">
        <is>
          <t>12</t>
        </is>
      </c>
      <c r="L186" s="53" t="inlineStr">
        <is>
          <t>СК2</t>
        </is>
      </c>
      <c r="M186" s="52" t="n">
        <v>40</v>
      </c>
      <c r="N186" s="1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63" t="n"/>
      <c r="P186" s="163" t="n"/>
      <c r="Q186" s="163" t="n"/>
      <c r="R186" s="128" t="n"/>
      <c r="S186" s="54" t="n"/>
      <c r="T186" s="54" t="n"/>
      <c r="U186" s="55" t="inlineStr">
        <is>
          <t>кг</t>
        </is>
      </c>
      <c r="V186" s="164" t="n">
        <v>0</v>
      </c>
      <c r="W186" s="165">
        <f>IFERROR(IF(V186="",0,CEILING((V186/$H186),1)*$H186),"")</f>
        <v/>
      </c>
      <c r="X186" s="58">
        <f>IFERROR(IF(W186=0,"",ROUNDUP(W186/H186,0)*0.00753),"")</f>
        <v/>
      </c>
      <c r="Y186" s="59" t="n"/>
      <c r="Z186" s="60" t="n"/>
      <c r="AA186" s="71" t="n"/>
      <c r="AD186" s="61" t="n"/>
      <c r="BA186" s="62" t="inlineStr">
        <is>
          <t>КИ</t>
        </is>
      </c>
    </row>
    <row r="187" ht="16.5" customHeight="1">
      <c r="A187" s="49" t="inlineStr">
        <is>
          <t>SU002686</t>
        </is>
      </c>
      <c r="B187" s="49" t="inlineStr">
        <is>
          <t>P003071</t>
        </is>
      </c>
      <c r="C187" s="50" t="n">
        <v>4301051326</v>
      </c>
      <c r="D187" s="107" t="n">
        <v>4680115880504</v>
      </c>
      <c r="E187" s="128" t="n"/>
      <c r="F187" s="162" t="n">
        <v>0.4</v>
      </c>
      <c r="G187" s="52" t="n">
        <v>6</v>
      </c>
      <c r="H187" s="162" t="n">
        <v>2.4</v>
      </c>
      <c r="I187" s="162" t="n">
        <v>2.672</v>
      </c>
      <c r="J187" s="52" t="n">
        <v>156</v>
      </c>
      <c r="K187" s="52" t="inlineStr">
        <is>
          <t>12</t>
        </is>
      </c>
      <c r="L187" s="53" t="inlineStr">
        <is>
          <t>СК2</t>
        </is>
      </c>
      <c r="M187" s="52" t="n">
        <v>40</v>
      </c>
      <c r="N187" s="1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63" t="n"/>
      <c r="P187" s="163" t="n"/>
      <c r="Q187" s="163" t="n"/>
      <c r="R187" s="128" t="n"/>
      <c r="S187" s="54" t="n"/>
      <c r="T187" s="54" t="n"/>
      <c r="U187" s="55" t="inlineStr">
        <is>
          <t>кг</t>
        </is>
      </c>
      <c r="V187" s="164" t="n">
        <v>0</v>
      </c>
      <c r="W187" s="165">
        <f>IFERROR(IF(V187="",0,CEILING((V187/$H187),1)*$H187),"")</f>
        <v/>
      </c>
      <c r="X187" s="58">
        <f>IFERROR(IF(W187=0,"",ROUNDUP(W187/H187,0)*0.00753),"")</f>
        <v/>
      </c>
      <c r="Y187" s="59" t="n"/>
      <c r="Z187" s="60" t="n"/>
      <c r="AA187" s="71" t="n"/>
      <c r="AD187" s="61" t="n"/>
      <c r="BA187" s="62" t="inlineStr">
        <is>
          <t>КИ</t>
        </is>
      </c>
    </row>
    <row r="188" ht="27" customHeight="1">
      <c r="A188" s="49" t="inlineStr">
        <is>
          <t>SU002844</t>
        </is>
      </c>
      <c r="B188" s="49" t="inlineStr">
        <is>
          <t>P003265</t>
        </is>
      </c>
      <c r="C188" s="50" t="n">
        <v>4301051410</v>
      </c>
      <c r="D188" s="107" t="n">
        <v>4680115882164</v>
      </c>
      <c r="E188" s="128" t="n"/>
      <c r="F188" s="162" t="n">
        <v>0.4</v>
      </c>
      <c r="G188" s="52" t="n">
        <v>6</v>
      </c>
      <c r="H188" s="162" t="n">
        <v>2.4</v>
      </c>
      <c r="I188" s="162" t="n">
        <v>2.678</v>
      </c>
      <c r="J188" s="52" t="n">
        <v>156</v>
      </c>
      <c r="K188" s="52" t="inlineStr">
        <is>
          <t>12</t>
        </is>
      </c>
      <c r="L188" s="53" t="inlineStr">
        <is>
          <t>СК3</t>
        </is>
      </c>
      <c r="M188" s="52" t="n">
        <v>40</v>
      </c>
      <c r="N188" s="1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63" t="n"/>
      <c r="P188" s="163" t="n"/>
      <c r="Q188" s="163" t="n"/>
      <c r="R188" s="128" t="n"/>
      <c r="S188" s="54" t="n"/>
      <c r="T188" s="54" t="n"/>
      <c r="U188" s="55" t="inlineStr">
        <is>
          <t>кг</t>
        </is>
      </c>
      <c r="V188" s="164" t="n">
        <v>0</v>
      </c>
      <c r="W188" s="165">
        <f>IFERROR(IF(V188="",0,CEILING((V188/$H188),1)*$H188),"")</f>
        <v/>
      </c>
      <c r="X188" s="58">
        <f>IFERROR(IF(W188=0,"",ROUNDUP(W188/H188,0)*0.00753),"")</f>
        <v/>
      </c>
      <c r="Y188" s="59" t="n"/>
      <c r="Z188" s="60" t="n"/>
      <c r="AA188" s="71" t="n"/>
      <c r="AD188" s="61" t="n"/>
      <c r="BA188" s="62" t="inlineStr">
        <is>
          <t>КИ</t>
        </is>
      </c>
    </row>
    <row r="189" ht="12.5" customHeight="1">
      <c r="A189" s="10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66" t="n"/>
      <c r="N189" s="110" t="inlineStr">
        <is>
          <t>Итого</t>
        </is>
      </c>
      <c r="O189" s="134" t="n"/>
      <c r="P189" s="134" t="n"/>
      <c r="Q189" s="134" t="n"/>
      <c r="R189" s="134" t="n"/>
      <c r="S189" s="134" t="n"/>
      <c r="T189" s="135" t="n"/>
      <c r="U189" s="63" t="inlineStr">
        <is>
          <t>кор</t>
        </is>
      </c>
      <c r="V189" s="16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16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16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168" t="n"/>
      <c r="Z189" s="168" t="n"/>
      <c r="AA189" s="71" t="n"/>
    </row>
    <row r="190" ht="12.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66" t="n"/>
      <c r="N190" s="110" t="inlineStr">
        <is>
          <t>Итого</t>
        </is>
      </c>
      <c r="O190" s="134" t="n"/>
      <c r="P190" s="134" t="n"/>
      <c r="Q190" s="134" t="n"/>
      <c r="R190" s="134" t="n"/>
      <c r="S190" s="134" t="n"/>
      <c r="T190" s="135" t="n"/>
      <c r="U190" s="63" t="inlineStr">
        <is>
          <t>кг</t>
        </is>
      </c>
      <c r="V190" s="167">
        <f>IFERROR(SUM(V172:V188),"0")</f>
        <v/>
      </c>
      <c r="W190" s="167">
        <f>IFERROR(SUM(W172:W188),"0")</f>
        <v/>
      </c>
      <c r="X190" s="63" t="n"/>
      <c r="Y190" s="168" t="n"/>
      <c r="Z190" s="168" t="n"/>
      <c r="AA190" s="71" t="n"/>
    </row>
    <row r="191" ht="14.25" customHeight="1">
      <c r="A191" s="106" t="inlineStr">
        <is>
          <t>Сардельки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06" t="n"/>
      <c r="Z191" s="106" t="n"/>
      <c r="AA191" s="71" t="n"/>
    </row>
    <row r="192" ht="16.5" customHeight="1">
      <c r="A192" s="49" t="inlineStr">
        <is>
          <t>SU002758</t>
        </is>
      </c>
      <c r="B192" s="49" t="inlineStr">
        <is>
          <t>P003129</t>
        </is>
      </c>
      <c r="C192" s="50" t="n">
        <v>4301060338</v>
      </c>
      <c r="D192" s="107" t="n">
        <v>4680115880801</v>
      </c>
      <c r="E192" s="128" t="n"/>
      <c r="F192" s="162" t="n">
        <v>0.4</v>
      </c>
      <c r="G192" s="52" t="n">
        <v>6</v>
      </c>
      <c r="H192" s="162" t="n">
        <v>2.4</v>
      </c>
      <c r="I192" s="162" t="n">
        <v>2.672</v>
      </c>
      <c r="J192" s="52" t="n">
        <v>156</v>
      </c>
      <c r="K192" s="52" t="inlineStr">
        <is>
          <t>12</t>
        </is>
      </c>
      <c r="L192" s="53" t="inlineStr">
        <is>
          <t>СК2</t>
        </is>
      </c>
      <c r="M192" s="52" t="n">
        <v>40</v>
      </c>
      <c r="N192" s="10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63" t="n"/>
      <c r="P192" s="163" t="n"/>
      <c r="Q192" s="163" t="n"/>
      <c r="R192" s="128" t="n"/>
      <c r="S192" s="54" t="n"/>
      <c r="T192" s="54" t="n"/>
      <c r="U192" s="55" t="inlineStr">
        <is>
          <t>кг</t>
        </is>
      </c>
      <c r="V192" s="164" t="n">
        <v>0</v>
      </c>
      <c r="W192" s="165">
        <f>IFERROR(IF(V192="",0,CEILING((V192/$H192),1)*$H192),"")</f>
        <v/>
      </c>
      <c r="X192" s="58">
        <f>IFERROR(IF(W192=0,"",ROUNDUP(W192/H192,0)*0.00753),"")</f>
        <v/>
      </c>
      <c r="Y192" s="59" t="n"/>
      <c r="Z192" s="60" t="n"/>
      <c r="AA192" s="71" t="n"/>
      <c r="AD192" s="61" t="n"/>
      <c r="BA192" s="62" t="inlineStr">
        <is>
          <t>КИ</t>
        </is>
      </c>
    </row>
    <row r="193" ht="27" customHeight="1">
      <c r="A193" s="49" t="inlineStr">
        <is>
          <t>SU002759</t>
        </is>
      </c>
      <c r="B193" s="49" t="inlineStr">
        <is>
          <t>P003130</t>
        </is>
      </c>
      <c r="C193" s="50" t="n">
        <v>4301060339</v>
      </c>
      <c r="D193" s="107" t="n">
        <v>4680115880818</v>
      </c>
      <c r="E193" s="128" t="n"/>
      <c r="F193" s="162" t="n">
        <v>0.4</v>
      </c>
      <c r="G193" s="52" t="n">
        <v>6</v>
      </c>
      <c r="H193" s="162" t="n">
        <v>2.4</v>
      </c>
      <c r="I193" s="162" t="n">
        <v>2.672</v>
      </c>
      <c r="J193" s="52" t="n">
        <v>156</v>
      </c>
      <c r="K193" s="52" t="inlineStr">
        <is>
          <t>12</t>
        </is>
      </c>
      <c r="L193" s="53" t="inlineStr">
        <is>
          <t>СК2</t>
        </is>
      </c>
      <c r="M193" s="52" t="n">
        <v>40</v>
      </c>
      <c r="N193" s="1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63" t="n"/>
      <c r="P193" s="163" t="n"/>
      <c r="Q193" s="163" t="n"/>
      <c r="R193" s="128" t="n"/>
      <c r="S193" s="54" t="n"/>
      <c r="T193" s="54" t="n"/>
      <c r="U193" s="55" t="inlineStr">
        <is>
          <t>кг</t>
        </is>
      </c>
      <c r="V193" s="164" t="n">
        <v>0</v>
      </c>
      <c r="W193" s="165">
        <f>IFERROR(IF(V193="",0,CEILING((V193/$H193),1)*$H193),"")</f>
        <v/>
      </c>
      <c r="X193" s="58">
        <f>IFERROR(IF(W193=0,"",ROUNDUP(W193/H193,0)*0.00753),"")</f>
        <v/>
      </c>
      <c r="Y193" s="59" t="n"/>
      <c r="Z193" s="60" t="n"/>
      <c r="AA193" s="71" t="n"/>
      <c r="AD193" s="61" t="n"/>
      <c r="BA193" s="62" t="inlineStr">
        <is>
          <t>КИ</t>
        </is>
      </c>
    </row>
    <row r="194" ht="12.5" customHeight="1">
      <c r="A194" s="10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66" t="n"/>
      <c r="N194" s="110" t="inlineStr">
        <is>
          <t>Итого</t>
        </is>
      </c>
      <c r="O194" s="134" t="n"/>
      <c r="P194" s="134" t="n"/>
      <c r="Q194" s="134" t="n"/>
      <c r="R194" s="134" t="n"/>
      <c r="S194" s="134" t="n"/>
      <c r="T194" s="135" t="n"/>
      <c r="U194" s="63" t="inlineStr">
        <is>
          <t>кор</t>
        </is>
      </c>
      <c r="V194" s="167">
        <f>IFERROR(V192/H192,"0")+IFERROR(V193/H193,"0")</f>
        <v/>
      </c>
      <c r="W194" s="167">
        <f>IFERROR(W192/H192,"0")+IFERROR(W193/H193,"0")</f>
        <v/>
      </c>
      <c r="X194" s="167">
        <f>IFERROR(IF(X192="",0,X192),"0")+IFERROR(IF(X193="",0,X193),"0")</f>
        <v/>
      </c>
      <c r="Y194" s="168" t="n"/>
      <c r="Z194" s="168" t="n"/>
      <c r="AA194" s="71" t="n"/>
    </row>
    <row r="195" ht="12.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66" t="n"/>
      <c r="N195" s="110" t="inlineStr">
        <is>
          <t>Итого</t>
        </is>
      </c>
      <c r="O195" s="134" t="n"/>
      <c r="P195" s="134" t="n"/>
      <c r="Q195" s="134" t="n"/>
      <c r="R195" s="134" t="n"/>
      <c r="S195" s="134" t="n"/>
      <c r="T195" s="135" t="n"/>
      <c r="U195" s="63" t="inlineStr">
        <is>
          <t>кг</t>
        </is>
      </c>
      <c r="V195" s="167">
        <f>IFERROR(SUM(V192:V193),"0")</f>
        <v/>
      </c>
      <c r="W195" s="167">
        <f>IFERROR(SUM(W192:W193),"0")</f>
        <v/>
      </c>
      <c r="X195" s="63" t="n"/>
      <c r="Y195" s="168" t="n"/>
      <c r="Z195" s="168" t="n"/>
      <c r="AA195" s="71" t="n"/>
    </row>
    <row r="196" ht="16.5" customHeight="1">
      <c r="A196" s="105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05" t="n"/>
      <c r="Z196" s="105" t="n"/>
      <c r="AA196" s="71" t="n"/>
    </row>
    <row r="197" ht="14.25" customHeight="1">
      <c r="A197" s="106" t="inlineStr">
        <is>
          <t>Вареные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06" t="n"/>
      <c r="Z197" s="106" t="n"/>
      <c r="AA197" s="71" t="n"/>
    </row>
    <row r="198" ht="27" customHeight="1">
      <c r="A198" s="49" t="inlineStr">
        <is>
          <t>SU000057</t>
        </is>
      </c>
      <c r="B198" s="49" t="inlineStr">
        <is>
          <t>P002047</t>
        </is>
      </c>
      <c r="C198" s="50" t="n">
        <v>4301011346</v>
      </c>
      <c r="D198" s="107" t="n">
        <v>4607091387445</v>
      </c>
      <c r="E198" s="128" t="n"/>
      <c r="F198" s="162" t="n">
        <v>0.9</v>
      </c>
      <c r="G198" s="52" t="n">
        <v>10</v>
      </c>
      <c r="H198" s="162" t="n">
        <v>9</v>
      </c>
      <c r="I198" s="162" t="n">
        <v>9.630000000000001</v>
      </c>
      <c r="J198" s="52" t="n">
        <v>56</v>
      </c>
      <c r="K198" s="52" t="inlineStr">
        <is>
          <t>8</t>
        </is>
      </c>
      <c r="L198" s="53" t="inlineStr">
        <is>
          <t>СК1</t>
        </is>
      </c>
      <c r="M198" s="52" t="n">
        <v>31</v>
      </c>
      <c r="N198" s="1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63" t="n"/>
      <c r="P198" s="163" t="n"/>
      <c r="Q198" s="163" t="n"/>
      <c r="R198" s="128" t="n"/>
      <c r="S198" s="54" t="n"/>
      <c r="T198" s="54" t="n"/>
      <c r="U198" s="55" t="inlineStr">
        <is>
          <t>кг</t>
        </is>
      </c>
      <c r="V198" s="164" t="n">
        <v>0</v>
      </c>
      <c r="W198" s="165">
        <f>IFERROR(IF(V198="",0,CEILING((V198/$H198),1)*$H198),"")</f>
        <v/>
      </c>
      <c r="X198" s="58">
        <f>IFERROR(IF(W198=0,"",ROUNDUP(W198/H198,0)*0.02175),"")</f>
        <v/>
      </c>
      <c r="Y198" s="59" t="n"/>
      <c r="Z198" s="60" t="n"/>
      <c r="AA198" s="71" t="n"/>
      <c r="AD198" s="61" t="n"/>
      <c r="BA198" s="62" t="inlineStr">
        <is>
          <t>КИ</t>
        </is>
      </c>
    </row>
    <row r="199" ht="27" customHeight="1">
      <c r="A199" s="49" t="inlineStr">
        <is>
          <t>SU001777</t>
        </is>
      </c>
      <c r="B199" s="49" t="inlineStr">
        <is>
          <t>P002226</t>
        </is>
      </c>
      <c r="C199" s="50" t="n">
        <v>4301011362</v>
      </c>
      <c r="D199" s="107" t="n">
        <v>4607091386004</v>
      </c>
      <c r="E199" s="128" t="n"/>
      <c r="F199" s="162" t="n">
        <v>1.35</v>
      </c>
      <c r="G199" s="52" t="n">
        <v>8</v>
      </c>
      <c r="H199" s="162" t="n">
        <v>10.8</v>
      </c>
      <c r="I199" s="162" t="n">
        <v>11.28</v>
      </c>
      <c r="J199" s="52" t="n">
        <v>48</v>
      </c>
      <c r="K199" s="52" t="inlineStr">
        <is>
          <t>8</t>
        </is>
      </c>
      <c r="L199" s="53" t="inlineStr">
        <is>
          <t>ВЗ</t>
        </is>
      </c>
      <c r="M199" s="52" t="n">
        <v>55</v>
      </c>
      <c r="N199" s="1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63" t="n"/>
      <c r="P199" s="163" t="n"/>
      <c r="Q199" s="163" t="n"/>
      <c r="R199" s="128" t="n"/>
      <c r="S199" s="54" t="n"/>
      <c r="T199" s="54" t="n"/>
      <c r="U199" s="55" t="inlineStr">
        <is>
          <t>кг</t>
        </is>
      </c>
      <c r="V199" s="164" t="n">
        <v>0</v>
      </c>
      <c r="W199" s="165">
        <f>IFERROR(IF(V199="",0,CEILING((V199/$H199),1)*$H199),"")</f>
        <v/>
      </c>
      <c r="X199" s="58">
        <f>IFERROR(IF(W199=0,"",ROUNDUP(W199/H199,0)*0.02039),"")</f>
        <v/>
      </c>
      <c r="Y199" s="59" t="n"/>
      <c r="Z199" s="60" t="n"/>
      <c r="AA199" s="71" t="n"/>
      <c r="AD199" s="61" t="n"/>
      <c r="BA199" s="62" t="inlineStr">
        <is>
          <t>КИ</t>
        </is>
      </c>
    </row>
    <row r="200" ht="27" customHeight="1">
      <c r="A200" s="49" t="inlineStr">
        <is>
          <t>SU001777</t>
        </is>
      </c>
      <c r="B200" s="49" t="inlineStr">
        <is>
          <t>P001777</t>
        </is>
      </c>
      <c r="C200" s="50" t="n">
        <v>4301011308</v>
      </c>
      <c r="D200" s="107" t="n">
        <v>4607091386004</v>
      </c>
      <c r="E200" s="128" t="n"/>
      <c r="F200" s="162" t="n">
        <v>1.35</v>
      </c>
      <c r="G200" s="52" t="n">
        <v>8</v>
      </c>
      <c r="H200" s="162" t="n">
        <v>10.8</v>
      </c>
      <c r="I200" s="162" t="n">
        <v>11.28</v>
      </c>
      <c r="J200" s="52" t="n">
        <v>56</v>
      </c>
      <c r="K200" s="52" t="inlineStr">
        <is>
          <t>8</t>
        </is>
      </c>
      <c r="L200" s="53" t="inlineStr">
        <is>
          <t>СК1</t>
        </is>
      </c>
      <c r="M200" s="52" t="n">
        <v>55</v>
      </c>
      <c r="N200" s="10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63" t="n"/>
      <c r="P200" s="163" t="n"/>
      <c r="Q200" s="163" t="n"/>
      <c r="R200" s="128" t="n"/>
      <c r="S200" s="54" t="n"/>
      <c r="T200" s="54" t="n"/>
      <c r="U200" s="55" t="inlineStr">
        <is>
          <t>кг</t>
        </is>
      </c>
      <c r="V200" s="164" t="n">
        <v>0</v>
      </c>
      <c r="W200" s="165">
        <f>IFERROR(IF(V200="",0,CEILING((V200/$H200),1)*$H200),"")</f>
        <v/>
      </c>
      <c r="X200" s="58">
        <f>IFERROR(IF(W200=0,"",ROUNDUP(W200/H200,0)*0.02175),"")</f>
        <v/>
      </c>
      <c r="Y200" s="59" t="n"/>
      <c r="Z200" s="60" t="n"/>
      <c r="AA200" s="71" t="n"/>
      <c r="AD200" s="61" t="n"/>
      <c r="BA200" s="62" t="inlineStr">
        <is>
          <t>КИ</t>
        </is>
      </c>
    </row>
    <row r="201" ht="27" customHeight="1">
      <c r="A201" s="49" t="inlineStr">
        <is>
          <t>SU000058</t>
        </is>
      </c>
      <c r="B201" s="49" t="inlineStr">
        <is>
          <t>P002048</t>
        </is>
      </c>
      <c r="C201" s="50" t="n">
        <v>4301011347</v>
      </c>
      <c r="D201" s="107" t="n">
        <v>4607091386073</v>
      </c>
      <c r="E201" s="128" t="n"/>
      <c r="F201" s="162" t="n">
        <v>0.9</v>
      </c>
      <c r="G201" s="52" t="n">
        <v>10</v>
      </c>
      <c r="H201" s="162" t="n">
        <v>9</v>
      </c>
      <c r="I201" s="162" t="n">
        <v>9.630000000000001</v>
      </c>
      <c r="J201" s="52" t="n">
        <v>56</v>
      </c>
      <c r="K201" s="52" t="inlineStr">
        <is>
          <t>8</t>
        </is>
      </c>
      <c r="L201" s="53" t="inlineStr">
        <is>
          <t>СК1</t>
        </is>
      </c>
      <c r="M201" s="52" t="n">
        <v>31</v>
      </c>
      <c r="N201" s="10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63" t="n"/>
      <c r="P201" s="163" t="n"/>
      <c r="Q201" s="163" t="n"/>
      <c r="R201" s="128" t="n"/>
      <c r="S201" s="54" t="n"/>
      <c r="T201" s="54" t="n"/>
      <c r="U201" s="55" t="inlineStr">
        <is>
          <t>кг</t>
        </is>
      </c>
      <c r="V201" s="164" t="n">
        <v>0</v>
      </c>
      <c r="W201" s="165">
        <f>IFERROR(IF(V201="",0,CEILING((V201/$H201),1)*$H201),"")</f>
        <v/>
      </c>
      <c r="X201" s="58">
        <f>IFERROR(IF(W201=0,"",ROUNDUP(W201/H201,0)*0.02175),"")</f>
        <v/>
      </c>
      <c r="Y201" s="59" t="n"/>
      <c r="Z201" s="60" t="n"/>
      <c r="AA201" s="71" t="n"/>
      <c r="AD201" s="61" t="n"/>
      <c r="BA201" s="62" t="inlineStr">
        <is>
          <t>КИ</t>
        </is>
      </c>
    </row>
    <row r="202" ht="27" customHeight="1">
      <c r="A202" s="49" t="inlineStr">
        <is>
          <t>SU001780</t>
        </is>
      </c>
      <c r="B202" s="49" t="inlineStr">
        <is>
          <t>P003075</t>
        </is>
      </c>
      <c r="C202" s="50" t="n">
        <v>4301011395</v>
      </c>
      <c r="D202" s="107" t="n">
        <v>4607091387322</v>
      </c>
      <c r="E202" s="128" t="n"/>
      <c r="F202" s="162" t="n">
        <v>1.35</v>
      </c>
      <c r="G202" s="52" t="n">
        <v>8</v>
      </c>
      <c r="H202" s="162" t="n">
        <v>10.8</v>
      </c>
      <c r="I202" s="162" t="n">
        <v>11.28</v>
      </c>
      <c r="J202" s="52" t="n">
        <v>48</v>
      </c>
      <c r="K202" s="52" t="inlineStr">
        <is>
          <t>8</t>
        </is>
      </c>
      <c r="L202" s="53" t="inlineStr">
        <is>
          <t>ВЗ</t>
        </is>
      </c>
      <c r="M202" s="52" t="n">
        <v>55</v>
      </c>
      <c r="N202" s="1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63" t="n"/>
      <c r="P202" s="163" t="n"/>
      <c r="Q202" s="163" t="n"/>
      <c r="R202" s="128" t="n"/>
      <c r="S202" s="54" t="n"/>
      <c r="T202" s="54" t="n"/>
      <c r="U202" s="55" t="inlineStr">
        <is>
          <t>кг</t>
        </is>
      </c>
      <c r="V202" s="164" t="n">
        <v>0</v>
      </c>
      <c r="W202" s="165">
        <f>IFERROR(IF(V202="",0,CEILING((V202/$H202),1)*$H202),"")</f>
        <v/>
      </c>
      <c r="X202" s="58">
        <f>IFERROR(IF(W202=0,"",ROUNDUP(W202/H202,0)*0.02039),"")</f>
        <v/>
      </c>
      <c r="Y202" s="59" t="n"/>
      <c r="Z202" s="60" t="n"/>
      <c r="AA202" s="71" t="n"/>
      <c r="AD202" s="61" t="n"/>
      <c r="BA202" s="62" t="inlineStr">
        <is>
          <t>КИ</t>
        </is>
      </c>
    </row>
    <row r="203" ht="27" customHeight="1">
      <c r="A203" s="49" t="inlineStr">
        <is>
          <t>SU001780</t>
        </is>
      </c>
      <c r="B203" s="49" t="inlineStr">
        <is>
          <t>P001780</t>
        </is>
      </c>
      <c r="C203" s="50" t="n">
        <v>4301010928</v>
      </c>
      <c r="D203" s="107" t="n">
        <v>4607091387322</v>
      </c>
      <c r="E203" s="128" t="n"/>
      <c r="F203" s="162" t="n">
        <v>1.35</v>
      </c>
      <c r="G203" s="52" t="n">
        <v>8</v>
      </c>
      <c r="H203" s="162" t="n">
        <v>10.8</v>
      </c>
      <c r="I203" s="162" t="n">
        <v>11.28</v>
      </c>
      <c r="J203" s="52" t="n">
        <v>56</v>
      </c>
      <c r="K203" s="52" t="inlineStr">
        <is>
          <t>8</t>
        </is>
      </c>
      <c r="L203" s="53" t="inlineStr">
        <is>
          <t>СК1</t>
        </is>
      </c>
      <c r="M203" s="52" t="n">
        <v>55</v>
      </c>
      <c r="N203" s="1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63" t="n"/>
      <c r="P203" s="163" t="n"/>
      <c r="Q203" s="163" t="n"/>
      <c r="R203" s="128" t="n"/>
      <c r="S203" s="54" t="n"/>
      <c r="T203" s="54" t="n"/>
      <c r="U203" s="55" t="inlineStr">
        <is>
          <t>кг</t>
        </is>
      </c>
      <c r="V203" s="164" t="n">
        <v>0</v>
      </c>
      <c r="W203" s="165">
        <f>IFERROR(IF(V203="",0,CEILING((V203/$H203),1)*$H203),"")</f>
        <v/>
      </c>
      <c r="X203" s="58">
        <f>IFERROR(IF(W203=0,"",ROUNDUP(W203/H203,0)*0.02175),"")</f>
        <v/>
      </c>
      <c r="Y203" s="59" t="n"/>
      <c r="Z203" s="60" t="n"/>
      <c r="AA203" s="71" t="n"/>
      <c r="AD203" s="61" t="n"/>
      <c r="BA203" s="62" t="inlineStr">
        <is>
          <t>КИ</t>
        </is>
      </c>
    </row>
    <row r="204" ht="27" customHeight="1">
      <c r="A204" s="49" t="inlineStr">
        <is>
          <t>SU001778</t>
        </is>
      </c>
      <c r="B204" s="49" t="inlineStr">
        <is>
          <t>P001778</t>
        </is>
      </c>
      <c r="C204" s="50" t="n">
        <v>4301011311</v>
      </c>
      <c r="D204" s="107" t="n">
        <v>4607091387377</v>
      </c>
      <c r="E204" s="128" t="n"/>
      <c r="F204" s="162" t="n">
        <v>1.35</v>
      </c>
      <c r="G204" s="52" t="n">
        <v>8</v>
      </c>
      <c r="H204" s="162" t="n">
        <v>10.8</v>
      </c>
      <c r="I204" s="162" t="n">
        <v>11.28</v>
      </c>
      <c r="J204" s="52" t="n">
        <v>56</v>
      </c>
      <c r="K204" s="52" t="inlineStr">
        <is>
          <t>8</t>
        </is>
      </c>
      <c r="L204" s="53" t="inlineStr">
        <is>
          <t>СК1</t>
        </is>
      </c>
      <c r="M204" s="52" t="n">
        <v>55</v>
      </c>
      <c r="N204" s="1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63" t="n"/>
      <c r="P204" s="163" t="n"/>
      <c r="Q204" s="163" t="n"/>
      <c r="R204" s="128" t="n"/>
      <c r="S204" s="54" t="n"/>
      <c r="T204" s="54" t="n"/>
      <c r="U204" s="55" t="inlineStr">
        <is>
          <t>кг</t>
        </is>
      </c>
      <c r="V204" s="164" t="n">
        <v>0</v>
      </c>
      <c r="W204" s="165">
        <f>IFERROR(IF(V204="",0,CEILING((V204/$H204),1)*$H204),"")</f>
        <v/>
      </c>
      <c r="X204" s="58">
        <f>IFERROR(IF(W204=0,"",ROUNDUP(W204/H204,0)*0.02175),"")</f>
        <v/>
      </c>
      <c r="Y204" s="59" t="n"/>
      <c r="Z204" s="60" t="n"/>
      <c r="AA204" s="71" t="n"/>
      <c r="AD204" s="61" t="n"/>
      <c r="BA204" s="62" t="inlineStr">
        <is>
          <t>КИ</t>
        </is>
      </c>
    </row>
    <row r="205" ht="27" customHeight="1">
      <c r="A205" s="49" t="inlineStr">
        <is>
          <t>SU000043</t>
        </is>
      </c>
      <c r="B205" s="49" t="inlineStr">
        <is>
          <t>P001807</t>
        </is>
      </c>
      <c r="C205" s="50" t="n">
        <v>4301010945</v>
      </c>
      <c r="D205" s="107" t="n">
        <v>4607091387353</v>
      </c>
      <c r="E205" s="128" t="n"/>
      <c r="F205" s="162" t="n">
        <v>1.35</v>
      </c>
      <c r="G205" s="52" t="n">
        <v>8</v>
      </c>
      <c r="H205" s="162" t="n">
        <v>10.8</v>
      </c>
      <c r="I205" s="162" t="n">
        <v>11.28</v>
      </c>
      <c r="J205" s="52" t="n">
        <v>56</v>
      </c>
      <c r="K205" s="52" t="inlineStr">
        <is>
          <t>8</t>
        </is>
      </c>
      <c r="L205" s="53" t="inlineStr">
        <is>
          <t>СК1</t>
        </is>
      </c>
      <c r="M205" s="52" t="n">
        <v>55</v>
      </c>
      <c r="N205" s="1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63" t="n"/>
      <c r="P205" s="163" t="n"/>
      <c r="Q205" s="163" t="n"/>
      <c r="R205" s="128" t="n"/>
      <c r="S205" s="54" t="n"/>
      <c r="T205" s="54" t="n"/>
      <c r="U205" s="55" t="inlineStr">
        <is>
          <t>кг</t>
        </is>
      </c>
      <c r="V205" s="164" t="n">
        <v>0</v>
      </c>
      <c r="W205" s="165">
        <f>IFERROR(IF(V205="",0,CEILING((V205/$H205),1)*$H205),"")</f>
        <v/>
      </c>
      <c r="X205" s="58">
        <f>IFERROR(IF(W205=0,"",ROUNDUP(W205/H205,0)*0.02175),"")</f>
        <v/>
      </c>
      <c r="Y205" s="59" t="n"/>
      <c r="Z205" s="60" t="n"/>
      <c r="AA205" s="71" t="n"/>
      <c r="AD205" s="61" t="n"/>
      <c r="BA205" s="62" t="inlineStr">
        <is>
          <t>КИ</t>
        </is>
      </c>
    </row>
    <row r="206" ht="27" customHeight="1">
      <c r="A206" s="49" t="inlineStr">
        <is>
          <t>SU001800</t>
        </is>
      </c>
      <c r="B206" s="49" t="inlineStr">
        <is>
          <t>P001800</t>
        </is>
      </c>
      <c r="C206" s="50" t="n">
        <v>4301011328</v>
      </c>
      <c r="D206" s="107" t="n">
        <v>4607091386011</v>
      </c>
      <c r="E206" s="128" t="n"/>
      <c r="F206" s="162" t="n">
        <v>0.5</v>
      </c>
      <c r="G206" s="52" t="n">
        <v>10</v>
      </c>
      <c r="H206" s="162" t="n">
        <v>5</v>
      </c>
      <c r="I206" s="162" t="n">
        <v>5.21</v>
      </c>
      <c r="J206" s="52" t="n">
        <v>120</v>
      </c>
      <c r="K206" s="52" t="inlineStr">
        <is>
          <t>12</t>
        </is>
      </c>
      <c r="L206" s="53" t="inlineStr">
        <is>
          <t>СК2</t>
        </is>
      </c>
      <c r="M206" s="52" t="n">
        <v>55</v>
      </c>
      <c r="N206" s="1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63" t="n"/>
      <c r="P206" s="163" t="n"/>
      <c r="Q206" s="163" t="n"/>
      <c r="R206" s="128" t="n"/>
      <c r="S206" s="54" t="n"/>
      <c r="T206" s="54" t="n"/>
      <c r="U206" s="55" t="inlineStr">
        <is>
          <t>кг</t>
        </is>
      </c>
      <c r="V206" s="164" t="n">
        <v>0</v>
      </c>
      <c r="W206" s="165">
        <f>IFERROR(IF(V206="",0,CEILING((V206/$H206),1)*$H206),"")</f>
        <v/>
      </c>
      <c r="X206" s="58">
        <f>IFERROR(IF(W206=0,"",ROUNDUP(W206/H206,0)*0.00937),"")</f>
        <v/>
      </c>
      <c r="Y206" s="59" t="n"/>
      <c r="Z206" s="60" t="n"/>
      <c r="AA206" s="71" t="n"/>
      <c r="AD206" s="61" t="n"/>
      <c r="BA206" s="62" t="inlineStr">
        <is>
          <t>КИ</t>
        </is>
      </c>
    </row>
    <row r="207" ht="27" customHeight="1">
      <c r="A207" s="49" t="inlineStr">
        <is>
          <t>SU001805</t>
        </is>
      </c>
      <c r="B207" s="49" t="inlineStr">
        <is>
          <t>P001805</t>
        </is>
      </c>
      <c r="C207" s="50" t="n">
        <v>4301011329</v>
      </c>
      <c r="D207" s="107" t="n">
        <v>4607091387308</v>
      </c>
      <c r="E207" s="128" t="n"/>
      <c r="F207" s="162" t="n">
        <v>0.5</v>
      </c>
      <c r="G207" s="52" t="n">
        <v>10</v>
      </c>
      <c r="H207" s="162" t="n">
        <v>5</v>
      </c>
      <c r="I207" s="162" t="n">
        <v>5.21</v>
      </c>
      <c r="J207" s="52" t="n">
        <v>120</v>
      </c>
      <c r="K207" s="52" t="inlineStr">
        <is>
          <t>12</t>
        </is>
      </c>
      <c r="L207" s="53" t="inlineStr">
        <is>
          <t>СК2</t>
        </is>
      </c>
      <c r="M207" s="52" t="n">
        <v>55</v>
      </c>
      <c r="N207" s="10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63" t="n"/>
      <c r="P207" s="163" t="n"/>
      <c r="Q207" s="163" t="n"/>
      <c r="R207" s="128" t="n"/>
      <c r="S207" s="54" t="n"/>
      <c r="T207" s="54" t="n"/>
      <c r="U207" s="55" t="inlineStr">
        <is>
          <t>кг</t>
        </is>
      </c>
      <c r="V207" s="164" t="n">
        <v>0</v>
      </c>
      <c r="W207" s="165">
        <f>IFERROR(IF(V207="",0,CEILING((V207/$H207),1)*$H207),"")</f>
        <v/>
      </c>
      <c r="X207" s="58">
        <f>IFERROR(IF(W207=0,"",ROUNDUP(W207/H207,0)*0.00937),"")</f>
        <v/>
      </c>
      <c r="Y207" s="59" t="n"/>
      <c r="Z207" s="60" t="n"/>
      <c r="AA207" s="71" t="n"/>
      <c r="AD207" s="61" t="n"/>
      <c r="BA207" s="62" t="inlineStr">
        <is>
          <t>КИ</t>
        </is>
      </c>
    </row>
    <row r="208" ht="27" customHeight="1">
      <c r="A208" s="49" t="inlineStr">
        <is>
          <t>SU001829</t>
        </is>
      </c>
      <c r="B208" s="49" t="inlineStr">
        <is>
          <t>P001829</t>
        </is>
      </c>
      <c r="C208" s="50" t="n">
        <v>4301011049</v>
      </c>
      <c r="D208" s="107" t="n">
        <v>4607091387339</v>
      </c>
      <c r="E208" s="128" t="n"/>
      <c r="F208" s="162" t="n">
        <v>0.5</v>
      </c>
      <c r="G208" s="52" t="n">
        <v>10</v>
      </c>
      <c r="H208" s="162" t="n">
        <v>5</v>
      </c>
      <c r="I208" s="162" t="n">
        <v>5.24</v>
      </c>
      <c r="J208" s="52" t="n">
        <v>120</v>
      </c>
      <c r="K208" s="52" t="inlineStr">
        <is>
          <t>12</t>
        </is>
      </c>
      <c r="L208" s="53" t="inlineStr">
        <is>
          <t>СК1</t>
        </is>
      </c>
      <c r="M208" s="52" t="n">
        <v>55</v>
      </c>
      <c r="N208" s="1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63" t="n"/>
      <c r="P208" s="163" t="n"/>
      <c r="Q208" s="163" t="n"/>
      <c r="R208" s="128" t="n"/>
      <c r="S208" s="54" t="n"/>
      <c r="T208" s="54" t="n"/>
      <c r="U208" s="55" t="inlineStr">
        <is>
          <t>кг</t>
        </is>
      </c>
      <c r="V208" s="164" t="n">
        <v>0</v>
      </c>
      <c r="W208" s="165">
        <f>IFERROR(IF(V208="",0,CEILING((V208/$H208),1)*$H208),"")</f>
        <v/>
      </c>
      <c r="X208" s="58">
        <f>IFERROR(IF(W208=0,"",ROUNDUP(W208/H208,0)*0.00937),"")</f>
        <v/>
      </c>
      <c r="Y208" s="59" t="n"/>
      <c r="Z208" s="60" t="n"/>
      <c r="AA208" s="71" t="n"/>
      <c r="AD208" s="61" t="n"/>
      <c r="BA208" s="62" t="inlineStr">
        <is>
          <t>КИ</t>
        </is>
      </c>
    </row>
    <row r="209" ht="27" customHeight="1">
      <c r="A209" s="49" t="inlineStr">
        <is>
          <t>SU002787</t>
        </is>
      </c>
      <c r="B209" s="49" t="inlineStr">
        <is>
          <t>P003189</t>
        </is>
      </c>
      <c r="C209" s="50" t="n">
        <v>4301011433</v>
      </c>
      <c r="D209" s="107" t="n">
        <v>4680115882638</v>
      </c>
      <c r="E209" s="128" t="n"/>
      <c r="F209" s="162" t="n">
        <v>0.4</v>
      </c>
      <c r="G209" s="52" t="n">
        <v>10</v>
      </c>
      <c r="H209" s="162" t="n">
        <v>4</v>
      </c>
      <c r="I209" s="162" t="n">
        <v>4.24</v>
      </c>
      <c r="J209" s="52" t="n">
        <v>120</v>
      </c>
      <c r="K209" s="52" t="inlineStr">
        <is>
          <t>12</t>
        </is>
      </c>
      <c r="L209" s="53" t="inlineStr">
        <is>
          <t>СК1</t>
        </is>
      </c>
      <c r="M209" s="52" t="n">
        <v>90</v>
      </c>
      <c r="N209" s="1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63" t="n"/>
      <c r="P209" s="163" t="n"/>
      <c r="Q209" s="163" t="n"/>
      <c r="R209" s="128" t="n"/>
      <c r="S209" s="54" t="n"/>
      <c r="T209" s="54" t="n"/>
      <c r="U209" s="55" t="inlineStr">
        <is>
          <t>кг</t>
        </is>
      </c>
      <c r="V209" s="164" t="n">
        <v>0</v>
      </c>
      <c r="W209" s="165">
        <f>IFERROR(IF(V209="",0,CEILING((V209/$H209),1)*$H209),"")</f>
        <v/>
      </c>
      <c r="X209" s="58">
        <f>IFERROR(IF(W209=0,"",ROUNDUP(W209/H209,0)*0.00937),"")</f>
        <v/>
      </c>
      <c r="Y209" s="59" t="n"/>
      <c r="Z209" s="60" t="n"/>
      <c r="AA209" s="71" t="n"/>
      <c r="AD209" s="61" t="n"/>
      <c r="BA209" s="62" t="inlineStr">
        <is>
          <t>КИ</t>
        </is>
      </c>
    </row>
    <row r="210" ht="27" customHeight="1">
      <c r="A210" s="49" t="inlineStr">
        <is>
          <t>SU002894</t>
        </is>
      </c>
      <c r="B210" s="49" t="inlineStr">
        <is>
          <t>P003314</t>
        </is>
      </c>
      <c r="C210" s="50" t="n">
        <v>4301011573</v>
      </c>
      <c r="D210" s="107" t="n">
        <v>4680115881938</v>
      </c>
      <c r="E210" s="128" t="n"/>
      <c r="F210" s="162" t="n">
        <v>0.4</v>
      </c>
      <c r="G210" s="52" t="n">
        <v>10</v>
      </c>
      <c r="H210" s="162" t="n">
        <v>4</v>
      </c>
      <c r="I210" s="162" t="n">
        <v>4.24</v>
      </c>
      <c r="J210" s="52" t="n">
        <v>120</v>
      </c>
      <c r="K210" s="52" t="inlineStr">
        <is>
          <t>12</t>
        </is>
      </c>
      <c r="L210" s="53" t="inlineStr">
        <is>
          <t>СК1</t>
        </is>
      </c>
      <c r="M210" s="52" t="n">
        <v>90</v>
      </c>
      <c r="N210" s="1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63" t="n"/>
      <c r="P210" s="163" t="n"/>
      <c r="Q210" s="163" t="n"/>
      <c r="R210" s="128" t="n"/>
      <c r="S210" s="54" t="n"/>
      <c r="T210" s="54" t="n"/>
      <c r="U210" s="55" t="inlineStr">
        <is>
          <t>кг</t>
        </is>
      </c>
      <c r="V210" s="164" t="n">
        <v>0</v>
      </c>
      <c r="W210" s="165">
        <f>IFERROR(IF(V210="",0,CEILING((V210/$H210),1)*$H210),"")</f>
        <v/>
      </c>
      <c r="X210" s="58">
        <f>IFERROR(IF(W210=0,"",ROUNDUP(W210/H210,0)*0.00937),"")</f>
        <v/>
      </c>
      <c r="Y210" s="59" t="n"/>
      <c r="Z210" s="60" t="n"/>
      <c r="AA210" s="71" t="n"/>
      <c r="AD210" s="61" t="n"/>
      <c r="BA210" s="62" t="inlineStr">
        <is>
          <t>КИ</t>
        </is>
      </c>
    </row>
    <row r="211" ht="27" customHeight="1">
      <c r="A211" s="49" t="inlineStr">
        <is>
          <t>SU000078</t>
        </is>
      </c>
      <c r="B211" s="49" t="inlineStr">
        <is>
          <t>P001806</t>
        </is>
      </c>
      <c r="C211" s="50" t="n">
        <v>4301010944</v>
      </c>
      <c r="D211" s="107" t="n">
        <v>4607091387346</v>
      </c>
      <c r="E211" s="128" t="n"/>
      <c r="F211" s="162" t="n">
        <v>0.4</v>
      </c>
      <c r="G211" s="52" t="n">
        <v>10</v>
      </c>
      <c r="H211" s="162" t="n">
        <v>4</v>
      </c>
      <c r="I211" s="162" t="n">
        <v>4.24</v>
      </c>
      <c r="J211" s="52" t="n">
        <v>120</v>
      </c>
      <c r="K211" s="52" t="inlineStr">
        <is>
          <t>12</t>
        </is>
      </c>
      <c r="L211" s="53" t="inlineStr">
        <is>
          <t>СК1</t>
        </is>
      </c>
      <c r="M211" s="52" t="n">
        <v>55</v>
      </c>
      <c r="N211" s="1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63" t="n"/>
      <c r="P211" s="163" t="n"/>
      <c r="Q211" s="163" t="n"/>
      <c r="R211" s="128" t="n"/>
      <c r="S211" s="54" t="n"/>
      <c r="T211" s="54" t="n"/>
      <c r="U211" s="55" t="inlineStr">
        <is>
          <t>кг</t>
        </is>
      </c>
      <c r="V211" s="164" t="n">
        <v>0</v>
      </c>
      <c r="W211" s="165">
        <f>IFERROR(IF(V211="",0,CEILING((V211/$H211),1)*$H211),"")</f>
        <v/>
      </c>
      <c r="X211" s="58">
        <f>IFERROR(IF(W211=0,"",ROUNDUP(W211/H211,0)*0.00937),"")</f>
        <v/>
      </c>
      <c r="Y211" s="59" t="n"/>
      <c r="Z211" s="60" t="n"/>
      <c r="AA211" s="71" t="n"/>
      <c r="AD211" s="61" t="n"/>
      <c r="BA211" s="62" t="inlineStr">
        <is>
          <t>КИ</t>
        </is>
      </c>
    </row>
    <row r="212" ht="27" customHeight="1">
      <c r="A212" s="49" t="inlineStr">
        <is>
          <t>SU002616</t>
        </is>
      </c>
      <c r="B212" s="49" t="inlineStr">
        <is>
          <t>P002950</t>
        </is>
      </c>
      <c r="C212" s="50" t="n">
        <v>4301011353</v>
      </c>
      <c r="D212" s="107" t="n">
        <v>4607091389807</v>
      </c>
      <c r="E212" s="128" t="n"/>
      <c r="F212" s="162" t="n">
        <v>0.4</v>
      </c>
      <c r="G212" s="52" t="n">
        <v>10</v>
      </c>
      <c r="H212" s="162" t="n">
        <v>4</v>
      </c>
      <c r="I212" s="162" t="n">
        <v>4.24</v>
      </c>
      <c r="J212" s="52" t="n">
        <v>120</v>
      </c>
      <c r="K212" s="52" t="inlineStr">
        <is>
          <t>12</t>
        </is>
      </c>
      <c r="L212" s="53" t="inlineStr">
        <is>
          <t>СК1</t>
        </is>
      </c>
      <c r="M212" s="52" t="n">
        <v>55</v>
      </c>
      <c r="N212" s="10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63" t="n"/>
      <c r="P212" s="163" t="n"/>
      <c r="Q212" s="163" t="n"/>
      <c r="R212" s="128" t="n"/>
      <c r="S212" s="54" t="n"/>
      <c r="T212" s="54" t="n"/>
      <c r="U212" s="55" t="inlineStr">
        <is>
          <t>кг</t>
        </is>
      </c>
      <c r="V212" s="164" t="n">
        <v>0</v>
      </c>
      <c r="W212" s="165">
        <f>IFERROR(IF(V212="",0,CEILING((V212/$H212),1)*$H212),"")</f>
        <v/>
      </c>
      <c r="X212" s="58">
        <f>IFERROR(IF(W212=0,"",ROUNDUP(W212/H212,0)*0.00937),"")</f>
        <v/>
      </c>
      <c r="Y212" s="59" t="n"/>
      <c r="Z212" s="60" t="n"/>
      <c r="AA212" s="71" t="n"/>
      <c r="AD212" s="61" t="n"/>
      <c r="BA212" s="62" t="inlineStr">
        <is>
          <t>КИ</t>
        </is>
      </c>
    </row>
    <row r="213" ht="12.5" customHeight="1">
      <c r="A213" s="10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66" t="n"/>
      <c r="N213" s="110" t="inlineStr">
        <is>
          <t>Итого</t>
        </is>
      </c>
      <c r="O213" s="134" t="n"/>
      <c r="P213" s="134" t="n"/>
      <c r="Q213" s="134" t="n"/>
      <c r="R213" s="134" t="n"/>
      <c r="S213" s="134" t="n"/>
      <c r="T213" s="135" t="n"/>
      <c r="U213" s="63" t="inlineStr">
        <is>
          <t>кор</t>
        </is>
      </c>
      <c r="V213" s="16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16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16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168" t="n"/>
      <c r="Z213" s="168" t="n"/>
      <c r="AA213" s="71" t="n"/>
    </row>
    <row r="214" ht="12.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66" t="n"/>
      <c r="N214" s="110" t="inlineStr">
        <is>
          <t>Итого</t>
        </is>
      </c>
      <c r="O214" s="134" t="n"/>
      <c r="P214" s="134" t="n"/>
      <c r="Q214" s="134" t="n"/>
      <c r="R214" s="134" t="n"/>
      <c r="S214" s="134" t="n"/>
      <c r="T214" s="135" t="n"/>
      <c r="U214" s="63" t="inlineStr">
        <is>
          <t>кг</t>
        </is>
      </c>
      <c r="V214" s="167">
        <f>IFERROR(SUM(V198:V212),"0")</f>
        <v/>
      </c>
      <c r="W214" s="167">
        <f>IFERROR(SUM(W198:W212),"0")</f>
        <v/>
      </c>
      <c r="X214" s="63" t="n"/>
      <c r="Y214" s="168" t="n"/>
      <c r="Z214" s="168" t="n"/>
      <c r="AA214" s="71" t="n"/>
    </row>
    <row r="215" ht="14.25" customHeight="1">
      <c r="A215" s="106" t="inlineStr">
        <is>
          <t>Ветчины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06" t="n"/>
      <c r="Z215" s="106" t="n"/>
      <c r="AA215" s="71" t="n"/>
    </row>
    <row r="216" ht="27" customHeight="1">
      <c r="A216" s="49" t="inlineStr">
        <is>
          <t>SU002788</t>
        </is>
      </c>
      <c r="B216" s="49" t="inlineStr">
        <is>
          <t>P003190</t>
        </is>
      </c>
      <c r="C216" s="50" t="n">
        <v>4301020254</v>
      </c>
      <c r="D216" s="107" t="n">
        <v>4680115881914</v>
      </c>
      <c r="E216" s="128" t="n"/>
      <c r="F216" s="162" t="n">
        <v>0.4</v>
      </c>
      <c r="G216" s="52" t="n">
        <v>10</v>
      </c>
      <c r="H216" s="162" t="n">
        <v>4</v>
      </c>
      <c r="I216" s="162" t="n">
        <v>4.24</v>
      </c>
      <c r="J216" s="52" t="n">
        <v>120</v>
      </c>
      <c r="K216" s="52" t="inlineStr">
        <is>
          <t>12</t>
        </is>
      </c>
      <c r="L216" s="53" t="inlineStr">
        <is>
          <t>СК1</t>
        </is>
      </c>
      <c r="M216" s="52" t="n">
        <v>90</v>
      </c>
      <c r="N216" s="1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63" t="n"/>
      <c r="P216" s="163" t="n"/>
      <c r="Q216" s="163" t="n"/>
      <c r="R216" s="128" t="n"/>
      <c r="S216" s="54" t="n"/>
      <c r="T216" s="54" t="n"/>
      <c r="U216" s="55" t="inlineStr">
        <is>
          <t>кг</t>
        </is>
      </c>
      <c r="V216" s="164" t="n">
        <v>0</v>
      </c>
      <c r="W216" s="165">
        <f>IFERROR(IF(V216="",0,CEILING((V216/$H216),1)*$H216),"")</f>
        <v/>
      </c>
      <c r="X216" s="58">
        <f>IFERROR(IF(W216=0,"",ROUNDUP(W216/H216,0)*0.00937),"")</f>
        <v/>
      </c>
      <c r="Y216" s="59" t="n"/>
      <c r="Z216" s="60" t="n"/>
      <c r="AA216" s="71" t="n"/>
      <c r="AD216" s="61" t="n"/>
      <c r="BA216" s="62" t="inlineStr">
        <is>
          <t>КИ</t>
        </is>
      </c>
    </row>
    <row r="217" ht="12.5" customHeight="1">
      <c r="A217" s="10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66" t="n"/>
      <c r="N217" s="110" t="inlineStr">
        <is>
          <t>Итого</t>
        </is>
      </c>
      <c r="O217" s="134" t="n"/>
      <c r="P217" s="134" t="n"/>
      <c r="Q217" s="134" t="n"/>
      <c r="R217" s="134" t="n"/>
      <c r="S217" s="134" t="n"/>
      <c r="T217" s="135" t="n"/>
      <c r="U217" s="63" t="inlineStr">
        <is>
          <t>кор</t>
        </is>
      </c>
      <c r="V217" s="167">
        <f>IFERROR(V216/H216,"0")</f>
        <v/>
      </c>
      <c r="W217" s="167">
        <f>IFERROR(W216/H216,"0")</f>
        <v/>
      </c>
      <c r="X217" s="167">
        <f>IFERROR(IF(X216="",0,X216),"0")</f>
        <v/>
      </c>
      <c r="Y217" s="168" t="n"/>
      <c r="Z217" s="168" t="n"/>
      <c r="AA217" s="71" t="n"/>
    </row>
    <row r="218" ht="12.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66" t="n"/>
      <c r="N218" s="110" t="inlineStr">
        <is>
          <t>Итого</t>
        </is>
      </c>
      <c r="O218" s="134" t="n"/>
      <c r="P218" s="134" t="n"/>
      <c r="Q218" s="134" t="n"/>
      <c r="R218" s="134" t="n"/>
      <c r="S218" s="134" t="n"/>
      <c r="T218" s="135" t="n"/>
      <c r="U218" s="63" t="inlineStr">
        <is>
          <t>кг</t>
        </is>
      </c>
      <c r="V218" s="167">
        <f>IFERROR(SUM(V216:V216),"0")</f>
        <v/>
      </c>
      <c r="W218" s="167">
        <f>IFERROR(SUM(W216:W216),"0")</f>
        <v/>
      </c>
      <c r="X218" s="63" t="n"/>
      <c r="Y218" s="168" t="n"/>
      <c r="Z218" s="168" t="n"/>
      <c r="AA218" s="71" t="n"/>
    </row>
    <row r="219" ht="14.25" customHeight="1">
      <c r="A219" s="106" t="inlineStr">
        <is>
          <t>Копченые колбасы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06" t="n"/>
      <c r="Z219" s="106" t="n"/>
      <c r="AA219" s="71" t="n"/>
    </row>
    <row r="220" ht="27" customHeight="1">
      <c r="A220" s="49" t="inlineStr">
        <is>
          <t>SU001820</t>
        </is>
      </c>
      <c r="B220" s="49" t="inlineStr">
        <is>
          <t>P001820</t>
        </is>
      </c>
      <c r="C220" s="50" t="n">
        <v>4301030878</v>
      </c>
      <c r="D220" s="107" t="n">
        <v>4607091387193</v>
      </c>
      <c r="E220" s="128" t="n"/>
      <c r="F220" s="162" t="n">
        <v>0.7</v>
      </c>
      <c r="G220" s="52" t="n">
        <v>6</v>
      </c>
      <c r="H220" s="162" t="n">
        <v>4.2</v>
      </c>
      <c r="I220" s="162" t="n">
        <v>4.46</v>
      </c>
      <c r="J220" s="52" t="n">
        <v>156</v>
      </c>
      <c r="K220" s="52" t="inlineStr">
        <is>
          <t>12</t>
        </is>
      </c>
      <c r="L220" s="53" t="inlineStr">
        <is>
          <t>СК2</t>
        </is>
      </c>
      <c r="M220" s="52" t="n">
        <v>35</v>
      </c>
      <c r="N220" s="10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63" t="n"/>
      <c r="P220" s="163" t="n"/>
      <c r="Q220" s="163" t="n"/>
      <c r="R220" s="128" t="n"/>
      <c r="S220" s="54" t="n"/>
      <c r="T220" s="54" t="n"/>
      <c r="U220" s="55" t="inlineStr">
        <is>
          <t>кг</t>
        </is>
      </c>
      <c r="V220" s="164" t="n">
        <v>0</v>
      </c>
      <c r="W220" s="165">
        <f>IFERROR(IF(V220="",0,CEILING((V220/$H220),1)*$H220),"")</f>
        <v/>
      </c>
      <c r="X220" s="58">
        <f>IFERROR(IF(W220=0,"",ROUNDUP(W220/H220,0)*0.00753),"")</f>
        <v/>
      </c>
      <c r="Y220" s="59" t="n"/>
      <c r="Z220" s="60" t="n"/>
      <c r="AA220" s="71" t="n"/>
      <c r="AD220" s="61" t="n"/>
      <c r="BA220" s="62" t="inlineStr">
        <is>
          <t>КИ</t>
        </is>
      </c>
    </row>
    <row r="221" ht="27" customHeight="1">
      <c r="A221" s="49" t="inlineStr">
        <is>
          <t>SU001822</t>
        </is>
      </c>
      <c r="B221" s="49" t="inlineStr">
        <is>
          <t>P003013</t>
        </is>
      </c>
      <c r="C221" s="50" t="n">
        <v>4301031153</v>
      </c>
      <c r="D221" s="107" t="n">
        <v>4607091387230</v>
      </c>
      <c r="E221" s="128" t="n"/>
      <c r="F221" s="162" t="n">
        <v>0.7</v>
      </c>
      <c r="G221" s="52" t="n">
        <v>6</v>
      </c>
      <c r="H221" s="162" t="n">
        <v>4.2</v>
      </c>
      <c r="I221" s="162" t="n">
        <v>4.46</v>
      </c>
      <c r="J221" s="52" t="n">
        <v>156</v>
      </c>
      <c r="K221" s="52" t="inlineStr">
        <is>
          <t>12</t>
        </is>
      </c>
      <c r="L221" s="53" t="inlineStr">
        <is>
          <t>СК2</t>
        </is>
      </c>
      <c r="M221" s="52" t="n">
        <v>40</v>
      </c>
      <c r="N221" s="1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63" t="n"/>
      <c r="P221" s="163" t="n"/>
      <c r="Q221" s="163" t="n"/>
      <c r="R221" s="128" t="n"/>
      <c r="S221" s="54" t="n"/>
      <c r="T221" s="54" t="n"/>
      <c r="U221" s="55" t="inlineStr">
        <is>
          <t>кг</t>
        </is>
      </c>
      <c r="V221" s="164" t="n">
        <v>0</v>
      </c>
      <c r="W221" s="165">
        <f>IFERROR(IF(V221="",0,CEILING((V221/$H221),1)*$H221),"")</f>
        <v/>
      </c>
      <c r="X221" s="58">
        <f>IFERROR(IF(W221=0,"",ROUNDUP(W221/H221,0)*0.00753),"")</f>
        <v/>
      </c>
      <c r="Y221" s="59" t="n"/>
      <c r="Z221" s="60" t="n"/>
      <c r="AA221" s="71" t="n"/>
      <c r="AD221" s="61" t="n"/>
      <c r="BA221" s="62" t="inlineStr">
        <is>
          <t>КИ</t>
        </is>
      </c>
    </row>
    <row r="222" ht="27" customHeight="1">
      <c r="A222" s="49" t="inlineStr">
        <is>
          <t>SU002579</t>
        </is>
      </c>
      <c r="B222" s="49" t="inlineStr">
        <is>
          <t>P003012</t>
        </is>
      </c>
      <c r="C222" s="50" t="n">
        <v>4301031152</v>
      </c>
      <c r="D222" s="107" t="n">
        <v>4607091387285</v>
      </c>
      <c r="E222" s="128" t="n"/>
      <c r="F222" s="162" t="n">
        <v>0.35</v>
      </c>
      <c r="G222" s="52" t="n">
        <v>6</v>
      </c>
      <c r="H222" s="162" t="n">
        <v>2.1</v>
      </c>
      <c r="I222" s="162" t="n">
        <v>2.23</v>
      </c>
      <c r="J222" s="52" t="n">
        <v>234</v>
      </c>
      <c r="K222" s="52" t="inlineStr">
        <is>
          <t>18</t>
        </is>
      </c>
      <c r="L222" s="53" t="inlineStr">
        <is>
          <t>СК2</t>
        </is>
      </c>
      <c r="M222" s="52" t="n">
        <v>40</v>
      </c>
      <c r="N222" s="10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63" t="n"/>
      <c r="P222" s="163" t="n"/>
      <c r="Q222" s="163" t="n"/>
      <c r="R222" s="128" t="n"/>
      <c r="S222" s="54" t="n"/>
      <c r="T222" s="54" t="n"/>
      <c r="U222" s="55" t="inlineStr">
        <is>
          <t>кг</t>
        </is>
      </c>
      <c r="V222" s="164" t="n">
        <v>8.399999999999999</v>
      </c>
      <c r="W222" s="165">
        <f>IFERROR(IF(V222="",0,CEILING((V222/$H222),1)*$H222),"")</f>
        <v/>
      </c>
      <c r="X222" s="58">
        <f>IFERROR(IF(W222=0,"",ROUNDUP(W222/H222,0)*0.00502),"")</f>
        <v/>
      </c>
      <c r="Y222" s="59" t="n"/>
      <c r="Z222" s="60" t="n"/>
      <c r="AA222" s="71" t="n"/>
      <c r="AD222" s="61" t="n"/>
      <c r="BA222" s="62" t="inlineStr">
        <is>
          <t>КИ</t>
        </is>
      </c>
    </row>
    <row r="223" ht="27" customHeight="1">
      <c r="A223" s="49" t="inlineStr">
        <is>
          <t>SU002617</t>
        </is>
      </c>
      <c r="B223" s="49" t="inlineStr">
        <is>
          <t>P002951</t>
        </is>
      </c>
      <c r="C223" s="50" t="n">
        <v>4301031151</v>
      </c>
      <c r="D223" s="107" t="n">
        <v>4607091389845</v>
      </c>
      <c r="E223" s="128" t="n"/>
      <c r="F223" s="162" t="n">
        <v>0.35</v>
      </c>
      <c r="G223" s="52" t="n">
        <v>6</v>
      </c>
      <c r="H223" s="162" t="n">
        <v>2.1</v>
      </c>
      <c r="I223" s="162" t="n">
        <v>2.2</v>
      </c>
      <c r="J223" s="52" t="n">
        <v>234</v>
      </c>
      <c r="K223" s="52" t="inlineStr">
        <is>
          <t>18</t>
        </is>
      </c>
      <c r="L223" s="53" t="inlineStr">
        <is>
          <t>СК2</t>
        </is>
      </c>
      <c r="M223" s="52" t="n">
        <v>40</v>
      </c>
      <c r="N223" s="1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63" t="n"/>
      <c r="P223" s="163" t="n"/>
      <c r="Q223" s="163" t="n"/>
      <c r="R223" s="128" t="n"/>
      <c r="S223" s="54" t="n"/>
      <c r="T223" s="54" t="n"/>
      <c r="U223" s="55" t="inlineStr">
        <is>
          <t>кг</t>
        </is>
      </c>
      <c r="V223" s="164" t="n">
        <v>0</v>
      </c>
      <c r="W223" s="165">
        <f>IFERROR(IF(V223="",0,CEILING((V223/$H223),1)*$H223),"")</f>
        <v/>
      </c>
      <c r="X223" s="58">
        <f>IFERROR(IF(W223=0,"",ROUNDUP(W223/H223,0)*0.00502),"")</f>
        <v/>
      </c>
      <c r="Y223" s="59" t="n"/>
      <c r="Z223" s="60" t="n"/>
      <c r="AA223" s="71" t="n"/>
      <c r="AD223" s="61" t="n"/>
      <c r="BA223" s="62" t="inlineStr">
        <is>
          <t>КИ</t>
        </is>
      </c>
    </row>
    <row r="224" ht="12.5" customHeight="1">
      <c r="A224" s="10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66" t="n"/>
      <c r="N224" s="110" t="inlineStr">
        <is>
          <t>Итого</t>
        </is>
      </c>
      <c r="O224" s="134" t="n"/>
      <c r="P224" s="134" t="n"/>
      <c r="Q224" s="134" t="n"/>
      <c r="R224" s="134" t="n"/>
      <c r="S224" s="134" t="n"/>
      <c r="T224" s="135" t="n"/>
      <c r="U224" s="63" t="inlineStr">
        <is>
          <t>кор</t>
        </is>
      </c>
      <c r="V224" s="167">
        <f>IFERROR(V220/H220,"0")+IFERROR(V221/H221,"0")+IFERROR(V222/H222,"0")+IFERROR(V223/H223,"0")</f>
        <v/>
      </c>
      <c r="W224" s="167">
        <f>IFERROR(W220/H220,"0")+IFERROR(W221/H221,"0")+IFERROR(W222/H222,"0")+IFERROR(W223/H223,"0")</f>
        <v/>
      </c>
      <c r="X224" s="167">
        <f>IFERROR(IF(X220="",0,X220),"0")+IFERROR(IF(X221="",0,X221),"0")+IFERROR(IF(X222="",0,X222),"0")+IFERROR(IF(X223="",0,X223),"0")</f>
        <v/>
      </c>
      <c r="Y224" s="168" t="n"/>
      <c r="Z224" s="168" t="n"/>
      <c r="AA224" s="71" t="n"/>
    </row>
    <row r="225" ht="12.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66" t="n"/>
      <c r="N225" s="110" t="inlineStr">
        <is>
          <t>Итого</t>
        </is>
      </c>
      <c r="O225" s="134" t="n"/>
      <c r="P225" s="134" t="n"/>
      <c r="Q225" s="134" t="n"/>
      <c r="R225" s="134" t="n"/>
      <c r="S225" s="134" t="n"/>
      <c r="T225" s="135" t="n"/>
      <c r="U225" s="63" t="inlineStr">
        <is>
          <t>кг</t>
        </is>
      </c>
      <c r="V225" s="167">
        <f>IFERROR(SUM(V220:V223),"0")</f>
        <v/>
      </c>
      <c r="W225" s="167">
        <f>IFERROR(SUM(W220:W223),"0")</f>
        <v/>
      </c>
      <c r="X225" s="63" t="n"/>
      <c r="Y225" s="168" t="n"/>
      <c r="Z225" s="168" t="n"/>
      <c r="AA225" s="71" t="n"/>
    </row>
    <row r="226" ht="14.25" customHeight="1">
      <c r="A226" s="106" t="inlineStr">
        <is>
          <t>Сосиски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06" t="n"/>
      <c r="Z226" s="106" t="n"/>
      <c r="AA226" s="71" t="n"/>
    </row>
    <row r="227" ht="16.5" customHeight="1">
      <c r="A227" s="49" t="inlineStr">
        <is>
          <t>SU001340</t>
        </is>
      </c>
      <c r="B227" s="49" t="inlineStr">
        <is>
          <t>P002209</t>
        </is>
      </c>
      <c r="C227" s="50" t="n">
        <v>4301051100</v>
      </c>
      <c r="D227" s="107" t="n">
        <v>4607091387766</v>
      </c>
      <c r="E227" s="128" t="n"/>
      <c r="F227" s="162" t="n">
        <v>1.35</v>
      </c>
      <c r="G227" s="52" t="n">
        <v>6</v>
      </c>
      <c r="H227" s="162" t="n">
        <v>8.1</v>
      </c>
      <c r="I227" s="162" t="n">
        <v>8.657999999999999</v>
      </c>
      <c r="J227" s="52" t="n">
        <v>56</v>
      </c>
      <c r="K227" s="52" t="inlineStr">
        <is>
          <t>8</t>
        </is>
      </c>
      <c r="L227" s="53" t="inlineStr">
        <is>
          <t>СК3</t>
        </is>
      </c>
      <c r="M227" s="52" t="n">
        <v>40</v>
      </c>
      <c r="N227" s="108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63" t="n"/>
      <c r="P227" s="163" t="n"/>
      <c r="Q227" s="163" t="n"/>
      <c r="R227" s="128" t="n"/>
      <c r="S227" s="54" t="n"/>
      <c r="T227" s="54" t="n"/>
      <c r="U227" s="55" t="inlineStr">
        <is>
          <t>кг</t>
        </is>
      </c>
      <c r="V227" s="164" t="n">
        <v>0</v>
      </c>
      <c r="W227" s="165">
        <f>IFERROR(IF(V227="",0,CEILING((V227/$H227),1)*$H227),"")</f>
        <v/>
      </c>
      <c r="X227" s="58">
        <f>IFERROR(IF(W227=0,"",ROUNDUP(W227/H227,0)*0.02175),"")</f>
        <v/>
      </c>
      <c r="Y227" s="59" t="n"/>
      <c r="Z227" s="60" t="n"/>
      <c r="AA227" s="71" t="n"/>
      <c r="AD227" s="61" t="n"/>
      <c r="BA227" s="62" t="inlineStr">
        <is>
          <t>КИ</t>
        </is>
      </c>
    </row>
    <row r="228" ht="27" customHeight="1">
      <c r="A228" s="49" t="inlineStr">
        <is>
          <t>SU001727</t>
        </is>
      </c>
      <c r="B228" s="49" t="inlineStr">
        <is>
          <t>P002205</t>
        </is>
      </c>
      <c r="C228" s="50" t="n">
        <v>4301051116</v>
      </c>
      <c r="D228" s="107" t="n">
        <v>4607091387957</v>
      </c>
      <c r="E228" s="128" t="n"/>
      <c r="F228" s="162" t="n">
        <v>1.3</v>
      </c>
      <c r="G228" s="52" t="n">
        <v>6</v>
      </c>
      <c r="H228" s="162" t="n">
        <v>7.8</v>
      </c>
      <c r="I228" s="162" t="n">
        <v>8.364000000000001</v>
      </c>
      <c r="J228" s="52" t="n">
        <v>56</v>
      </c>
      <c r="K228" s="52" t="inlineStr">
        <is>
          <t>8</t>
        </is>
      </c>
      <c r="L228" s="53" t="inlineStr">
        <is>
          <t>СК2</t>
        </is>
      </c>
      <c r="M228" s="52" t="n">
        <v>40</v>
      </c>
      <c r="N228" s="1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63" t="n"/>
      <c r="P228" s="163" t="n"/>
      <c r="Q228" s="163" t="n"/>
      <c r="R228" s="128" t="n"/>
      <c r="S228" s="54" t="n"/>
      <c r="T228" s="54" t="n"/>
      <c r="U228" s="55" t="inlineStr">
        <is>
          <t>кг</t>
        </is>
      </c>
      <c r="V228" s="164" t="n">
        <v>0</v>
      </c>
      <c r="W228" s="165">
        <f>IFERROR(IF(V228="",0,CEILING((V228/$H228),1)*$H228),"")</f>
        <v/>
      </c>
      <c r="X228" s="58">
        <f>IFERROR(IF(W228=0,"",ROUNDUP(W228/H228,0)*0.02175),"")</f>
        <v/>
      </c>
      <c r="Y228" s="59" t="n"/>
      <c r="Z228" s="60" t="n"/>
      <c r="AA228" s="71" t="n"/>
      <c r="AD228" s="61" t="n"/>
      <c r="BA228" s="62" t="inlineStr">
        <is>
          <t>КИ</t>
        </is>
      </c>
    </row>
    <row r="229" ht="27" customHeight="1">
      <c r="A229" s="49" t="inlineStr">
        <is>
          <t>SU001728</t>
        </is>
      </c>
      <c r="B229" s="49" t="inlineStr">
        <is>
          <t>P002207</t>
        </is>
      </c>
      <c r="C229" s="50" t="n">
        <v>4301051115</v>
      </c>
      <c r="D229" s="107" t="n">
        <v>4607091387964</v>
      </c>
      <c r="E229" s="128" t="n"/>
      <c r="F229" s="162" t="n">
        <v>1.35</v>
      </c>
      <c r="G229" s="52" t="n">
        <v>6</v>
      </c>
      <c r="H229" s="162" t="n">
        <v>8.1</v>
      </c>
      <c r="I229" s="162" t="n">
        <v>8.646000000000001</v>
      </c>
      <c r="J229" s="52" t="n">
        <v>56</v>
      </c>
      <c r="K229" s="52" t="inlineStr">
        <is>
          <t>8</t>
        </is>
      </c>
      <c r="L229" s="53" t="inlineStr">
        <is>
          <t>СК2</t>
        </is>
      </c>
      <c r="M229" s="52" t="n">
        <v>40</v>
      </c>
      <c r="N229" s="10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63" t="n"/>
      <c r="P229" s="163" t="n"/>
      <c r="Q229" s="163" t="n"/>
      <c r="R229" s="128" t="n"/>
      <c r="S229" s="54" t="n"/>
      <c r="T229" s="54" t="n"/>
      <c r="U229" s="55" t="inlineStr">
        <is>
          <t>кг</t>
        </is>
      </c>
      <c r="V229" s="164" t="n">
        <v>0</v>
      </c>
      <c r="W229" s="165">
        <f>IFERROR(IF(V229="",0,CEILING((V229/$H229),1)*$H229),"")</f>
        <v/>
      </c>
      <c r="X229" s="58">
        <f>IFERROR(IF(W229=0,"",ROUNDUP(W229/H229,0)*0.02175),"")</f>
        <v/>
      </c>
      <c r="Y229" s="59" t="n"/>
      <c r="Z229" s="60" t="n"/>
      <c r="AA229" s="71" t="n"/>
      <c r="AD229" s="61" t="n"/>
      <c r="BA229" s="62" t="inlineStr">
        <is>
          <t>КИ</t>
        </is>
      </c>
    </row>
    <row r="230" ht="27" customHeight="1">
      <c r="A230" s="49" t="inlineStr">
        <is>
          <t>SU003168</t>
        </is>
      </c>
      <c r="B230" s="49" t="inlineStr">
        <is>
          <t>P003364</t>
        </is>
      </c>
      <c r="C230" s="50" t="n">
        <v>4301051485</v>
      </c>
      <c r="D230" s="107" t="n">
        <v>4680115883567</v>
      </c>
      <c r="E230" s="128" t="n"/>
      <c r="F230" s="162" t="n">
        <v>0.35</v>
      </c>
      <c r="G230" s="52" t="n">
        <v>6</v>
      </c>
      <c r="H230" s="162" t="n">
        <v>2.1</v>
      </c>
      <c r="I230" s="162" t="n">
        <v>2.36</v>
      </c>
      <c r="J230" s="52" t="n">
        <v>156</v>
      </c>
      <c r="K230" s="52" t="inlineStr">
        <is>
          <t>12</t>
        </is>
      </c>
      <c r="L230" s="53" t="inlineStr">
        <is>
          <t>СК2</t>
        </is>
      </c>
      <c r="M230" s="52" t="n">
        <v>40</v>
      </c>
      <c r="N230" s="115" t="inlineStr">
        <is>
          <t>Сосиски «Баварские с сыром» Фикс.вес 0,35 п/а ТМ «Стародворье»</t>
        </is>
      </c>
      <c r="O230" s="163" t="n"/>
      <c r="P230" s="163" t="n"/>
      <c r="Q230" s="163" t="n"/>
      <c r="R230" s="128" t="n"/>
      <c r="S230" s="54" t="n"/>
      <c r="T230" s="54" t="n"/>
      <c r="U230" s="55" t="inlineStr">
        <is>
          <t>кг</t>
        </is>
      </c>
      <c r="V230" s="164" t="n">
        <v>0</v>
      </c>
      <c r="W230" s="165">
        <f>IFERROR(IF(V230="",0,CEILING((V230/$H230),1)*$H230),"")</f>
        <v/>
      </c>
      <c r="X230" s="58">
        <f>IFERROR(IF(W230=0,"",ROUNDUP(W230/H230,0)*0.00753),"")</f>
        <v/>
      </c>
      <c r="Y230" s="59" t="n"/>
      <c r="Z230" s="60" t="n"/>
      <c r="AA230" s="71" t="n"/>
      <c r="AD230" s="61" t="n"/>
      <c r="BA230" s="62" t="inlineStr">
        <is>
          <t>КИ</t>
        </is>
      </c>
    </row>
    <row r="231" ht="16.5" customHeight="1">
      <c r="A231" s="49" t="inlineStr">
        <is>
          <t>SU001341</t>
        </is>
      </c>
      <c r="B231" s="49" t="inlineStr">
        <is>
          <t>P002204</t>
        </is>
      </c>
      <c r="C231" s="50" t="n">
        <v>4301051134</v>
      </c>
      <c r="D231" s="107" t="n">
        <v>4607091381672</v>
      </c>
      <c r="E231" s="128" t="n"/>
      <c r="F231" s="162" t="n">
        <v>0.6</v>
      </c>
      <c r="G231" s="52" t="n">
        <v>6</v>
      </c>
      <c r="H231" s="162" t="n">
        <v>3.6</v>
      </c>
      <c r="I231" s="162" t="n">
        <v>3.876</v>
      </c>
      <c r="J231" s="52" t="n">
        <v>120</v>
      </c>
      <c r="K231" s="52" t="inlineStr">
        <is>
          <t>12</t>
        </is>
      </c>
      <c r="L231" s="53" t="inlineStr">
        <is>
          <t>СК2</t>
        </is>
      </c>
      <c r="M231" s="52" t="n">
        <v>40</v>
      </c>
      <c r="N231" s="1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63" t="n"/>
      <c r="P231" s="163" t="n"/>
      <c r="Q231" s="163" t="n"/>
      <c r="R231" s="128" t="n"/>
      <c r="S231" s="54" t="n"/>
      <c r="T231" s="54" t="n"/>
      <c r="U231" s="55" t="inlineStr">
        <is>
          <t>кг</t>
        </is>
      </c>
      <c r="V231" s="164" t="n">
        <v>0</v>
      </c>
      <c r="W231" s="165">
        <f>IFERROR(IF(V231="",0,CEILING((V231/$H231),1)*$H231),"")</f>
        <v/>
      </c>
      <c r="X231" s="58">
        <f>IFERROR(IF(W231=0,"",ROUNDUP(W231/H231,0)*0.00937),"")</f>
        <v/>
      </c>
      <c r="Y231" s="59" t="n"/>
      <c r="Z231" s="60" t="n"/>
      <c r="AA231" s="71" t="n"/>
      <c r="AD231" s="61" t="n"/>
      <c r="BA231" s="62" t="inlineStr">
        <is>
          <t>КИ</t>
        </is>
      </c>
    </row>
    <row r="232" ht="27" customHeight="1">
      <c r="A232" s="49" t="inlineStr">
        <is>
          <t>SU001763</t>
        </is>
      </c>
      <c r="B232" s="49" t="inlineStr">
        <is>
          <t>P002206</t>
        </is>
      </c>
      <c r="C232" s="50" t="n">
        <v>4301051130</v>
      </c>
      <c r="D232" s="107" t="n">
        <v>4607091387537</v>
      </c>
      <c r="E232" s="128" t="n"/>
      <c r="F232" s="162" t="n">
        <v>0.45</v>
      </c>
      <c r="G232" s="52" t="n">
        <v>6</v>
      </c>
      <c r="H232" s="162" t="n">
        <v>2.7</v>
      </c>
      <c r="I232" s="162" t="n">
        <v>2.99</v>
      </c>
      <c r="J232" s="52" t="n">
        <v>156</v>
      </c>
      <c r="K232" s="52" t="inlineStr">
        <is>
          <t>12</t>
        </is>
      </c>
      <c r="L232" s="53" t="inlineStr">
        <is>
          <t>СК2</t>
        </is>
      </c>
      <c r="M232" s="52" t="n">
        <v>40</v>
      </c>
      <c r="N232" s="10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63" t="n"/>
      <c r="P232" s="163" t="n"/>
      <c r="Q232" s="163" t="n"/>
      <c r="R232" s="128" t="n"/>
      <c r="S232" s="54" t="n"/>
      <c r="T232" s="54" t="n"/>
      <c r="U232" s="55" t="inlineStr">
        <is>
          <t>кг</t>
        </is>
      </c>
      <c r="V232" s="164" t="n">
        <v>0</v>
      </c>
      <c r="W232" s="165">
        <f>IFERROR(IF(V232="",0,CEILING((V232/$H232),1)*$H232),"")</f>
        <v/>
      </c>
      <c r="X232" s="58">
        <f>IFERROR(IF(W232=0,"",ROUNDUP(W232/H232,0)*0.00753),"")</f>
        <v/>
      </c>
      <c r="Y232" s="59" t="n"/>
      <c r="Z232" s="60" t="n"/>
      <c r="AA232" s="71" t="n"/>
      <c r="AD232" s="61" t="n"/>
      <c r="BA232" s="62" t="inlineStr">
        <is>
          <t>КИ</t>
        </is>
      </c>
    </row>
    <row r="233" ht="27" customHeight="1">
      <c r="A233" s="49" t="inlineStr">
        <is>
          <t>SU001762</t>
        </is>
      </c>
      <c r="B233" s="49" t="inlineStr">
        <is>
          <t>P002208</t>
        </is>
      </c>
      <c r="C233" s="50" t="n">
        <v>4301051132</v>
      </c>
      <c r="D233" s="107" t="n">
        <v>4607091387513</v>
      </c>
      <c r="E233" s="128" t="n"/>
      <c r="F233" s="162" t="n">
        <v>0.45</v>
      </c>
      <c r="G233" s="52" t="n">
        <v>6</v>
      </c>
      <c r="H233" s="162" t="n">
        <v>2.7</v>
      </c>
      <c r="I233" s="162" t="n">
        <v>2.978</v>
      </c>
      <c r="J233" s="52" t="n">
        <v>156</v>
      </c>
      <c r="K233" s="52" t="inlineStr">
        <is>
          <t>12</t>
        </is>
      </c>
      <c r="L233" s="53" t="inlineStr">
        <is>
          <t>СК2</t>
        </is>
      </c>
      <c r="M233" s="52" t="n">
        <v>40</v>
      </c>
      <c r="N233" s="1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63" t="n"/>
      <c r="P233" s="163" t="n"/>
      <c r="Q233" s="163" t="n"/>
      <c r="R233" s="128" t="n"/>
      <c r="S233" s="54" t="n"/>
      <c r="T233" s="54" t="n"/>
      <c r="U233" s="55" t="inlineStr">
        <is>
          <t>кг</t>
        </is>
      </c>
      <c r="V233" s="164" t="n">
        <v>0</v>
      </c>
      <c r="W233" s="165">
        <f>IFERROR(IF(V233="",0,CEILING((V233/$H233),1)*$H233),"")</f>
        <v/>
      </c>
      <c r="X233" s="58">
        <f>IFERROR(IF(W233=0,"",ROUNDUP(W233/H233,0)*0.00753),"")</f>
        <v/>
      </c>
      <c r="Y233" s="59" t="n"/>
      <c r="Z233" s="60" t="n"/>
      <c r="AA233" s="71" t="n"/>
      <c r="AD233" s="61" t="n"/>
      <c r="BA233" s="62" t="inlineStr">
        <is>
          <t>КИ</t>
        </is>
      </c>
    </row>
    <row r="234" ht="27" customHeight="1">
      <c r="A234" s="49" t="inlineStr">
        <is>
          <t>SU002619</t>
        </is>
      </c>
      <c r="B234" s="49" t="inlineStr">
        <is>
          <t>P002953</t>
        </is>
      </c>
      <c r="C234" s="50" t="n">
        <v>4301051277</v>
      </c>
      <c r="D234" s="107" t="n">
        <v>4680115880511</v>
      </c>
      <c r="E234" s="128" t="n"/>
      <c r="F234" s="162" t="n">
        <v>0.33</v>
      </c>
      <c r="G234" s="52" t="n">
        <v>6</v>
      </c>
      <c r="H234" s="162" t="n">
        <v>1.98</v>
      </c>
      <c r="I234" s="162" t="n">
        <v>2.18</v>
      </c>
      <c r="J234" s="52" t="n">
        <v>156</v>
      </c>
      <c r="K234" s="52" t="inlineStr">
        <is>
          <t>12</t>
        </is>
      </c>
      <c r="L234" s="53" t="inlineStr">
        <is>
          <t>СК3</t>
        </is>
      </c>
      <c r="M234" s="52" t="n">
        <v>40</v>
      </c>
      <c r="N234" s="1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63" t="n"/>
      <c r="P234" s="163" t="n"/>
      <c r="Q234" s="163" t="n"/>
      <c r="R234" s="128" t="n"/>
      <c r="S234" s="54" t="n"/>
      <c r="T234" s="54" t="n"/>
      <c r="U234" s="55" t="inlineStr">
        <is>
          <t>кг</t>
        </is>
      </c>
      <c r="V234" s="164" t="n">
        <v>0</v>
      </c>
      <c r="W234" s="165">
        <f>IFERROR(IF(V234="",0,CEILING((V234/$H234),1)*$H234),"")</f>
        <v/>
      </c>
      <c r="X234" s="58">
        <f>IFERROR(IF(W234=0,"",ROUNDUP(W234/H234,0)*0.00753),"")</f>
        <v/>
      </c>
      <c r="Y234" s="59" t="n"/>
      <c r="Z234" s="60" t="n"/>
      <c r="AA234" s="71" t="n"/>
      <c r="AD234" s="61" t="n"/>
      <c r="BA234" s="62" t="inlineStr">
        <is>
          <t>КИ</t>
        </is>
      </c>
    </row>
    <row r="235" ht="12.5" customHeight="1">
      <c r="A235" s="10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66" t="n"/>
      <c r="N235" s="110" t="inlineStr">
        <is>
          <t>Итого</t>
        </is>
      </c>
      <c r="O235" s="134" t="n"/>
      <c r="P235" s="134" t="n"/>
      <c r="Q235" s="134" t="n"/>
      <c r="R235" s="134" t="n"/>
      <c r="S235" s="134" t="n"/>
      <c r="T235" s="135" t="n"/>
      <c r="U235" s="63" t="inlineStr">
        <is>
          <t>кор</t>
        </is>
      </c>
      <c r="V235" s="167">
        <f>IFERROR(V227/H227,"0")+IFERROR(V228/H228,"0")+IFERROR(V229/H229,"0")+IFERROR(V230/H230,"0")+IFERROR(V231/H231,"0")+IFERROR(V232/H232,"0")+IFERROR(V233/H233,"0")+IFERROR(V234/H234,"0")</f>
        <v/>
      </c>
      <c r="W235" s="167">
        <f>IFERROR(W227/H227,"0")+IFERROR(W228/H228,"0")+IFERROR(W229/H229,"0")+IFERROR(W230/H230,"0")+IFERROR(W231/H231,"0")+IFERROR(W232/H232,"0")+IFERROR(W233/H233,"0")+IFERROR(W234/H234,"0")</f>
        <v/>
      </c>
      <c r="X235" s="16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168" t="n"/>
      <c r="Z235" s="168" t="n"/>
      <c r="AA235" s="71" t="n"/>
    </row>
    <row r="236" ht="12.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66" t="n"/>
      <c r="N236" s="110" t="inlineStr">
        <is>
          <t>Итого</t>
        </is>
      </c>
      <c r="O236" s="134" t="n"/>
      <c r="P236" s="134" t="n"/>
      <c r="Q236" s="134" t="n"/>
      <c r="R236" s="134" t="n"/>
      <c r="S236" s="134" t="n"/>
      <c r="T236" s="135" t="n"/>
      <c r="U236" s="63" t="inlineStr">
        <is>
          <t>кг</t>
        </is>
      </c>
      <c r="V236" s="167">
        <f>IFERROR(SUM(V227:V234),"0")</f>
        <v/>
      </c>
      <c r="W236" s="167">
        <f>IFERROR(SUM(W227:W234),"0")</f>
        <v/>
      </c>
      <c r="X236" s="63" t="n"/>
      <c r="Y236" s="168" t="n"/>
      <c r="Z236" s="168" t="n"/>
      <c r="AA236" s="71" t="n"/>
    </row>
    <row r="237" ht="14.25" customHeight="1">
      <c r="A237" s="106" t="inlineStr">
        <is>
          <t>Сардельки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06" t="n"/>
      <c r="Z237" s="106" t="n"/>
      <c r="AA237" s="71" t="n"/>
    </row>
    <row r="238" ht="16.5" customHeight="1">
      <c r="A238" s="49" t="inlineStr">
        <is>
          <t>SU001051</t>
        </is>
      </c>
      <c r="B238" s="49" t="inlineStr">
        <is>
          <t>P002061</t>
        </is>
      </c>
      <c r="C238" s="50" t="n">
        <v>4301060326</v>
      </c>
      <c r="D238" s="107" t="n">
        <v>4607091380880</v>
      </c>
      <c r="E238" s="128" t="n"/>
      <c r="F238" s="162" t="n">
        <v>1.4</v>
      </c>
      <c r="G238" s="52" t="n">
        <v>6</v>
      </c>
      <c r="H238" s="162" t="n">
        <v>8.4</v>
      </c>
      <c r="I238" s="162" t="n">
        <v>8.964</v>
      </c>
      <c r="J238" s="52" t="n">
        <v>56</v>
      </c>
      <c r="K238" s="52" t="inlineStr">
        <is>
          <t>8</t>
        </is>
      </c>
      <c r="L238" s="53" t="inlineStr">
        <is>
          <t>СК2</t>
        </is>
      </c>
      <c r="M238" s="52" t="n">
        <v>30</v>
      </c>
      <c r="N238" s="108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63" t="n"/>
      <c r="P238" s="163" t="n"/>
      <c r="Q238" s="163" t="n"/>
      <c r="R238" s="128" t="n"/>
      <c r="S238" s="54" t="n"/>
      <c r="T238" s="54" t="n"/>
      <c r="U238" s="55" t="inlineStr">
        <is>
          <t>кг</t>
        </is>
      </c>
      <c r="V238" s="164" t="n">
        <v>0</v>
      </c>
      <c r="W238" s="165">
        <f>IFERROR(IF(V238="",0,CEILING((V238/$H238),1)*$H238),"")</f>
        <v/>
      </c>
      <c r="X238" s="58">
        <f>IFERROR(IF(W238=0,"",ROUNDUP(W238/H238,0)*0.02175),"")</f>
        <v/>
      </c>
      <c r="Y238" s="59" t="n"/>
      <c r="Z238" s="60" t="n"/>
      <c r="AA238" s="71" t="n"/>
      <c r="AD238" s="61" t="n"/>
      <c r="BA238" s="62" t="inlineStr">
        <is>
          <t>КИ</t>
        </is>
      </c>
    </row>
    <row r="239" ht="27" customHeight="1">
      <c r="A239" s="49" t="inlineStr">
        <is>
          <t>SU000227</t>
        </is>
      </c>
      <c r="B239" s="49" t="inlineStr">
        <is>
          <t>P002536</t>
        </is>
      </c>
      <c r="C239" s="50" t="n">
        <v>4301060308</v>
      </c>
      <c r="D239" s="107" t="n">
        <v>4607091384482</v>
      </c>
      <c r="E239" s="128" t="n"/>
      <c r="F239" s="162" t="n">
        <v>1.3</v>
      </c>
      <c r="G239" s="52" t="n">
        <v>6</v>
      </c>
      <c r="H239" s="162" t="n">
        <v>7.8</v>
      </c>
      <c r="I239" s="162" t="n">
        <v>8.364000000000001</v>
      </c>
      <c r="J239" s="52" t="n">
        <v>56</v>
      </c>
      <c r="K239" s="52" t="inlineStr">
        <is>
          <t>8</t>
        </is>
      </c>
      <c r="L239" s="53" t="inlineStr">
        <is>
          <t>СК2</t>
        </is>
      </c>
      <c r="M239" s="52" t="n">
        <v>30</v>
      </c>
      <c r="N239" s="1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63" t="n"/>
      <c r="P239" s="163" t="n"/>
      <c r="Q239" s="163" t="n"/>
      <c r="R239" s="128" t="n"/>
      <c r="S239" s="54" t="n"/>
      <c r="T239" s="54" t="n"/>
      <c r="U239" s="55" t="inlineStr">
        <is>
          <t>кг</t>
        </is>
      </c>
      <c r="V239" s="164" t="n">
        <v>0</v>
      </c>
      <c r="W239" s="165">
        <f>IFERROR(IF(V239="",0,CEILING((V239/$H239),1)*$H239),"")</f>
        <v/>
      </c>
      <c r="X239" s="58">
        <f>IFERROR(IF(W239=0,"",ROUNDUP(W239/H239,0)*0.02175),"")</f>
        <v/>
      </c>
      <c r="Y239" s="59" t="n"/>
      <c r="Z239" s="60" t="n"/>
      <c r="AA239" s="71" t="n"/>
      <c r="AD239" s="61" t="n"/>
      <c r="BA239" s="62" t="inlineStr">
        <is>
          <t>КИ</t>
        </is>
      </c>
    </row>
    <row r="240" ht="16.5" customHeight="1">
      <c r="A240" s="49" t="inlineStr">
        <is>
          <t>SU001430</t>
        </is>
      </c>
      <c r="B240" s="49" t="inlineStr">
        <is>
          <t>P002036</t>
        </is>
      </c>
      <c r="C240" s="50" t="n">
        <v>4301060325</v>
      </c>
      <c r="D240" s="107" t="n">
        <v>4607091380897</v>
      </c>
      <c r="E240" s="128" t="n"/>
      <c r="F240" s="162" t="n">
        <v>1.4</v>
      </c>
      <c r="G240" s="52" t="n">
        <v>6</v>
      </c>
      <c r="H240" s="162" t="n">
        <v>8.4</v>
      </c>
      <c r="I240" s="162" t="n">
        <v>8.964</v>
      </c>
      <c r="J240" s="52" t="n">
        <v>56</v>
      </c>
      <c r="K240" s="52" t="inlineStr">
        <is>
          <t>8</t>
        </is>
      </c>
      <c r="L240" s="53" t="inlineStr">
        <is>
          <t>СК2</t>
        </is>
      </c>
      <c r="M240" s="52" t="n">
        <v>30</v>
      </c>
      <c r="N240" s="108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63" t="n"/>
      <c r="P240" s="163" t="n"/>
      <c r="Q240" s="163" t="n"/>
      <c r="R240" s="128" t="n"/>
      <c r="S240" s="54" t="n"/>
      <c r="T240" s="54" t="n"/>
      <c r="U240" s="55" t="inlineStr">
        <is>
          <t>кг</t>
        </is>
      </c>
      <c r="V240" s="164" t="n">
        <v>0</v>
      </c>
      <c r="W240" s="165">
        <f>IFERROR(IF(V240="",0,CEILING((V240/$H240),1)*$H240),"")</f>
        <v/>
      </c>
      <c r="X240" s="58">
        <f>IFERROR(IF(W240=0,"",ROUNDUP(W240/H240,0)*0.02175),"")</f>
        <v/>
      </c>
      <c r="Y240" s="59" t="n"/>
      <c r="Z240" s="60" t="n"/>
      <c r="AA240" s="71" t="n"/>
      <c r="AD240" s="61" t="n"/>
      <c r="BA240" s="62" t="inlineStr">
        <is>
          <t>КИ</t>
        </is>
      </c>
    </row>
    <row r="241" ht="12.5" customHeight="1">
      <c r="A241" s="10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66" t="n"/>
      <c r="N241" s="110" t="inlineStr">
        <is>
          <t>Итого</t>
        </is>
      </c>
      <c r="O241" s="134" t="n"/>
      <c r="P241" s="134" t="n"/>
      <c r="Q241" s="134" t="n"/>
      <c r="R241" s="134" t="n"/>
      <c r="S241" s="134" t="n"/>
      <c r="T241" s="135" t="n"/>
      <c r="U241" s="63" t="inlineStr">
        <is>
          <t>кор</t>
        </is>
      </c>
      <c r="V241" s="167">
        <f>IFERROR(V238/H238,"0")+IFERROR(V239/H239,"0")+IFERROR(V240/H240,"0")</f>
        <v/>
      </c>
      <c r="W241" s="167">
        <f>IFERROR(W238/H238,"0")+IFERROR(W239/H239,"0")+IFERROR(W240/H240,"0")</f>
        <v/>
      </c>
      <c r="X241" s="167">
        <f>IFERROR(IF(X238="",0,X238),"0")+IFERROR(IF(X239="",0,X239),"0")+IFERROR(IF(X240="",0,X240),"0")</f>
        <v/>
      </c>
      <c r="Y241" s="168" t="n"/>
      <c r="Z241" s="168" t="n"/>
      <c r="AA241" s="71" t="n"/>
    </row>
    <row r="242" ht="12.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66" t="n"/>
      <c r="N242" s="110" t="inlineStr">
        <is>
          <t>Итого</t>
        </is>
      </c>
      <c r="O242" s="134" t="n"/>
      <c r="P242" s="134" t="n"/>
      <c r="Q242" s="134" t="n"/>
      <c r="R242" s="134" t="n"/>
      <c r="S242" s="134" t="n"/>
      <c r="T242" s="135" t="n"/>
      <c r="U242" s="63" t="inlineStr">
        <is>
          <t>кг</t>
        </is>
      </c>
      <c r="V242" s="167">
        <f>IFERROR(SUM(V238:V240),"0")</f>
        <v/>
      </c>
      <c r="W242" s="167">
        <f>IFERROR(SUM(W238:W240),"0")</f>
        <v/>
      </c>
      <c r="X242" s="63" t="n"/>
      <c r="Y242" s="168" t="n"/>
      <c r="Z242" s="168" t="n"/>
      <c r="AA242" s="71" t="n"/>
    </row>
    <row r="243" ht="14.25" customHeight="1">
      <c r="A243" s="106" t="inlineStr">
        <is>
          <t>Сырокопченые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06" t="n"/>
      <c r="Z243" s="106" t="n"/>
      <c r="AA243" s="71" t="n"/>
    </row>
    <row r="244" ht="16.5" customHeight="1">
      <c r="A244" s="49" t="inlineStr">
        <is>
          <t>SU001920</t>
        </is>
      </c>
      <c r="B244" s="49" t="inlineStr">
        <is>
          <t>P001900</t>
        </is>
      </c>
      <c r="C244" s="50" t="n">
        <v>4301030232</v>
      </c>
      <c r="D244" s="107" t="n">
        <v>4607091388374</v>
      </c>
      <c r="E244" s="128" t="n"/>
      <c r="F244" s="162" t="n">
        <v>0.38</v>
      </c>
      <c r="G244" s="52" t="n">
        <v>8</v>
      </c>
      <c r="H244" s="162" t="n">
        <v>3.04</v>
      </c>
      <c r="I244" s="162" t="n">
        <v>3.28</v>
      </c>
      <c r="J244" s="52" t="n">
        <v>156</v>
      </c>
      <c r="K244" s="52" t="inlineStr">
        <is>
          <t>12</t>
        </is>
      </c>
      <c r="L244" s="53" t="inlineStr">
        <is>
          <t>АК</t>
        </is>
      </c>
      <c r="M244" s="52" t="n">
        <v>180</v>
      </c>
      <c r="N244" s="115" t="inlineStr">
        <is>
          <t>С/к колбасы Княжеская Бордо Весовые б/о терм/п Стародворье</t>
        </is>
      </c>
      <c r="O244" s="163" t="n"/>
      <c r="P244" s="163" t="n"/>
      <c r="Q244" s="163" t="n"/>
      <c r="R244" s="128" t="n"/>
      <c r="S244" s="54" t="n"/>
      <c r="T244" s="54" t="n"/>
      <c r="U244" s="55" t="inlineStr">
        <is>
          <t>кг</t>
        </is>
      </c>
      <c r="V244" s="164" t="n">
        <v>0</v>
      </c>
      <c r="W244" s="165">
        <f>IFERROR(IF(V244="",0,CEILING((V244/$H244),1)*$H244),"")</f>
        <v/>
      </c>
      <c r="X244" s="58">
        <f>IFERROR(IF(W244=0,"",ROUNDUP(W244/H244,0)*0.00753),"")</f>
        <v/>
      </c>
      <c r="Y244" s="59" t="n"/>
      <c r="Z244" s="60" t="n"/>
      <c r="AA244" s="71" t="n"/>
      <c r="AD244" s="61" t="n"/>
      <c r="BA244" s="62" t="inlineStr">
        <is>
          <t>КИ</t>
        </is>
      </c>
    </row>
    <row r="245" ht="27" customHeight="1">
      <c r="A245" s="49" t="inlineStr">
        <is>
          <t>SU001921</t>
        </is>
      </c>
      <c r="B245" s="49" t="inlineStr">
        <is>
          <t>P001916</t>
        </is>
      </c>
      <c r="C245" s="50" t="n">
        <v>4301030235</v>
      </c>
      <c r="D245" s="107" t="n">
        <v>4607091388381</v>
      </c>
      <c r="E245" s="128" t="n"/>
      <c r="F245" s="162" t="n">
        <v>0.38</v>
      </c>
      <c r="G245" s="52" t="n">
        <v>8</v>
      </c>
      <c r="H245" s="162" t="n">
        <v>3.04</v>
      </c>
      <c r="I245" s="162" t="n">
        <v>3.32</v>
      </c>
      <c r="J245" s="52" t="n">
        <v>156</v>
      </c>
      <c r="K245" s="52" t="inlineStr">
        <is>
          <t>12</t>
        </is>
      </c>
      <c r="L245" s="53" t="inlineStr">
        <is>
          <t>АК</t>
        </is>
      </c>
      <c r="M245" s="52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63" t="n"/>
      <c r="P245" s="163" t="n"/>
      <c r="Q245" s="163" t="n"/>
      <c r="R245" s="128" t="n"/>
      <c r="S245" s="54" t="n"/>
      <c r="T245" s="54" t="n"/>
      <c r="U245" s="55" t="inlineStr">
        <is>
          <t>кг</t>
        </is>
      </c>
      <c r="V245" s="164" t="n">
        <v>0</v>
      </c>
      <c r="W245" s="165">
        <f>IFERROR(IF(V245="",0,CEILING((V245/$H245),1)*$H245),"")</f>
        <v/>
      </c>
      <c r="X245" s="58">
        <f>IFERROR(IF(W245=0,"",ROUNDUP(W245/H245,0)*0.00753),"")</f>
        <v/>
      </c>
      <c r="Y245" s="59" t="n"/>
      <c r="Z245" s="60" t="n"/>
      <c r="AA245" s="71" t="n"/>
      <c r="AD245" s="61" t="n"/>
      <c r="BA245" s="62" t="inlineStr">
        <is>
          <t>КИ</t>
        </is>
      </c>
    </row>
    <row r="246" ht="27" customHeight="1">
      <c r="A246" s="49" t="inlineStr">
        <is>
          <t>SU001869</t>
        </is>
      </c>
      <c r="B246" s="49" t="inlineStr">
        <is>
          <t>P003319</t>
        </is>
      </c>
      <c r="C246" s="50" t="n">
        <v>4301032040</v>
      </c>
      <c r="D246" s="107" t="n">
        <v>4680115881860</v>
      </c>
      <c r="E246" s="128" t="n"/>
      <c r="F246" s="162" t="n">
        <v>0.17</v>
      </c>
      <c r="G246" s="52" t="n">
        <v>10</v>
      </c>
      <c r="H246" s="162" t="n">
        <v>1.7</v>
      </c>
      <c r="I246" s="162" t="n">
        <v>1.9</v>
      </c>
      <c r="J246" s="52" t="n">
        <v>234</v>
      </c>
      <c r="K246" s="52" t="inlineStr">
        <is>
          <t>18</t>
        </is>
      </c>
      <c r="L246" s="53" t="inlineStr">
        <is>
          <t>ДУБ</t>
        </is>
      </c>
      <c r="M246" s="52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63" t="n"/>
      <c r="P246" s="163" t="n"/>
      <c r="Q246" s="163" t="n"/>
      <c r="R246" s="128" t="n"/>
      <c r="S246" s="54" t="n"/>
      <c r="T246" s="54" t="n"/>
      <c r="U246" s="55" t="inlineStr">
        <is>
          <t>кг</t>
        </is>
      </c>
      <c r="V246" s="164" t="n">
        <v>5.100000000000001</v>
      </c>
      <c r="W246" s="165">
        <f>IFERROR(IF(V246="",0,CEILING((V246/$H246),1)*$H246),"")</f>
        <v/>
      </c>
      <c r="X246" s="58">
        <f>IFERROR(IF(W246=0,"",ROUNDUP(W246/H246,0)*0.00502),"")</f>
        <v/>
      </c>
      <c r="Y246" s="59" t="n"/>
      <c r="Z246" s="60" t="n"/>
      <c r="AA246" s="71" t="n"/>
      <c r="AD246" s="61" t="n"/>
      <c r="BA246" s="62" t="inlineStr">
        <is>
          <t>КИ</t>
        </is>
      </c>
    </row>
    <row r="247" ht="12.5" customHeight="1">
      <c r="A247" s="109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66" t="n"/>
      <c r="N247" s="110" t="inlineStr">
        <is>
          <t>Итого</t>
        </is>
      </c>
      <c r="O247" s="134" t="n"/>
      <c r="P247" s="134" t="n"/>
      <c r="Q247" s="134" t="n"/>
      <c r="R247" s="134" t="n"/>
      <c r="S247" s="134" t="n"/>
      <c r="T247" s="135" t="n"/>
      <c r="U247" s="63" t="inlineStr">
        <is>
          <t>кор</t>
        </is>
      </c>
      <c r="V247" s="167">
        <f>IFERROR(V244/H244,"0")+IFERROR(V245/H245,"0")+IFERROR(V246/H246,"0")</f>
        <v/>
      </c>
      <c r="W247" s="167">
        <f>IFERROR(W244/H244,"0")+IFERROR(W245/H245,"0")+IFERROR(W246/H246,"0")</f>
        <v/>
      </c>
      <c r="X247" s="167">
        <f>IFERROR(IF(X244="",0,X244),"0")+IFERROR(IF(X245="",0,X245),"0")+IFERROR(IF(X246="",0,X246),"0")</f>
        <v/>
      </c>
      <c r="Y247" s="168" t="n"/>
      <c r="Z247" s="168" t="n"/>
      <c r="AA247" s="71" t="n"/>
    </row>
    <row r="248" ht="12.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66" t="n"/>
      <c r="N248" s="110" t="inlineStr">
        <is>
          <t>Итого</t>
        </is>
      </c>
      <c r="O248" s="134" t="n"/>
      <c r="P248" s="134" t="n"/>
      <c r="Q248" s="134" t="n"/>
      <c r="R248" s="134" t="n"/>
      <c r="S248" s="134" t="n"/>
      <c r="T248" s="135" t="n"/>
      <c r="U248" s="63" t="inlineStr">
        <is>
          <t>кг</t>
        </is>
      </c>
      <c r="V248" s="167">
        <f>IFERROR(SUM(V244:V246),"0")</f>
        <v/>
      </c>
      <c r="W248" s="167">
        <f>IFERROR(SUM(W244:W246),"0")</f>
        <v/>
      </c>
      <c r="X248" s="63" t="n"/>
      <c r="Y248" s="168" t="n"/>
      <c r="Z248" s="168" t="n"/>
      <c r="AA248" s="71" t="n"/>
    </row>
    <row r="249" ht="14.25" customHeight="1">
      <c r="A249" s="106" t="inlineStr">
        <is>
          <t>Паштеты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06" t="n"/>
      <c r="Z249" s="106" t="n"/>
      <c r="AA249" s="71" t="n"/>
    </row>
    <row r="250" ht="16.5" customHeight="1">
      <c r="A250" s="49" t="inlineStr">
        <is>
          <t>SU002841</t>
        </is>
      </c>
      <c r="B250" s="49" t="inlineStr">
        <is>
          <t>P003253</t>
        </is>
      </c>
      <c r="C250" s="50" t="n">
        <v>4301180007</v>
      </c>
      <c r="D250" s="107" t="n">
        <v>4680115881808</v>
      </c>
      <c r="E250" s="128" t="n"/>
      <c r="F250" s="162" t="n">
        <v>0.1</v>
      </c>
      <c r="G250" s="52" t="n">
        <v>20</v>
      </c>
      <c r="H250" s="162" t="n">
        <v>2</v>
      </c>
      <c r="I250" s="162" t="n">
        <v>2.24</v>
      </c>
      <c r="J250" s="52" t="n">
        <v>238</v>
      </c>
      <c r="K250" s="52" t="inlineStr">
        <is>
          <t>14</t>
        </is>
      </c>
      <c r="L250" s="53" t="inlineStr">
        <is>
          <t>РК</t>
        </is>
      </c>
      <c r="M250" s="52" t="n">
        <v>730</v>
      </c>
      <c r="N250" s="1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63" t="n"/>
      <c r="P250" s="163" t="n"/>
      <c r="Q250" s="163" t="n"/>
      <c r="R250" s="128" t="n"/>
      <c r="S250" s="54" t="n"/>
      <c r="T250" s="54" t="n"/>
      <c r="U250" s="55" t="inlineStr">
        <is>
          <t>кг</t>
        </is>
      </c>
      <c r="V250" s="164" t="n">
        <v>0</v>
      </c>
      <c r="W250" s="165">
        <f>IFERROR(IF(V250="",0,CEILING((V250/$H250),1)*$H250),"")</f>
        <v/>
      </c>
      <c r="X250" s="58">
        <f>IFERROR(IF(W250=0,"",ROUNDUP(W250/H250,0)*0.00474),"")</f>
        <v/>
      </c>
      <c r="Y250" s="59" t="n"/>
      <c r="Z250" s="60" t="n"/>
      <c r="AA250" s="71" t="n"/>
      <c r="AD250" s="61" t="n"/>
      <c r="BA250" s="62" t="inlineStr">
        <is>
          <t>КИ</t>
        </is>
      </c>
    </row>
    <row r="251" ht="27" customHeight="1">
      <c r="A251" s="49" t="inlineStr">
        <is>
          <t>SU002840</t>
        </is>
      </c>
      <c r="B251" s="49" t="inlineStr">
        <is>
          <t>P003252</t>
        </is>
      </c>
      <c r="C251" s="50" t="n">
        <v>4301180006</v>
      </c>
      <c r="D251" s="107" t="n">
        <v>4680115881822</v>
      </c>
      <c r="E251" s="128" t="n"/>
      <c r="F251" s="162" t="n">
        <v>0.1</v>
      </c>
      <c r="G251" s="52" t="n">
        <v>20</v>
      </c>
      <c r="H251" s="162" t="n">
        <v>2</v>
      </c>
      <c r="I251" s="162" t="n">
        <v>2.24</v>
      </c>
      <c r="J251" s="52" t="n">
        <v>238</v>
      </c>
      <c r="K251" s="52" t="inlineStr">
        <is>
          <t>14</t>
        </is>
      </c>
      <c r="L251" s="53" t="inlineStr">
        <is>
          <t>РК</t>
        </is>
      </c>
      <c r="M251" s="52" t="n">
        <v>730</v>
      </c>
      <c r="N251" s="1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63" t="n"/>
      <c r="P251" s="163" t="n"/>
      <c r="Q251" s="163" t="n"/>
      <c r="R251" s="128" t="n"/>
      <c r="S251" s="54" t="n"/>
      <c r="T251" s="54" t="n"/>
      <c r="U251" s="55" t="inlineStr">
        <is>
          <t>кг</t>
        </is>
      </c>
      <c r="V251" s="164" t="n">
        <v>0</v>
      </c>
      <c r="W251" s="165">
        <f>IFERROR(IF(V251="",0,CEILING((V251/$H251),1)*$H251),"")</f>
        <v/>
      </c>
      <c r="X251" s="58">
        <f>IFERROR(IF(W251=0,"",ROUNDUP(W251/H251,0)*0.00474),"")</f>
        <v/>
      </c>
      <c r="Y251" s="59" t="n"/>
      <c r="Z251" s="60" t="n"/>
      <c r="AA251" s="71" t="n"/>
      <c r="AD251" s="61" t="n"/>
      <c r="BA251" s="62" t="inlineStr">
        <is>
          <t>КИ</t>
        </is>
      </c>
    </row>
    <row r="252" ht="27" customHeight="1">
      <c r="A252" s="49" t="inlineStr">
        <is>
          <t>SU002368</t>
        </is>
      </c>
      <c r="B252" s="49" t="inlineStr">
        <is>
          <t>P002648</t>
        </is>
      </c>
      <c r="C252" s="50" t="n">
        <v>4301180001</v>
      </c>
      <c r="D252" s="107" t="n">
        <v>4680115880016</v>
      </c>
      <c r="E252" s="128" t="n"/>
      <c r="F252" s="162" t="n">
        <v>0.1</v>
      </c>
      <c r="G252" s="52" t="n">
        <v>20</v>
      </c>
      <c r="H252" s="162" t="n">
        <v>2</v>
      </c>
      <c r="I252" s="162" t="n">
        <v>2.24</v>
      </c>
      <c r="J252" s="52" t="n">
        <v>238</v>
      </c>
      <c r="K252" s="52" t="inlineStr">
        <is>
          <t>14</t>
        </is>
      </c>
      <c r="L252" s="53" t="inlineStr">
        <is>
          <t>РК</t>
        </is>
      </c>
      <c r="M252" s="52" t="n">
        <v>730</v>
      </c>
      <c r="N252" s="10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63" t="n"/>
      <c r="P252" s="163" t="n"/>
      <c r="Q252" s="163" t="n"/>
      <c r="R252" s="128" t="n"/>
      <c r="S252" s="54" t="n"/>
      <c r="T252" s="54" t="n"/>
      <c r="U252" s="55" t="inlineStr">
        <is>
          <t>кг</t>
        </is>
      </c>
      <c r="V252" s="164" t="n">
        <v>0</v>
      </c>
      <c r="W252" s="165">
        <f>IFERROR(IF(V252="",0,CEILING((V252/$H252),1)*$H252),"")</f>
        <v/>
      </c>
      <c r="X252" s="58">
        <f>IFERROR(IF(W252=0,"",ROUNDUP(W252/H252,0)*0.00474),"")</f>
        <v/>
      </c>
      <c r="Y252" s="59" t="n"/>
      <c r="Z252" s="60" t="n"/>
      <c r="AA252" s="71" t="n"/>
      <c r="AD252" s="61" t="n"/>
      <c r="BA252" s="62" t="inlineStr">
        <is>
          <t>КИ</t>
        </is>
      </c>
    </row>
    <row r="253" ht="12.5" customHeight="1">
      <c r="A253" s="109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66" t="n"/>
      <c r="N253" s="110" t="inlineStr">
        <is>
          <t>Итого</t>
        </is>
      </c>
      <c r="O253" s="134" t="n"/>
      <c r="P253" s="134" t="n"/>
      <c r="Q253" s="134" t="n"/>
      <c r="R253" s="134" t="n"/>
      <c r="S253" s="134" t="n"/>
      <c r="T253" s="135" t="n"/>
      <c r="U253" s="63" t="inlineStr">
        <is>
          <t>кор</t>
        </is>
      </c>
      <c r="V253" s="167">
        <f>IFERROR(V250/H250,"0")+IFERROR(V251/H251,"0")+IFERROR(V252/H252,"0")</f>
        <v/>
      </c>
      <c r="W253" s="167">
        <f>IFERROR(W250/H250,"0")+IFERROR(W251/H251,"0")+IFERROR(W252/H252,"0")</f>
        <v/>
      </c>
      <c r="X253" s="167">
        <f>IFERROR(IF(X250="",0,X250),"0")+IFERROR(IF(X251="",0,X251),"0")+IFERROR(IF(X252="",0,X252),"0")</f>
        <v/>
      </c>
      <c r="Y253" s="168" t="n"/>
      <c r="Z253" s="168" t="n"/>
      <c r="AA253" s="71" t="n"/>
    </row>
    <row r="254" ht="12.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66" t="n"/>
      <c r="N254" s="110" t="inlineStr">
        <is>
          <t>Итого</t>
        </is>
      </c>
      <c r="O254" s="134" t="n"/>
      <c r="P254" s="134" t="n"/>
      <c r="Q254" s="134" t="n"/>
      <c r="R254" s="134" t="n"/>
      <c r="S254" s="134" t="n"/>
      <c r="T254" s="135" t="n"/>
      <c r="U254" s="63" t="inlineStr">
        <is>
          <t>кг</t>
        </is>
      </c>
      <c r="V254" s="167">
        <f>IFERROR(SUM(V250:V252),"0")</f>
        <v/>
      </c>
      <c r="W254" s="167">
        <f>IFERROR(SUM(W250:W252),"0")</f>
        <v/>
      </c>
      <c r="X254" s="63" t="n"/>
      <c r="Y254" s="168" t="n"/>
      <c r="Z254" s="168" t="n"/>
      <c r="AA254" s="71" t="n"/>
    </row>
    <row r="255" ht="16.5" customHeight="1">
      <c r="A255" s="105" t="inlineStr">
        <is>
          <t>Фирменная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05" t="n"/>
      <c r="Z255" s="105" t="n"/>
      <c r="AA255" s="71" t="n"/>
    </row>
    <row r="256" ht="14.25" customHeight="1">
      <c r="A256" s="106" t="inlineStr">
        <is>
          <t>Вареные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06" t="n"/>
      <c r="Z256" s="106" t="n"/>
      <c r="AA256" s="71" t="n"/>
    </row>
    <row r="257" ht="27" customHeight="1">
      <c r="A257" s="49" t="inlineStr">
        <is>
          <t>SU001793</t>
        </is>
      </c>
      <c r="B257" s="49" t="inlineStr">
        <is>
          <t>P001793</t>
        </is>
      </c>
      <c r="C257" s="50" t="n">
        <v>4301011315</v>
      </c>
      <c r="D257" s="107" t="n">
        <v>4607091387421</v>
      </c>
      <c r="E257" s="128" t="n"/>
      <c r="F257" s="162" t="n">
        <v>1.35</v>
      </c>
      <c r="G257" s="52" t="n">
        <v>8</v>
      </c>
      <c r="H257" s="162" t="n">
        <v>10.8</v>
      </c>
      <c r="I257" s="162" t="n">
        <v>11.28</v>
      </c>
      <c r="J257" s="52" t="n">
        <v>56</v>
      </c>
      <c r="K257" s="52" t="inlineStr">
        <is>
          <t>8</t>
        </is>
      </c>
      <c r="L257" s="53" t="inlineStr">
        <is>
          <t>СК1</t>
        </is>
      </c>
      <c r="M257" s="52" t="n">
        <v>55</v>
      </c>
      <c r="N257" s="1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63" t="n"/>
      <c r="P257" s="163" t="n"/>
      <c r="Q257" s="163" t="n"/>
      <c r="R257" s="128" t="n"/>
      <c r="S257" s="54" t="n"/>
      <c r="T257" s="54" t="n"/>
      <c r="U257" s="55" t="inlineStr">
        <is>
          <t>кг</t>
        </is>
      </c>
      <c r="V257" s="164" t="n">
        <v>0</v>
      </c>
      <c r="W257" s="165">
        <f>IFERROR(IF(V257="",0,CEILING((V257/$H257),1)*$H257),"")</f>
        <v/>
      </c>
      <c r="X257" s="58">
        <f>IFERROR(IF(W257=0,"",ROUNDUP(W257/H257,0)*0.02175),"")</f>
        <v/>
      </c>
      <c r="Y257" s="59" t="n"/>
      <c r="Z257" s="60" t="n"/>
      <c r="AA257" s="71" t="n"/>
      <c r="AD257" s="61" t="n"/>
      <c r="BA257" s="62" t="inlineStr">
        <is>
          <t>КИ</t>
        </is>
      </c>
    </row>
    <row r="258" ht="27" customHeight="1">
      <c r="A258" s="49" t="inlineStr">
        <is>
          <t>SU001793</t>
        </is>
      </c>
      <c r="B258" s="49" t="inlineStr">
        <is>
          <t>P002227</t>
        </is>
      </c>
      <c r="C258" s="50" t="n">
        <v>4301011121</v>
      </c>
      <c r="D258" s="107" t="n">
        <v>4607091387421</v>
      </c>
      <c r="E258" s="128" t="n"/>
      <c r="F258" s="162" t="n">
        <v>1.35</v>
      </c>
      <c r="G258" s="52" t="n">
        <v>8</v>
      </c>
      <c r="H258" s="162" t="n">
        <v>10.8</v>
      </c>
      <c r="I258" s="162" t="n">
        <v>11.28</v>
      </c>
      <c r="J258" s="52" t="n">
        <v>48</v>
      </c>
      <c r="K258" s="52" t="inlineStr">
        <is>
          <t>8</t>
        </is>
      </c>
      <c r="L258" s="53" t="inlineStr">
        <is>
          <t>ВЗ</t>
        </is>
      </c>
      <c r="M258" s="52" t="n">
        <v>55</v>
      </c>
      <c r="N258" s="10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63" t="n"/>
      <c r="P258" s="163" t="n"/>
      <c r="Q258" s="163" t="n"/>
      <c r="R258" s="128" t="n"/>
      <c r="S258" s="54" t="n"/>
      <c r="T258" s="54" t="n"/>
      <c r="U258" s="55" t="inlineStr">
        <is>
          <t>кг</t>
        </is>
      </c>
      <c r="V258" s="164" t="n">
        <v>0</v>
      </c>
      <c r="W258" s="165">
        <f>IFERROR(IF(V258="",0,CEILING((V258/$H258),1)*$H258),"")</f>
        <v/>
      </c>
      <c r="X258" s="58">
        <f>IFERROR(IF(W258=0,"",ROUNDUP(W258/H258,0)*0.02039),"")</f>
        <v/>
      </c>
      <c r="Y258" s="59" t="n"/>
      <c r="Z258" s="60" t="n"/>
      <c r="AA258" s="71" t="n"/>
      <c r="AD258" s="61" t="n"/>
      <c r="BA258" s="62" t="inlineStr">
        <is>
          <t>КИ</t>
        </is>
      </c>
    </row>
    <row r="259" ht="27" customHeight="1">
      <c r="A259" s="49" t="inlineStr">
        <is>
          <t>SU001799</t>
        </is>
      </c>
      <c r="B259" s="49" t="inlineStr">
        <is>
          <t>P003673</t>
        </is>
      </c>
      <c r="C259" s="50" t="n">
        <v>4301011619</v>
      </c>
      <c r="D259" s="107" t="n">
        <v>4607091387452</v>
      </c>
      <c r="E259" s="128" t="n"/>
      <c r="F259" s="162" t="n">
        <v>1.45</v>
      </c>
      <c r="G259" s="52" t="n">
        <v>8</v>
      </c>
      <c r="H259" s="162" t="n">
        <v>11.6</v>
      </c>
      <c r="I259" s="162" t="n">
        <v>12.08</v>
      </c>
      <c r="J259" s="52" t="n">
        <v>56</v>
      </c>
      <c r="K259" s="52" t="inlineStr">
        <is>
          <t>8</t>
        </is>
      </c>
      <c r="L259" s="53" t="inlineStr">
        <is>
          <t>СК1</t>
        </is>
      </c>
      <c r="M259" s="52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63" t="n"/>
      <c r="P259" s="163" t="n"/>
      <c r="Q259" s="163" t="n"/>
      <c r="R259" s="128" t="n"/>
      <c r="S259" s="54" t="n"/>
      <c r="T259" s="54" t="n"/>
      <c r="U259" s="55" t="inlineStr">
        <is>
          <t>кг</t>
        </is>
      </c>
      <c r="V259" s="164" t="n">
        <v>0</v>
      </c>
      <c r="W259" s="165">
        <f>IFERROR(IF(V259="",0,CEILING((V259/$H259),1)*$H259),"")</f>
        <v/>
      </c>
      <c r="X259" s="58">
        <f>IFERROR(IF(W259=0,"",ROUNDUP(W259/H259,0)*0.02175),"")</f>
        <v/>
      </c>
      <c r="Y259" s="59" t="n"/>
      <c r="Z259" s="60" t="n"/>
      <c r="AA259" s="71" t="n"/>
      <c r="AD259" s="61" t="n"/>
      <c r="BA259" s="62" t="inlineStr">
        <is>
          <t>КИ</t>
        </is>
      </c>
    </row>
    <row r="260" ht="27" customHeight="1">
      <c r="A260" s="49" t="inlineStr">
        <is>
          <t>SU001799</t>
        </is>
      </c>
      <c r="B260" s="49" t="inlineStr">
        <is>
          <t>P003076</t>
        </is>
      </c>
      <c r="C260" s="50" t="n">
        <v>4301011396</v>
      </c>
      <c r="D260" s="107" t="n">
        <v>4607091387452</v>
      </c>
      <c r="E260" s="128" t="n"/>
      <c r="F260" s="162" t="n">
        <v>1.35</v>
      </c>
      <c r="G260" s="52" t="n">
        <v>8</v>
      </c>
      <c r="H260" s="162" t="n">
        <v>10.8</v>
      </c>
      <c r="I260" s="162" t="n">
        <v>11.28</v>
      </c>
      <c r="J260" s="52" t="n">
        <v>48</v>
      </c>
      <c r="K260" s="52" t="inlineStr">
        <is>
          <t>8</t>
        </is>
      </c>
      <c r="L260" s="53" t="inlineStr">
        <is>
          <t>ВЗ</t>
        </is>
      </c>
      <c r="M260" s="52" t="n">
        <v>55</v>
      </c>
      <c r="N260" s="10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63" t="n"/>
      <c r="P260" s="163" t="n"/>
      <c r="Q260" s="163" t="n"/>
      <c r="R260" s="128" t="n"/>
      <c r="S260" s="54" t="n"/>
      <c r="T260" s="54" t="n"/>
      <c r="U260" s="55" t="inlineStr">
        <is>
          <t>кг</t>
        </is>
      </c>
      <c r="V260" s="164" t="n">
        <v>0</v>
      </c>
      <c r="W260" s="165">
        <f>IFERROR(IF(V260="",0,CEILING((V260/$H260),1)*$H260),"")</f>
        <v/>
      </c>
      <c r="X260" s="58">
        <f>IFERROR(IF(W260=0,"",ROUNDUP(W260/H260,0)*0.02039),"")</f>
        <v/>
      </c>
      <c r="Y260" s="59" t="n"/>
      <c r="Z260" s="60" t="n"/>
      <c r="AA260" s="71" t="n"/>
      <c r="AD260" s="61" t="n"/>
      <c r="BA260" s="62" t="inlineStr">
        <is>
          <t>КИ</t>
        </is>
      </c>
    </row>
    <row r="261" ht="27" customHeight="1">
      <c r="A261" s="49" t="inlineStr">
        <is>
          <t>SU001792</t>
        </is>
      </c>
      <c r="B261" s="49" t="inlineStr">
        <is>
          <t>P001792</t>
        </is>
      </c>
      <c r="C261" s="50" t="n">
        <v>4301011313</v>
      </c>
      <c r="D261" s="107" t="n">
        <v>4607091385984</v>
      </c>
      <c r="E261" s="128" t="n"/>
      <c r="F261" s="162" t="n">
        <v>1.35</v>
      </c>
      <c r="G261" s="52" t="n">
        <v>8</v>
      </c>
      <c r="H261" s="162" t="n">
        <v>10.8</v>
      </c>
      <c r="I261" s="162" t="n">
        <v>11.28</v>
      </c>
      <c r="J261" s="52" t="n">
        <v>56</v>
      </c>
      <c r="K261" s="52" t="inlineStr">
        <is>
          <t>8</t>
        </is>
      </c>
      <c r="L261" s="53" t="inlineStr">
        <is>
          <t>СК1</t>
        </is>
      </c>
      <c r="M261" s="52" t="n">
        <v>55</v>
      </c>
      <c r="N261" s="1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63" t="n"/>
      <c r="P261" s="163" t="n"/>
      <c r="Q261" s="163" t="n"/>
      <c r="R261" s="128" t="n"/>
      <c r="S261" s="54" t="n"/>
      <c r="T261" s="54" t="n"/>
      <c r="U261" s="55" t="inlineStr">
        <is>
          <t>кг</t>
        </is>
      </c>
      <c r="V261" s="164" t="n">
        <v>0</v>
      </c>
      <c r="W261" s="165">
        <f>IFERROR(IF(V261="",0,CEILING((V261/$H261),1)*$H261),"")</f>
        <v/>
      </c>
      <c r="X261" s="58">
        <f>IFERROR(IF(W261=0,"",ROUNDUP(W261/H261,0)*0.02175),"")</f>
        <v/>
      </c>
      <c r="Y261" s="59" t="n"/>
      <c r="Z261" s="60" t="n"/>
      <c r="AA261" s="71" t="n"/>
      <c r="AD261" s="61" t="n"/>
      <c r="BA261" s="62" t="inlineStr">
        <is>
          <t>КИ</t>
        </is>
      </c>
    </row>
    <row r="262" ht="27" customHeight="1">
      <c r="A262" s="49" t="inlineStr">
        <is>
          <t>SU001794</t>
        </is>
      </c>
      <c r="B262" s="49" t="inlineStr">
        <is>
          <t>P001794</t>
        </is>
      </c>
      <c r="C262" s="50" t="n">
        <v>4301011316</v>
      </c>
      <c r="D262" s="107" t="n">
        <v>4607091387438</v>
      </c>
      <c r="E262" s="128" t="n"/>
      <c r="F262" s="162" t="n">
        <v>0.5</v>
      </c>
      <c r="G262" s="52" t="n">
        <v>10</v>
      </c>
      <c r="H262" s="162" t="n">
        <v>5</v>
      </c>
      <c r="I262" s="162" t="n">
        <v>5.24</v>
      </c>
      <c r="J262" s="52" t="n">
        <v>120</v>
      </c>
      <c r="K262" s="52" t="inlineStr">
        <is>
          <t>12</t>
        </is>
      </c>
      <c r="L262" s="53" t="inlineStr">
        <is>
          <t>СК1</t>
        </is>
      </c>
      <c r="M262" s="52" t="n">
        <v>55</v>
      </c>
      <c r="N262" s="10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63" t="n"/>
      <c r="P262" s="163" t="n"/>
      <c r="Q262" s="163" t="n"/>
      <c r="R262" s="128" t="n"/>
      <c r="S262" s="54" t="n"/>
      <c r="T262" s="54" t="n"/>
      <c r="U262" s="55" t="inlineStr">
        <is>
          <t>кг</t>
        </is>
      </c>
      <c r="V262" s="164" t="n">
        <v>0</v>
      </c>
      <c r="W262" s="165">
        <f>IFERROR(IF(V262="",0,CEILING((V262/$H262),1)*$H262),"")</f>
        <v/>
      </c>
      <c r="X262" s="58">
        <f>IFERROR(IF(W262=0,"",ROUNDUP(W262/H262,0)*0.00937),"")</f>
        <v/>
      </c>
      <c r="Y262" s="59" t="n"/>
      <c r="Z262" s="60" t="n"/>
      <c r="AA262" s="71" t="n"/>
      <c r="AD262" s="61" t="n"/>
      <c r="BA262" s="62" t="inlineStr">
        <is>
          <t>КИ</t>
        </is>
      </c>
    </row>
    <row r="263" ht="27" customHeight="1">
      <c r="A263" s="49" t="inlineStr">
        <is>
          <t>SU001795</t>
        </is>
      </c>
      <c r="B263" s="49" t="inlineStr">
        <is>
          <t>P001795</t>
        </is>
      </c>
      <c r="C263" s="50" t="n">
        <v>4301011318</v>
      </c>
      <c r="D263" s="107" t="n">
        <v>4607091387469</v>
      </c>
      <c r="E263" s="128" t="n"/>
      <c r="F263" s="162" t="n">
        <v>0.5</v>
      </c>
      <c r="G263" s="52" t="n">
        <v>10</v>
      </c>
      <c r="H263" s="162" t="n">
        <v>5</v>
      </c>
      <c r="I263" s="162" t="n">
        <v>5.21</v>
      </c>
      <c r="J263" s="52" t="n">
        <v>120</v>
      </c>
      <c r="K263" s="52" t="inlineStr">
        <is>
          <t>12</t>
        </is>
      </c>
      <c r="L263" s="53" t="inlineStr">
        <is>
          <t>СК2</t>
        </is>
      </c>
      <c r="M263" s="52" t="n">
        <v>55</v>
      </c>
      <c r="N263" s="10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63" t="n"/>
      <c r="P263" s="163" t="n"/>
      <c r="Q263" s="163" t="n"/>
      <c r="R263" s="128" t="n"/>
      <c r="S263" s="54" t="n"/>
      <c r="T263" s="54" t="n"/>
      <c r="U263" s="55" t="inlineStr">
        <is>
          <t>кг</t>
        </is>
      </c>
      <c r="V263" s="164" t="n">
        <v>0</v>
      </c>
      <c r="W263" s="165">
        <f>IFERROR(IF(V263="",0,CEILING((V263/$H263),1)*$H263),"")</f>
        <v/>
      </c>
      <c r="X263" s="58">
        <f>IFERROR(IF(W263=0,"",ROUNDUP(W263/H263,0)*0.00937),"")</f>
        <v/>
      </c>
      <c r="Y263" s="59" t="n"/>
      <c r="Z263" s="60" t="n"/>
      <c r="AA263" s="71" t="n"/>
      <c r="AD263" s="61" t="n"/>
      <c r="BA263" s="62" t="inlineStr">
        <is>
          <t>КИ</t>
        </is>
      </c>
    </row>
    <row r="264" ht="12.5" customHeight="1">
      <c r="A264" s="10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66" t="n"/>
      <c r="N264" s="110" t="inlineStr">
        <is>
          <t>Итого</t>
        </is>
      </c>
      <c r="O264" s="134" t="n"/>
      <c r="P264" s="134" t="n"/>
      <c r="Q264" s="134" t="n"/>
      <c r="R264" s="134" t="n"/>
      <c r="S264" s="134" t="n"/>
      <c r="T264" s="135" t="n"/>
      <c r="U264" s="63" t="inlineStr">
        <is>
          <t>кор</t>
        </is>
      </c>
      <c r="V264" s="167">
        <f>IFERROR(V257/H257,"0")+IFERROR(V258/H258,"0")+IFERROR(V259/H259,"0")+IFERROR(V260/H260,"0")+IFERROR(V261/H261,"0")+IFERROR(V262/H262,"0")+IFERROR(V263/H263,"0")</f>
        <v/>
      </c>
      <c r="W264" s="167">
        <f>IFERROR(W257/H257,"0")+IFERROR(W258/H258,"0")+IFERROR(W259/H259,"0")+IFERROR(W260/H260,"0")+IFERROR(W261/H261,"0")+IFERROR(W262/H262,"0")+IFERROR(W263/H263,"0")</f>
        <v/>
      </c>
      <c r="X264" s="16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168" t="n"/>
      <c r="Z264" s="168" t="n"/>
      <c r="AA264" s="71" t="n"/>
    </row>
    <row r="265" ht="12.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66" t="n"/>
      <c r="N265" s="110" t="inlineStr">
        <is>
          <t>Итого</t>
        </is>
      </c>
      <c r="O265" s="134" t="n"/>
      <c r="P265" s="134" t="n"/>
      <c r="Q265" s="134" t="n"/>
      <c r="R265" s="134" t="n"/>
      <c r="S265" s="134" t="n"/>
      <c r="T265" s="135" t="n"/>
      <c r="U265" s="63" t="inlineStr">
        <is>
          <t>кг</t>
        </is>
      </c>
      <c r="V265" s="167">
        <f>IFERROR(SUM(V257:V263),"0")</f>
        <v/>
      </c>
      <c r="W265" s="167">
        <f>IFERROR(SUM(W257:W263),"0")</f>
        <v/>
      </c>
      <c r="X265" s="63" t="n"/>
      <c r="Y265" s="168" t="n"/>
      <c r="Z265" s="168" t="n"/>
      <c r="AA265" s="71" t="n"/>
    </row>
    <row r="266" ht="14.25" customHeight="1">
      <c r="A266" s="106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06" t="n"/>
      <c r="Z266" s="106" t="n"/>
      <c r="AA266" s="71" t="n"/>
    </row>
    <row r="267" ht="27" customHeight="1">
      <c r="A267" s="49" t="inlineStr">
        <is>
          <t>SU001801</t>
        </is>
      </c>
      <c r="B267" s="49" t="inlineStr">
        <is>
          <t>P003014</t>
        </is>
      </c>
      <c r="C267" s="50" t="n">
        <v>4301031154</v>
      </c>
      <c r="D267" s="107" t="n">
        <v>4607091387292</v>
      </c>
      <c r="E267" s="128" t="n"/>
      <c r="F267" s="162" t="n">
        <v>0.73</v>
      </c>
      <c r="G267" s="52" t="n">
        <v>6</v>
      </c>
      <c r="H267" s="162" t="n">
        <v>4.38</v>
      </c>
      <c r="I267" s="162" t="n">
        <v>4.64</v>
      </c>
      <c r="J267" s="52" t="n">
        <v>156</v>
      </c>
      <c r="K267" s="52" t="inlineStr">
        <is>
          <t>12</t>
        </is>
      </c>
      <c r="L267" s="53" t="inlineStr">
        <is>
          <t>СК2</t>
        </is>
      </c>
      <c r="M267" s="52" t="n">
        <v>45</v>
      </c>
      <c r="N267" s="10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63" t="n"/>
      <c r="P267" s="163" t="n"/>
      <c r="Q267" s="163" t="n"/>
      <c r="R267" s="128" t="n"/>
      <c r="S267" s="54" t="n"/>
      <c r="T267" s="54" t="n"/>
      <c r="U267" s="55" t="inlineStr">
        <is>
          <t>кг</t>
        </is>
      </c>
      <c r="V267" s="164" t="n">
        <v>0</v>
      </c>
      <c r="W267" s="165">
        <f>IFERROR(IF(V267="",0,CEILING((V267/$H267),1)*$H267),"")</f>
        <v/>
      </c>
      <c r="X267" s="58">
        <f>IFERROR(IF(W267=0,"",ROUNDUP(W267/H267,0)*0.00753),"")</f>
        <v/>
      </c>
      <c r="Y267" s="59" t="n"/>
      <c r="Z267" s="60" t="n"/>
      <c r="AA267" s="71" t="n"/>
      <c r="AD267" s="61" t="n"/>
      <c r="BA267" s="62" t="inlineStr">
        <is>
          <t>КИ</t>
        </is>
      </c>
    </row>
    <row r="268" ht="27" customHeight="1">
      <c r="A268" s="49" t="inlineStr">
        <is>
          <t>SU000231</t>
        </is>
      </c>
      <c r="B268" s="49" t="inlineStr">
        <is>
          <t>P003015</t>
        </is>
      </c>
      <c r="C268" s="50" t="n">
        <v>4301031155</v>
      </c>
      <c r="D268" s="107" t="n">
        <v>4607091387315</v>
      </c>
      <c r="E268" s="128" t="n"/>
      <c r="F268" s="162" t="n">
        <v>0.7</v>
      </c>
      <c r="G268" s="52" t="n">
        <v>4</v>
      </c>
      <c r="H268" s="162" t="n">
        <v>2.8</v>
      </c>
      <c r="I268" s="162" t="n">
        <v>3.048</v>
      </c>
      <c r="J268" s="52" t="n">
        <v>156</v>
      </c>
      <c r="K268" s="52" t="inlineStr">
        <is>
          <t>12</t>
        </is>
      </c>
      <c r="L268" s="53" t="inlineStr">
        <is>
          <t>СК2</t>
        </is>
      </c>
      <c r="M268" s="52" t="n">
        <v>45</v>
      </c>
      <c r="N268" s="10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63" t="n"/>
      <c r="P268" s="163" t="n"/>
      <c r="Q268" s="163" t="n"/>
      <c r="R268" s="128" t="n"/>
      <c r="S268" s="54" t="n"/>
      <c r="T268" s="54" t="n"/>
      <c r="U268" s="55" t="inlineStr">
        <is>
          <t>кг</t>
        </is>
      </c>
      <c r="V268" s="164" t="n">
        <v>0</v>
      </c>
      <c r="W268" s="165">
        <f>IFERROR(IF(V268="",0,CEILING((V268/$H268),1)*$H268),"")</f>
        <v/>
      </c>
      <c r="X268" s="58">
        <f>IFERROR(IF(W268=0,"",ROUNDUP(W268/H268,0)*0.00753),"")</f>
        <v/>
      </c>
      <c r="Y268" s="59" t="n"/>
      <c r="Z268" s="60" t="n"/>
      <c r="AA268" s="71" t="n"/>
      <c r="AD268" s="61" t="n"/>
      <c r="BA268" s="62" t="inlineStr">
        <is>
          <t>КИ</t>
        </is>
      </c>
    </row>
    <row r="269" ht="12.5" customHeight="1">
      <c r="A269" s="109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66" t="n"/>
      <c r="N269" s="110" t="inlineStr">
        <is>
          <t>Итого</t>
        </is>
      </c>
      <c r="O269" s="134" t="n"/>
      <c r="P269" s="134" t="n"/>
      <c r="Q269" s="134" t="n"/>
      <c r="R269" s="134" t="n"/>
      <c r="S269" s="134" t="n"/>
      <c r="T269" s="135" t="n"/>
      <c r="U269" s="63" t="inlineStr">
        <is>
          <t>кор</t>
        </is>
      </c>
      <c r="V269" s="167">
        <f>IFERROR(V267/H267,"0")+IFERROR(V268/H268,"0")</f>
        <v/>
      </c>
      <c r="W269" s="167">
        <f>IFERROR(W267/H267,"0")+IFERROR(W268/H268,"0")</f>
        <v/>
      </c>
      <c r="X269" s="167">
        <f>IFERROR(IF(X267="",0,X267),"0")+IFERROR(IF(X268="",0,X268),"0")</f>
        <v/>
      </c>
      <c r="Y269" s="168" t="n"/>
      <c r="Z269" s="168" t="n"/>
      <c r="AA269" s="71" t="n"/>
    </row>
    <row r="270" ht="12.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66" t="n"/>
      <c r="N270" s="110" t="inlineStr">
        <is>
          <t>Итого</t>
        </is>
      </c>
      <c r="O270" s="134" t="n"/>
      <c r="P270" s="134" t="n"/>
      <c r="Q270" s="134" t="n"/>
      <c r="R270" s="134" t="n"/>
      <c r="S270" s="134" t="n"/>
      <c r="T270" s="135" t="n"/>
      <c r="U270" s="63" t="inlineStr">
        <is>
          <t>кг</t>
        </is>
      </c>
      <c r="V270" s="167">
        <f>IFERROR(SUM(V267:V268),"0")</f>
        <v/>
      </c>
      <c r="W270" s="167">
        <f>IFERROR(SUM(W267:W268),"0")</f>
        <v/>
      </c>
      <c r="X270" s="63" t="n"/>
      <c r="Y270" s="168" t="n"/>
      <c r="Z270" s="168" t="n"/>
      <c r="AA270" s="71" t="n"/>
    </row>
    <row r="271" ht="16.5" customHeight="1">
      <c r="A271" s="105" t="inlineStr">
        <is>
          <t>Бавария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05" t="n"/>
      <c r="Z271" s="105" t="n"/>
      <c r="AA271" s="71" t="n"/>
    </row>
    <row r="272" ht="14.25" customHeight="1">
      <c r="A272" s="106" t="inlineStr">
        <is>
          <t>Копченые колбасы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06" t="n"/>
      <c r="Z272" s="106" t="n"/>
      <c r="AA272" s="71" t="n"/>
    </row>
    <row r="273" ht="27" customHeight="1">
      <c r="A273" s="49" t="inlineStr">
        <is>
          <t>SU002252</t>
        </is>
      </c>
      <c r="B273" s="49" t="inlineStr">
        <is>
          <t>P002461</t>
        </is>
      </c>
      <c r="C273" s="50" t="n">
        <v>4301031066</v>
      </c>
      <c r="D273" s="107" t="n">
        <v>4607091383836</v>
      </c>
      <c r="E273" s="128" t="n"/>
      <c r="F273" s="162" t="n">
        <v>0.3</v>
      </c>
      <c r="G273" s="52" t="n">
        <v>6</v>
      </c>
      <c r="H273" s="162" t="n">
        <v>1.8</v>
      </c>
      <c r="I273" s="162" t="n">
        <v>2.048</v>
      </c>
      <c r="J273" s="52" t="n">
        <v>156</v>
      </c>
      <c r="K273" s="52" t="inlineStr">
        <is>
          <t>12</t>
        </is>
      </c>
      <c r="L273" s="53" t="inlineStr">
        <is>
          <t>СК2</t>
        </is>
      </c>
      <c r="M273" s="52" t="n">
        <v>40</v>
      </c>
      <c r="N273" s="10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63" t="n"/>
      <c r="P273" s="163" t="n"/>
      <c r="Q273" s="163" t="n"/>
      <c r="R273" s="128" t="n"/>
      <c r="S273" s="54" t="n"/>
      <c r="T273" s="54" t="n"/>
      <c r="U273" s="55" t="inlineStr">
        <is>
          <t>кг</t>
        </is>
      </c>
      <c r="V273" s="164" t="n">
        <v>0</v>
      </c>
      <c r="W273" s="165">
        <f>IFERROR(IF(V273="",0,CEILING((V273/$H273),1)*$H273),"")</f>
        <v/>
      </c>
      <c r="X273" s="58">
        <f>IFERROR(IF(W273=0,"",ROUNDUP(W273/H273,0)*0.00753),"")</f>
        <v/>
      </c>
      <c r="Y273" s="59" t="n"/>
      <c r="Z273" s="60" t="n"/>
      <c r="AA273" s="71" t="n"/>
      <c r="AD273" s="61" t="n"/>
      <c r="BA273" s="62" t="inlineStr">
        <is>
          <t>КИ</t>
        </is>
      </c>
    </row>
    <row r="274" ht="12.5" customHeight="1">
      <c r="A274" s="10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66" t="n"/>
      <c r="N274" s="110" t="inlineStr">
        <is>
          <t>Итого</t>
        </is>
      </c>
      <c r="O274" s="134" t="n"/>
      <c r="P274" s="134" t="n"/>
      <c r="Q274" s="134" t="n"/>
      <c r="R274" s="134" t="n"/>
      <c r="S274" s="134" t="n"/>
      <c r="T274" s="135" t="n"/>
      <c r="U274" s="63" t="inlineStr">
        <is>
          <t>кор</t>
        </is>
      </c>
      <c r="V274" s="167">
        <f>IFERROR(V273/H273,"0")</f>
        <v/>
      </c>
      <c r="W274" s="167">
        <f>IFERROR(W273/H273,"0")</f>
        <v/>
      </c>
      <c r="X274" s="167">
        <f>IFERROR(IF(X273="",0,X273),"0")</f>
        <v/>
      </c>
      <c r="Y274" s="168" t="n"/>
      <c r="Z274" s="168" t="n"/>
      <c r="AA274" s="71" t="n"/>
    </row>
    <row r="275" ht="12.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66" t="n"/>
      <c r="N275" s="110" t="inlineStr">
        <is>
          <t>Итого</t>
        </is>
      </c>
      <c r="O275" s="134" t="n"/>
      <c r="P275" s="134" t="n"/>
      <c r="Q275" s="134" t="n"/>
      <c r="R275" s="134" t="n"/>
      <c r="S275" s="134" t="n"/>
      <c r="T275" s="135" t="n"/>
      <c r="U275" s="63" t="inlineStr">
        <is>
          <t>кг</t>
        </is>
      </c>
      <c r="V275" s="167">
        <f>IFERROR(SUM(V273:V273),"0")</f>
        <v/>
      </c>
      <c r="W275" s="167">
        <f>IFERROR(SUM(W273:W273),"0")</f>
        <v/>
      </c>
      <c r="X275" s="63" t="n"/>
      <c r="Y275" s="168" t="n"/>
      <c r="Z275" s="168" t="n"/>
      <c r="AA275" s="71" t="n"/>
    </row>
    <row r="276" ht="14.25" customHeight="1">
      <c r="A276" s="106" t="inlineStr">
        <is>
          <t>Сосиски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06" t="n"/>
      <c r="Z276" s="106" t="n"/>
      <c r="AA276" s="71" t="n"/>
    </row>
    <row r="277" ht="27" customHeight="1">
      <c r="A277" s="49" t="inlineStr">
        <is>
          <t>SU001835</t>
        </is>
      </c>
      <c r="B277" s="49" t="inlineStr">
        <is>
          <t>P002202</t>
        </is>
      </c>
      <c r="C277" s="50" t="n">
        <v>4301051142</v>
      </c>
      <c r="D277" s="107" t="n">
        <v>4607091387919</v>
      </c>
      <c r="E277" s="128" t="n"/>
      <c r="F277" s="162" t="n">
        <v>1.35</v>
      </c>
      <c r="G277" s="52" t="n">
        <v>6</v>
      </c>
      <c r="H277" s="162" t="n">
        <v>8.1</v>
      </c>
      <c r="I277" s="162" t="n">
        <v>8.664</v>
      </c>
      <c r="J277" s="52" t="n">
        <v>56</v>
      </c>
      <c r="K277" s="52" t="inlineStr">
        <is>
          <t>8</t>
        </is>
      </c>
      <c r="L277" s="53" t="inlineStr">
        <is>
          <t>СК2</t>
        </is>
      </c>
      <c r="M277" s="52" t="n">
        <v>45</v>
      </c>
      <c r="N277" s="10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63" t="n"/>
      <c r="P277" s="163" t="n"/>
      <c r="Q277" s="163" t="n"/>
      <c r="R277" s="128" t="n"/>
      <c r="S277" s="54" t="n"/>
      <c r="T277" s="54" t="n"/>
      <c r="U277" s="55" t="inlineStr">
        <is>
          <t>кг</t>
        </is>
      </c>
      <c r="V277" s="164" t="n">
        <v>0</v>
      </c>
      <c r="W277" s="165">
        <f>IFERROR(IF(V277="",0,CEILING((V277/$H277),1)*$H277),"")</f>
        <v/>
      </c>
      <c r="X277" s="58">
        <f>IFERROR(IF(W277=0,"",ROUNDUP(W277/H277,0)*0.02175),"")</f>
        <v/>
      </c>
      <c r="Y277" s="59" t="n"/>
      <c r="Z277" s="60" t="n"/>
      <c r="AA277" s="71" t="n"/>
      <c r="AD277" s="61" t="n"/>
      <c r="BA277" s="62" t="inlineStr">
        <is>
          <t>КИ</t>
        </is>
      </c>
    </row>
    <row r="278" ht="27" customHeight="1">
      <c r="A278" s="49" t="inlineStr">
        <is>
          <t>SU001836</t>
        </is>
      </c>
      <c r="B278" s="49" t="inlineStr">
        <is>
          <t>P002201</t>
        </is>
      </c>
      <c r="C278" s="50" t="n">
        <v>4301051109</v>
      </c>
      <c r="D278" s="107" t="n">
        <v>4607091383942</v>
      </c>
      <c r="E278" s="128" t="n"/>
      <c r="F278" s="162" t="n">
        <v>0.42</v>
      </c>
      <c r="G278" s="52" t="n">
        <v>6</v>
      </c>
      <c r="H278" s="162" t="n">
        <v>2.52</v>
      </c>
      <c r="I278" s="162" t="n">
        <v>2.792</v>
      </c>
      <c r="J278" s="52" t="n">
        <v>156</v>
      </c>
      <c r="K278" s="52" t="inlineStr">
        <is>
          <t>12</t>
        </is>
      </c>
      <c r="L278" s="53" t="inlineStr">
        <is>
          <t>СК3</t>
        </is>
      </c>
      <c r="M278" s="52" t="n">
        <v>45</v>
      </c>
      <c r="N278" s="10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63" t="n"/>
      <c r="P278" s="163" t="n"/>
      <c r="Q278" s="163" t="n"/>
      <c r="R278" s="128" t="n"/>
      <c r="S278" s="54" t="n"/>
      <c r="T278" s="54" t="n"/>
      <c r="U278" s="55" t="inlineStr">
        <is>
          <t>кг</t>
        </is>
      </c>
      <c r="V278" s="164" t="n">
        <v>0</v>
      </c>
      <c r="W278" s="165">
        <f>IFERROR(IF(V278="",0,CEILING((V278/$H278),1)*$H278),"")</f>
        <v/>
      </c>
      <c r="X278" s="58">
        <f>IFERROR(IF(W278=0,"",ROUNDUP(W278/H278,0)*0.00753),"")</f>
        <v/>
      </c>
      <c r="Y278" s="59" t="n"/>
      <c r="Z278" s="60" t="n"/>
      <c r="AA278" s="71" t="n"/>
      <c r="AD278" s="61" t="n"/>
      <c r="BA278" s="62" t="inlineStr">
        <is>
          <t>КИ</t>
        </is>
      </c>
    </row>
    <row r="279" ht="27" customHeight="1">
      <c r="A279" s="49" t="inlineStr">
        <is>
          <t>SU001970</t>
        </is>
      </c>
      <c r="B279" s="49" t="inlineStr">
        <is>
          <t>P003579</t>
        </is>
      </c>
      <c r="C279" s="50" t="n">
        <v>4301051518</v>
      </c>
      <c r="D279" s="107" t="n">
        <v>4607091383959</v>
      </c>
      <c r="E279" s="128" t="n"/>
      <c r="F279" s="162" t="n">
        <v>0.42</v>
      </c>
      <c r="G279" s="52" t="n">
        <v>6</v>
      </c>
      <c r="H279" s="162" t="n">
        <v>2.52</v>
      </c>
      <c r="I279" s="162" t="n">
        <v>2.78</v>
      </c>
      <c r="J279" s="52" t="n">
        <v>156</v>
      </c>
      <c r="K279" s="52" t="inlineStr">
        <is>
          <t>12</t>
        </is>
      </c>
      <c r="L279" s="53" t="inlineStr">
        <is>
          <t>СК2</t>
        </is>
      </c>
      <c r="M279" s="52" t="n">
        <v>40</v>
      </c>
      <c r="N279" s="115" t="inlineStr">
        <is>
          <t>Сосиски «Баварские с сыром» Фикс.вес 0,42 п/а ТМ «Стародворье»</t>
        </is>
      </c>
      <c r="O279" s="163" t="n"/>
      <c r="P279" s="163" t="n"/>
      <c r="Q279" s="163" t="n"/>
      <c r="R279" s="128" t="n"/>
      <c r="S279" s="54" t="n"/>
      <c r="T279" s="54" t="n"/>
      <c r="U279" s="55" t="inlineStr">
        <is>
          <t>кг</t>
        </is>
      </c>
      <c r="V279" s="164" t="n">
        <v>0</v>
      </c>
      <c r="W279" s="165">
        <f>IFERROR(IF(V279="",0,CEILING((V279/$H279),1)*$H279),"")</f>
        <v/>
      </c>
      <c r="X279" s="58">
        <f>IFERROR(IF(W279=0,"",ROUNDUP(W279/H279,0)*0.00753),"")</f>
        <v/>
      </c>
      <c r="Y279" s="59" t="n"/>
      <c r="Z279" s="60" t="n"/>
      <c r="AA279" s="71" t="n"/>
      <c r="AD279" s="61" t="n"/>
      <c r="BA279" s="62" t="inlineStr">
        <is>
          <t>КИ</t>
        </is>
      </c>
    </row>
    <row r="280" ht="12.5" customHeight="1">
      <c r="A280" s="10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66" t="n"/>
      <c r="N280" s="110" t="inlineStr">
        <is>
          <t>Итого</t>
        </is>
      </c>
      <c r="O280" s="134" t="n"/>
      <c r="P280" s="134" t="n"/>
      <c r="Q280" s="134" t="n"/>
      <c r="R280" s="134" t="n"/>
      <c r="S280" s="134" t="n"/>
      <c r="T280" s="135" t="n"/>
      <c r="U280" s="63" t="inlineStr">
        <is>
          <t>кор</t>
        </is>
      </c>
      <c r="V280" s="167">
        <f>IFERROR(V277/H277,"0")+IFERROR(V278/H278,"0")+IFERROR(V279/H279,"0")</f>
        <v/>
      </c>
      <c r="W280" s="167">
        <f>IFERROR(W277/H277,"0")+IFERROR(W278/H278,"0")+IFERROR(W279/H279,"0")</f>
        <v/>
      </c>
      <c r="X280" s="167">
        <f>IFERROR(IF(X277="",0,X277),"0")+IFERROR(IF(X278="",0,X278),"0")+IFERROR(IF(X279="",0,X279),"0")</f>
        <v/>
      </c>
      <c r="Y280" s="168" t="n"/>
      <c r="Z280" s="168" t="n"/>
      <c r="AA280" s="71" t="n"/>
    </row>
    <row r="281" ht="12.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66" t="n"/>
      <c r="N281" s="110" t="inlineStr">
        <is>
          <t>Итого</t>
        </is>
      </c>
      <c r="O281" s="134" t="n"/>
      <c r="P281" s="134" t="n"/>
      <c r="Q281" s="134" t="n"/>
      <c r="R281" s="134" t="n"/>
      <c r="S281" s="134" t="n"/>
      <c r="T281" s="135" t="n"/>
      <c r="U281" s="63" t="inlineStr">
        <is>
          <t>кг</t>
        </is>
      </c>
      <c r="V281" s="167">
        <f>IFERROR(SUM(V277:V279),"0")</f>
        <v/>
      </c>
      <c r="W281" s="167">
        <f>IFERROR(SUM(W277:W279),"0")</f>
        <v/>
      </c>
      <c r="X281" s="63" t="n"/>
      <c r="Y281" s="168" t="n"/>
      <c r="Z281" s="168" t="n"/>
      <c r="AA281" s="71" t="n"/>
    </row>
    <row r="282" ht="14.25" customHeight="1">
      <c r="A282" s="106" t="inlineStr">
        <is>
          <t>Сардельки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06" t="n"/>
      <c r="Z282" s="106" t="n"/>
      <c r="AA282" s="71" t="n"/>
    </row>
    <row r="283" ht="27" customHeight="1">
      <c r="A283" s="49" t="inlineStr">
        <is>
          <t>SU002173</t>
        </is>
      </c>
      <c r="B283" s="49" t="inlineStr">
        <is>
          <t>P002361</t>
        </is>
      </c>
      <c r="C283" s="50" t="n">
        <v>4301060324</v>
      </c>
      <c r="D283" s="107" t="n">
        <v>4607091388831</v>
      </c>
      <c r="E283" s="128" t="n"/>
      <c r="F283" s="162" t="n">
        <v>0.38</v>
      </c>
      <c r="G283" s="52" t="n">
        <v>6</v>
      </c>
      <c r="H283" s="162" t="n">
        <v>2.28</v>
      </c>
      <c r="I283" s="162" t="n">
        <v>2.552</v>
      </c>
      <c r="J283" s="52" t="n">
        <v>156</v>
      </c>
      <c r="K283" s="52" t="inlineStr">
        <is>
          <t>12</t>
        </is>
      </c>
      <c r="L283" s="53" t="inlineStr">
        <is>
          <t>СК2</t>
        </is>
      </c>
      <c r="M283" s="52" t="n">
        <v>40</v>
      </c>
      <c r="N283" s="1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63" t="n"/>
      <c r="P283" s="163" t="n"/>
      <c r="Q283" s="163" t="n"/>
      <c r="R283" s="128" t="n"/>
      <c r="S283" s="54" t="n"/>
      <c r="T283" s="54" t="n"/>
      <c r="U283" s="55" t="inlineStr">
        <is>
          <t>кг</t>
        </is>
      </c>
      <c r="V283" s="164" t="n">
        <v>0</v>
      </c>
      <c r="W283" s="165">
        <f>IFERROR(IF(V283="",0,CEILING((V283/$H283),1)*$H283),"")</f>
        <v/>
      </c>
      <c r="X283" s="58">
        <f>IFERROR(IF(W283=0,"",ROUNDUP(W283/H283,0)*0.00753),"")</f>
        <v/>
      </c>
      <c r="Y283" s="59" t="n"/>
      <c r="Z283" s="60" t="n"/>
      <c r="AA283" s="71" t="n"/>
      <c r="AD283" s="61" t="n"/>
      <c r="BA283" s="62" t="inlineStr">
        <is>
          <t>КИ</t>
        </is>
      </c>
    </row>
    <row r="284" ht="12.5" customHeight="1">
      <c r="A284" s="10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66" t="n"/>
      <c r="N284" s="110" t="inlineStr">
        <is>
          <t>Итого</t>
        </is>
      </c>
      <c r="O284" s="134" t="n"/>
      <c r="P284" s="134" t="n"/>
      <c r="Q284" s="134" t="n"/>
      <c r="R284" s="134" t="n"/>
      <c r="S284" s="134" t="n"/>
      <c r="T284" s="135" t="n"/>
      <c r="U284" s="63" t="inlineStr">
        <is>
          <t>кор</t>
        </is>
      </c>
      <c r="V284" s="167">
        <f>IFERROR(V283/H283,"0")</f>
        <v/>
      </c>
      <c r="W284" s="167">
        <f>IFERROR(W283/H283,"0")</f>
        <v/>
      </c>
      <c r="X284" s="167">
        <f>IFERROR(IF(X283="",0,X283),"0")</f>
        <v/>
      </c>
      <c r="Y284" s="168" t="n"/>
      <c r="Z284" s="168" t="n"/>
      <c r="AA284" s="71" t="n"/>
    </row>
    <row r="285" ht="12.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66" t="n"/>
      <c r="N285" s="110" t="inlineStr">
        <is>
          <t>Итого</t>
        </is>
      </c>
      <c r="O285" s="134" t="n"/>
      <c r="P285" s="134" t="n"/>
      <c r="Q285" s="134" t="n"/>
      <c r="R285" s="134" t="n"/>
      <c r="S285" s="134" t="n"/>
      <c r="T285" s="135" t="n"/>
      <c r="U285" s="63" t="inlineStr">
        <is>
          <t>кг</t>
        </is>
      </c>
      <c r="V285" s="167">
        <f>IFERROR(SUM(V283:V283),"0")</f>
        <v/>
      </c>
      <c r="W285" s="167">
        <f>IFERROR(SUM(W283:W283),"0")</f>
        <v/>
      </c>
      <c r="X285" s="63" t="n"/>
      <c r="Y285" s="168" t="n"/>
      <c r="Z285" s="168" t="n"/>
      <c r="AA285" s="71" t="n"/>
    </row>
    <row r="286" ht="14.25" customHeight="1">
      <c r="A286" s="106" t="inlineStr">
        <is>
          <t>Сырокопченые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06" t="n"/>
      <c r="Z286" s="106" t="n"/>
      <c r="AA286" s="71" t="n"/>
    </row>
    <row r="287" ht="27" customHeight="1">
      <c r="A287" s="49" t="inlineStr">
        <is>
          <t>SU002092</t>
        </is>
      </c>
      <c r="B287" s="49" t="inlineStr">
        <is>
          <t>P002290</t>
        </is>
      </c>
      <c r="C287" s="50" t="n">
        <v>4301032015</v>
      </c>
      <c r="D287" s="107" t="n">
        <v>4607091383102</v>
      </c>
      <c r="E287" s="128" t="n"/>
      <c r="F287" s="162" t="n">
        <v>0.17</v>
      </c>
      <c r="G287" s="52" t="n">
        <v>15</v>
      </c>
      <c r="H287" s="162" t="n">
        <v>2.55</v>
      </c>
      <c r="I287" s="162" t="n">
        <v>2.975</v>
      </c>
      <c r="J287" s="52" t="n">
        <v>156</v>
      </c>
      <c r="K287" s="52" t="inlineStr">
        <is>
          <t>12</t>
        </is>
      </c>
      <c r="L287" s="53" t="inlineStr">
        <is>
          <t>АК</t>
        </is>
      </c>
      <c r="M287" s="52" t="n">
        <v>180</v>
      </c>
      <c r="N287" s="1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63" t="n"/>
      <c r="P287" s="163" t="n"/>
      <c r="Q287" s="163" t="n"/>
      <c r="R287" s="128" t="n"/>
      <c r="S287" s="54" t="n"/>
      <c r="T287" s="54" t="n"/>
      <c r="U287" s="55" t="inlineStr">
        <is>
          <t>кг</t>
        </is>
      </c>
      <c r="V287" s="164" t="n">
        <v>5.100000000000001</v>
      </c>
      <c r="W287" s="165">
        <f>IFERROR(IF(V287="",0,CEILING((V287/$H287),1)*$H287),"")</f>
        <v/>
      </c>
      <c r="X287" s="58">
        <f>IFERROR(IF(W287=0,"",ROUNDUP(W287/H287,0)*0.00753),"")</f>
        <v/>
      </c>
      <c r="Y287" s="59" t="n"/>
      <c r="Z287" s="60" t="n"/>
      <c r="AA287" s="71" t="n"/>
      <c r="AD287" s="61" t="n"/>
      <c r="BA287" s="62" t="inlineStr">
        <is>
          <t>КИ</t>
        </is>
      </c>
    </row>
    <row r="288" ht="12.5" customHeight="1">
      <c r="A288" s="10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66" t="n"/>
      <c r="N288" s="110" t="inlineStr">
        <is>
          <t>Итого</t>
        </is>
      </c>
      <c r="O288" s="134" t="n"/>
      <c r="P288" s="134" t="n"/>
      <c r="Q288" s="134" t="n"/>
      <c r="R288" s="134" t="n"/>
      <c r="S288" s="134" t="n"/>
      <c r="T288" s="135" t="n"/>
      <c r="U288" s="63" t="inlineStr">
        <is>
          <t>кор</t>
        </is>
      </c>
      <c r="V288" s="167">
        <f>IFERROR(V287/H287,"0")</f>
        <v/>
      </c>
      <c r="W288" s="167">
        <f>IFERROR(W287/H287,"0")</f>
        <v/>
      </c>
      <c r="X288" s="167">
        <f>IFERROR(IF(X287="",0,X287),"0")</f>
        <v/>
      </c>
      <c r="Y288" s="168" t="n"/>
      <c r="Z288" s="168" t="n"/>
      <c r="AA288" s="71" t="n"/>
    </row>
    <row r="289" ht="12.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66" t="n"/>
      <c r="N289" s="110" t="inlineStr">
        <is>
          <t>Итого</t>
        </is>
      </c>
      <c r="O289" s="134" t="n"/>
      <c r="P289" s="134" t="n"/>
      <c r="Q289" s="134" t="n"/>
      <c r="R289" s="134" t="n"/>
      <c r="S289" s="134" t="n"/>
      <c r="T289" s="135" t="n"/>
      <c r="U289" s="63" t="inlineStr">
        <is>
          <t>кг</t>
        </is>
      </c>
      <c r="V289" s="167">
        <f>IFERROR(SUM(V287:V287),"0")</f>
        <v/>
      </c>
      <c r="W289" s="167">
        <f>IFERROR(SUM(W287:W287),"0")</f>
        <v/>
      </c>
      <c r="X289" s="63" t="n"/>
      <c r="Y289" s="168" t="n"/>
      <c r="Z289" s="168" t="n"/>
      <c r="AA289" s="71" t="n"/>
    </row>
    <row r="290" ht="27.75" customHeight="1">
      <c r="A290" s="104" t="inlineStr">
        <is>
          <t>Особый рецепт</t>
        </is>
      </c>
      <c r="B290" s="161" t="n"/>
      <c r="C290" s="161" t="n"/>
      <c r="D290" s="161" t="n"/>
      <c r="E290" s="161" t="n"/>
      <c r="F290" s="161" t="n"/>
      <c r="G290" s="161" t="n"/>
      <c r="H290" s="161" t="n"/>
      <c r="I290" s="161" t="n"/>
      <c r="J290" s="161" t="n"/>
      <c r="K290" s="161" t="n"/>
      <c r="L290" s="161" t="n"/>
      <c r="M290" s="161" t="n"/>
      <c r="N290" s="161" t="n"/>
      <c r="O290" s="161" t="n"/>
      <c r="P290" s="161" t="n"/>
      <c r="Q290" s="161" t="n"/>
      <c r="R290" s="161" t="n"/>
      <c r="S290" s="161" t="n"/>
      <c r="T290" s="161" t="n"/>
      <c r="U290" s="161" t="n"/>
      <c r="V290" s="161" t="n"/>
      <c r="W290" s="161" t="n"/>
      <c r="X290" s="161" t="n"/>
      <c r="Y290" s="46" t="n"/>
      <c r="Z290" s="46" t="n"/>
      <c r="AA290" s="71" t="n"/>
    </row>
    <row r="291" ht="16.5" customHeight="1">
      <c r="A291" s="105" t="inlineStr">
        <is>
          <t>Особая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05" t="n"/>
      <c r="Z291" s="105" t="n"/>
      <c r="AA291" s="71" t="n"/>
    </row>
    <row r="292" ht="14.25" customHeight="1">
      <c r="A292" s="106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06" t="n"/>
      <c r="Z292" s="106" t="n"/>
      <c r="AA292" s="71" t="n"/>
    </row>
    <row r="293" ht="27" customHeight="1">
      <c r="A293" s="49" t="inlineStr">
        <is>
          <t>SU000251</t>
        </is>
      </c>
      <c r="B293" s="49" t="inlineStr">
        <is>
          <t>P002584</t>
        </is>
      </c>
      <c r="C293" s="50" t="n">
        <v>4301011339</v>
      </c>
      <c r="D293" s="107" t="n">
        <v>4607091383997</v>
      </c>
      <c r="E293" s="128" t="n"/>
      <c r="F293" s="162" t="n">
        <v>2.5</v>
      </c>
      <c r="G293" s="52" t="n">
        <v>6</v>
      </c>
      <c r="H293" s="162" t="n">
        <v>15</v>
      </c>
      <c r="I293" s="162" t="n">
        <v>15.48</v>
      </c>
      <c r="J293" s="52" t="n">
        <v>48</v>
      </c>
      <c r="K293" s="52" t="inlineStr">
        <is>
          <t>8</t>
        </is>
      </c>
      <c r="L293" s="53" t="inlineStr">
        <is>
          <t>СК2</t>
        </is>
      </c>
      <c r="M293" s="52" t="n">
        <v>60</v>
      </c>
      <c r="N293" s="10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63" t="n"/>
      <c r="P293" s="163" t="n"/>
      <c r="Q293" s="163" t="n"/>
      <c r="R293" s="128" t="n"/>
      <c r="S293" s="54" t="n"/>
      <c r="T293" s="54" t="n"/>
      <c r="U293" s="55" t="inlineStr">
        <is>
          <t>кг</t>
        </is>
      </c>
      <c r="V293" s="164" t="n">
        <v>0</v>
      </c>
      <c r="W293" s="165">
        <f>IFERROR(IF(V293="",0,CEILING((V293/$H293),1)*$H293),"")</f>
        <v/>
      </c>
      <c r="X293" s="58">
        <f>IFERROR(IF(W293=0,"",ROUNDUP(W293/H293,0)*0.02175),"")</f>
        <v/>
      </c>
      <c r="Y293" s="59" t="n"/>
      <c r="Z293" s="60" t="n"/>
      <c r="AA293" s="71" t="n"/>
      <c r="AD293" s="61" t="n"/>
      <c r="BA293" s="62" t="inlineStr">
        <is>
          <t>КИ</t>
        </is>
      </c>
    </row>
    <row r="294" ht="27" customHeight="1">
      <c r="A294" s="49" t="inlineStr">
        <is>
          <t>SU000251</t>
        </is>
      </c>
      <c r="B294" s="49" t="inlineStr">
        <is>
          <t>P002581</t>
        </is>
      </c>
      <c r="C294" s="50" t="n">
        <v>4301011239</v>
      </c>
      <c r="D294" s="107" t="n">
        <v>4607091383997</v>
      </c>
      <c r="E294" s="128" t="n"/>
      <c r="F294" s="162" t="n">
        <v>2.5</v>
      </c>
      <c r="G294" s="52" t="n">
        <v>6</v>
      </c>
      <c r="H294" s="162" t="n">
        <v>15</v>
      </c>
      <c r="I294" s="162" t="n">
        <v>15.48</v>
      </c>
      <c r="J294" s="52" t="n">
        <v>48</v>
      </c>
      <c r="K294" s="52" t="inlineStr">
        <is>
          <t>8</t>
        </is>
      </c>
      <c r="L294" s="53" t="inlineStr">
        <is>
          <t>ВЗ</t>
        </is>
      </c>
      <c r="M294" s="52" t="n">
        <v>60</v>
      </c>
      <c r="N294" s="1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63" t="n"/>
      <c r="P294" s="163" t="n"/>
      <c r="Q294" s="163" t="n"/>
      <c r="R294" s="128" t="n"/>
      <c r="S294" s="54" t="n"/>
      <c r="T294" s="54" t="n"/>
      <c r="U294" s="55" t="inlineStr">
        <is>
          <t>кг</t>
        </is>
      </c>
      <c r="V294" s="164" t="n">
        <v>0</v>
      </c>
      <c r="W294" s="165">
        <f>IFERROR(IF(V294="",0,CEILING((V294/$H294),1)*$H294),"")</f>
        <v/>
      </c>
      <c r="X294" s="58">
        <f>IFERROR(IF(W294=0,"",ROUNDUP(W294/H294,0)*0.02039),"")</f>
        <v/>
      </c>
      <c r="Y294" s="59" t="n"/>
      <c r="Z294" s="60" t="n"/>
      <c r="AA294" s="71" t="n"/>
      <c r="AD294" s="61" t="n"/>
      <c r="BA294" s="62" t="inlineStr">
        <is>
          <t>КИ</t>
        </is>
      </c>
    </row>
    <row r="295" ht="27" customHeight="1">
      <c r="A295" s="49" t="inlineStr">
        <is>
          <t>SU001578</t>
        </is>
      </c>
      <c r="B295" s="49" t="inlineStr">
        <is>
          <t>P002562</t>
        </is>
      </c>
      <c r="C295" s="50" t="n">
        <v>4301011326</v>
      </c>
      <c r="D295" s="107" t="n">
        <v>4607091384130</v>
      </c>
      <c r="E295" s="128" t="n"/>
      <c r="F295" s="162" t="n">
        <v>2.5</v>
      </c>
      <c r="G295" s="52" t="n">
        <v>6</v>
      </c>
      <c r="H295" s="162" t="n">
        <v>15</v>
      </c>
      <c r="I295" s="162" t="n">
        <v>15.48</v>
      </c>
      <c r="J295" s="52" t="n">
        <v>48</v>
      </c>
      <c r="K295" s="52" t="inlineStr">
        <is>
          <t>8</t>
        </is>
      </c>
      <c r="L295" s="53" t="inlineStr">
        <is>
          <t>СК2</t>
        </is>
      </c>
      <c r="M295" s="52" t="n">
        <v>60</v>
      </c>
      <c r="N295" s="10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63" t="n"/>
      <c r="P295" s="163" t="n"/>
      <c r="Q295" s="163" t="n"/>
      <c r="R295" s="128" t="n"/>
      <c r="S295" s="54" t="n"/>
      <c r="T295" s="54" t="n"/>
      <c r="U295" s="55" t="inlineStr">
        <is>
          <t>кг</t>
        </is>
      </c>
      <c r="V295" s="164" t="n">
        <v>0</v>
      </c>
      <c r="W295" s="165">
        <f>IFERROR(IF(V295="",0,CEILING((V295/$H295),1)*$H295),"")</f>
        <v/>
      </c>
      <c r="X295" s="58">
        <f>IFERROR(IF(W295=0,"",ROUNDUP(W295/H295,0)*0.02175),"")</f>
        <v/>
      </c>
      <c r="Y295" s="59" t="n"/>
      <c r="Z295" s="60" t="n"/>
      <c r="AA295" s="71" t="n"/>
      <c r="AD295" s="61" t="n"/>
      <c r="BA295" s="62" t="inlineStr">
        <is>
          <t>КИ</t>
        </is>
      </c>
    </row>
    <row r="296" ht="27" customHeight="1">
      <c r="A296" s="49" t="inlineStr">
        <is>
          <t>SU001578</t>
        </is>
      </c>
      <c r="B296" s="49" t="inlineStr">
        <is>
          <t>P002582</t>
        </is>
      </c>
      <c r="C296" s="50" t="n">
        <v>4301011240</v>
      </c>
      <c r="D296" s="107" t="n">
        <v>4607091384130</v>
      </c>
      <c r="E296" s="128" t="n"/>
      <c r="F296" s="162" t="n">
        <v>2.5</v>
      </c>
      <c r="G296" s="52" t="n">
        <v>6</v>
      </c>
      <c r="H296" s="162" t="n">
        <v>15</v>
      </c>
      <c r="I296" s="162" t="n">
        <v>15.48</v>
      </c>
      <c r="J296" s="52" t="n">
        <v>48</v>
      </c>
      <c r="K296" s="52" t="inlineStr">
        <is>
          <t>8</t>
        </is>
      </c>
      <c r="L296" s="53" t="inlineStr">
        <is>
          <t>ВЗ</t>
        </is>
      </c>
      <c r="M296" s="52" t="n">
        <v>60</v>
      </c>
      <c r="N296" s="10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63" t="n"/>
      <c r="P296" s="163" t="n"/>
      <c r="Q296" s="163" t="n"/>
      <c r="R296" s="128" t="n"/>
      <c r="S296" s="54" t="n"/>
      <c r="T296" s="54" t="n"/>
      <c r="U296" s="55" t="inlineStr">
        <is>
          <t>кг</t>
        </is>
      </c>
      <c r="V296" s="164" t="n">
        <v>0</v>
      </c>
      <c r="W296" s="165">
        <f>IFERROR(IF(V296="",0,CEILING((V296/$H296),1)*$H296),"")</f>
        <v/>
      </c>
      <c r="X296" s="58">
        <f>IFERROR(IF(W296=0,"",ROUNDUP(W296/H296,0)*0.02039),"")</f>
        <v/>
      </c>
      <c r="Y296" s="59" t="n"/>
      <c r="Z296" s="60" t="n"/>
      <c r="AA296" s="71" t="n"/>
      <c r="AD296" s="61" t="n"/>
      <c r="BA296" s="62" t="inlineStr">
        <is>
          <t>КИ</t>
        </is>
      </c>
    </row>
    <row r="297" ht="16.5" customHeight="1">
      <c r="A297" s="49" t="inlineStr">
        <is>
          <t>SU000102</t>
        </is>
      </c>
      <c r="B297" s="49" t="inlineStr">
        <is>
          <t>P002564</t>
        </is>
      </c>
      <c r="C297" s="50" t="n">
        <v>4301011330</v>
      </c>
      <c r="D297" s="107" t="n">
        <v>4607091384147</v>
      </c>
      <c r="E297" s="128" t="n"/>
      <c r="F297" s="162" t="n">
        <v>2.5</v>
      </c>
      <c r="G297" s="52" t="n">
        <v>6</v>
      </c>
      <c r="H297" s="162" t="n">
        <v>15</v>
      </c>
      <c r="I297" s="162" t="n">
        <v>15.48</v>
      </c>
      <c r="J297" s="52" t="n">
        <v>48</v>
      </c>
      <c r="K297" s="52" t="inlineStr">
        <is>
          <t>8</t>
        </is>
      </c>
      <c r="L297" s="53" t="inlineStr">
        <is>
          <t>СК2</t>
        </is>
      </c>
      <c r="M297" s="52" t="n">
        <v>60</v>
      </c>
      <c r="N297" s="10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63" t="n"/>
      <c r="P297" s="163" t="n"/>
      <c r="Q297" s="163" t="n"/>
      <c r="R297" s="128" t="n"/>
      <c r="S297" s="54" t="n"/>
      <c r="T297" s="54" t="n"/>
      <c r="U297" s="55" t="inlineStr">
        <is>
          <t>кг</t>
        </is>
      </c>
      <c r="V297" s="164" t="n">
        <v>0</v>
      </c>
      <c r="W297" s="165">
        <f>IFERROR(IF(V297="",0,CEILING((V297/$H297),1)*$H297),"")</f>
        <v/>
      </c>
      <c r="X297" s="58">
        <f>IFERROR(IF(W297=0,"",ROUNDUP(W297/H297,0)*0.02175),"")</f>
        <v/>
      </c>
      <c r="Y297" s="59" t="n"/>
      <c r="Z297" s="60" t="n"/>
      <c r="AA297" s="71" t="n"/>
      <c r="AD297" s="61" t="n"/>
      <c r="BA297" s="62" t="inlineStr">
        <is>
          <t>КИ</t>
        </is>
      </c>
    </row>
    <row r="298" ht="16.5" customHeight="1">
      <c r="A298" s="49" t="inlineStr">
        <is>
          <t>SU000102</t>
        </is>
      </c>
      <c r="B298" s="49" t="inlineStr">
        <is>
          <t>P002580</t>
        </is>
      </c>
      <c r="C298" s="50" t="n">
        <v>4301011238</v>
      </c>
      <c r="D298" s="107" t="n">
        <v>4607091384147</v>
      </c>
      <c r="E298" s="128" t="n"/>
      <c r="F298" s="162" t="n">
        <v>2.5</v>
      </c>
      <c r="G298" s="52" t="n">
        <v>6</v>
      </c>
      <c r="H298" s="162" t="n">
        <v>15</v>
      </c>
      <c r="I298" s="162" t="n">
        <v>15.48</v>
      </c>
      <c r="J298" s="52" t="n">
        <v>48</v>
      </c>
      <c r="K298" s="52" t="inlineStr">
        <is>
          <t>8</t>
        </is>
      </c>
      <c r="L298" s="53" t="inlineStr">
        <is>
          <t>ВЗ</t>
        </is>
      </c>
      <c r="M298" s="52" t="n">
        <v>60</v>
      </c>
      <c r="N298" s="115" t="inlineStr">
        <is>
          <t>Вареные колбасы Особая Особая Весовые П/а Особый рецепт</t>
        </is>
      </c>
      <c r="O298" s="163" t="n"/>
      <c r="P298" s="163" t="n"/>
      <c r="Q298" s="163" t="n"/>
      <c r="R298" s="128" t="n"/>
      <c r="S298" s="54" t="n"/>
      <c r="T298" s="54" t="n"/>
      <c r="U298" s="55" t="inlineStr">
        <is>
          <t>кг</t>
        </is>
      </c>
      <c r="V298" s="164" t="n">
        <v>0</v>
      </c>
      <c r="W298" s="165">
        <f>IFERROR(IF(V298="",0,CEILING((V298/$H298),1)*$H298),"")</f>
        <v/>
      </c>
      <c r="X298" s="58">
        <f>IFERROR(IF(W298=0,"",ROUNDUP(W298/H298,0)*0.02039),"")</f>
        <v/>
      </c>
      <c r="Y298" s="59" t="n"/>
      <c r="Z298" s="60" t="n"/>
      <c r="AA298" s="71" t="n"/>
      <c r="AD298" s="61" t="n"/>
      <c r="BA298" s="62" t="inlineStr">
        <is>
          <t>КИ</t>
        </is>
      </c>
    </row>
    <row r="299" ht="27" customHeight="1">
      <c r="A299" s="49" t="inlineStr">
        <is>
          <t>SU001989</t>
        </is>
      </c>
      <c r="B299" s="49" t="inlineStr">
        <is>
          <t>P002560</t>
        </is>
      </c>
      <c r="C299" s="50" t="n">
        <v>4301011327</v>
      </c>
      <c r="D299" s="107" t="n">
        <v>4607091384154</v>
      </c>
      <c r="E299" s="128" t="n"/>
      <c r="F299" s="162" t="n">
        <v>0.5</v>
      </c>
      <c r="G299" s="52" t="n">
        <v>10</v>
      </c>
      <c r="H299" s="162" t="n">
        <v>5</v>
      </c>
      <c r="I299" s="162" t="n">
        <v>5.21</v>
      </c>
      <c r="J299" s="52" t="n">
        <v>120</v>
      </c>
      <c r="K299" s="52" t="inlineStr">
        <is>
          <t>12</t>
        </is>
      </c>
      <c r="L299" s="53" t="inlineStr">
        <is>
          <t>СК2</t>
        </is>
      </c>
      <c r="M299" s="52" t="n">
        <v>60</v>
      </c>
      <c r="N299" s="10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63" t="n"/>
      <c r="P299" s="163" t="n"/>
      <c r="Q299" s="163" t="n"/>
      <c r="R299" s="128" t="n"/>
      <c r="S299" s="54" t="n"/>
      <c r="T299" s="54" t="n"/>
      <c r="U299" s="55" t="inlineStr">
        <is>
          <t>кг</t>
        </is>
      </c>
      <c r="V299" s="164" t="n">
        <v>0</v>
      </c>
      <c r="W299" s="165">
        <f>IFERROR(IF(V299="",0,CEILING((V299/$H299),1)*$H299),"")</f>
        <v/>
      </c>
      <c r="X299" s="58">
        <f>IFERROR(IF(W299=0,"",ROUNDUP(W299/H299,0)*0.00937),"")</f>
        <v/>
      </c>
      <c r="Y299" s="59" t="n"/>
      <c r="Z299" s="60" t="n"/>
      <c r="AA299" s="71" t="n"/>
      <c r="AD299" s="61" t="n"/>
      <c r="BA299" s="62" t="inlineStr">
        <is>
          <t>КИ</t>
        </is>
      </c>
    </row>
    <row r="300" ht="27" customHeight="1">
      <c r="A300" s="49" t="inlineStr">
        <is>
          <t>SU000256</t>
        </is>
      </c>
      <c r="B300" s="49" t="inlineStr">
        <is>
          <t>P002565</t>
        </is>
      </c>
      <c r="C300" s="50" t="n">
        <v>4301011332</v>
      </c>
      <c r="D300" s="107" t="n">
        <v>4607091384161</v>
      </c>
      <c r="E300" s="128" t="n"/>
      <c r="F300" s="162" t="n">
        <v>0.5</v>
      </c>
      <c r="G300" s="52" t="n">
        <v>10</v>
      </c>
      <c r="H300" s="162" t="n">
        <v>5</v>
      </c>
      <c r="I300" s="162" t="n">
        <v>5.21</v>
      </c>
      <c r="J300" s="52" t="n">
        <v>120</v>
      </c>
      <c r="K300" s="52" t="inlineStr">
        <is>
          <t>12</t>
        </is>
      </c>
      <c r="L300" s="53" t="inlineStr">
        <is>
          <t>СК2</t>
        </is>
      </c>
      <c r="M300" s="52" t="n">
        <v>60</v>
      </c>
      <c r="N300" s="10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63" t="n"/>
      <c r="P300" s="163" t="n"/>
      <c r="Q300" s="163" t="n"/>
      <c r="R300" s="128" t="n"/>
      <c r="S300" s="54" t="n"/>
      <c r="T300" s="54" t="n"/>
      <c r="U300" s="55" t="inlineStr">
        <is>
          <t>кг</t>
        </is>
      </c>
      <c r="V300" s="164" t="n">
        <v>0</v>
      </c>
      <c r="W300" s="165">
        <f>IFERROR(IF(V300="",0,CEILING((V300/$H300),1)*$H300),"")</f>
        <v/>
      </c>
      <c r="X300" s="58">
        <f>IFERROR(IF(W300=0,"",ROUNDUP(W300/H300,0)*0.00937),"")</f>
        <v/>
      </c>
      <c r="Y300" s="59" t="n"/>
      <c r="Z300" s="60" t="n"/>
      <c r="AA300" s="71" t="n"/>
      <c r="AD300" s="61" t="n"/>
      <c r="BA300" s="62" t="inlineStr">
        <is>
          <t>КИ</t>
        </is>
      </c>
    </row>
    <row r="301" ht="12.5" customHeight="1">
      <c r="A301" s="109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66" t="n"/>
      <c r="N301" s="110" t="inlineStr">
        <is>
          <t>Итого</t>
        </is>
      </c>
      <c r="O301" s="134" t="n"/>
      <c r="P301" s="134" t="n"/>
      <c r="Q301" s="134" t="n"/>
      <c r="R301" s="134" t="n"/>
      <c r="S301" s="134" t="n"/>
      <c r="T301" s="135" t="n"/>
      <c r="U301" s="63" t="inlineStr">
        <is>
          <t>кор</t>
        </is>
      </c>
      <c r="V301" s="167">
        <f>IFERROR(V293/H293,"0")+IFERROR(V294/H294,"0")+IFERROR(V295/H295,"0")+IFERROR(V296/H296,"0")+IFERROR(V297/H297,"0")+IFERROR(V298/H298,"0")+IFERROR(V299/H299,"0")+IFERROR(V300/H300,"0")</f>
        <v/>
      </c>
      <c r="W301" s="167">
        <f>IFERROR(W293/H293,"0")+IFERROR(W294/H294,"0")+IFERROR(W295/H295,"0")+IFERROR(W296/H296,"0")+IFERROR(W297/H297,"0")+IFERROR(W298/H298,"0")+IFERROR(W299/H299,"0")+IFERROR(W300/H300,"0")</f>
        <v/>
      </c>
      <c r="X301" s="16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168" t="n"/>
      <c r="Z301" s="168" t="n"/>
      <c r="AA301" s="71" t="n"/>
    </row>
    <row r="302" ht="12.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66" t="n"/>
      <c r="N302" s="110" t="inlineStr">
        <is>
          <t>Итого</t>
        </is>
      </c>
      <c r="O302" s="134" t="n"/>
      <c r="P302" s="134" t="n"/>
      <c r="Q302" s="134" t="n"/>
      <c r="R302" s="134" t="n"/>
      <c r="S302" s="134" t="n"/>
      <c r="T302" s="135" t="n"/>
      <c r="U302" s="63" t="inlineStr">
        <is>
          <t>кг</t>
        </is>
      </c>
      <c r="V302" s="167">
        <f>IFERROR(SUM(V293:V300),"0")</f>
        <v/>
      </c>
      <c r="W302" s="167">
        <f>IFERROR(SUM(W293:W300),"0")</f>
        <v/>
      </c>
      <c r="X302" s="63" t="n"/>
      <c r="Y302" s="168" t="n"/>
      <c r="Z302" s="168" t="n"/>
      <c r="AA302" s="71" t="n"/>
    </row>
    <row r="303" ht="14.25" customHeight="1">
      <c r="A303" s="106" t="inlineStr">
        <is>
          <t>Ветчины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06" t="n"/>
      <c r="Z303" s="106" t="n"/>
      <c r="AA303" s="71" t="n"/>
    </row>
    <row r="304" ht="16.5" customHeight="1">
      <c r="A304" s="49" t="inlineStr">
        <is>
          <t>SU003121</t>
        </is>
      </c>
      <c r="B304" s="49" t="inlineStr">
        <is>
          <t>P003715</t>
        </is>
      </c>
      <c r="C304" s="50" t="n">
        <v>4301020270</v>
      </c>
      <c r="D304" s="107" t="n">
        <v>4680115883314</v>
      </c>
      <c r="E304" s="128" t="n"/>
      <c r="F304" s="162" t="n">
        <v>1.35</v>
      </c>
      <c r="G304" s="52" t="n">
        <v>8</v>
      </c>
      <c r="H304" s="162" t="n">
        <v>10.8</v>
      </c>
      <c r="I304" s="162" t="n">
        <v>11.28</v>
      </c>
      <c r="J304" s="52" t="n">
        <v>56</v>
      </c>
      <c r="K304" s="52" t="inlineStr">
        <is>
          <t>8</t>
        </is>
      </c>
      <c r="L304" s="53" t="inlineStr">
        <is>
          <t>СК3</t>
        </is>
      </c>
      <c r="M304" s="52" t="n">
        <v>50</v>
      </c>
      <c r="N304" s="115" t="inlineStr">
        <is>
          <t>Ветчины «Славница» Весовой п/а ТМ «Особый рецепт»</t>
        </is>
      </c>
      <c r="O304" s="163" t="n"/>
      <c r="P304" s="163" t="n"/>
      <c r="Q304" s="163" t="n"/>
      <c r="R304" s="128" t="n"/>
      <c r="S304" s="54" t="n"/>
      <c r="T304" s="54" t="n"/>
      <c r="U304" s="55" t="inlineStr">
        <is>
          <t>кг</t>
        </is>
      </c>
      <c r="V304" s="164" t="n">
        <v>0</v>
      </c>
      <c r="W304" s="165">
        <f>IFERROR(IF(V304="",0,CEILING((V304/$H304),1)*$H304),"")</f>
        <v/>
      </c>
      <c r="X304" s="58">
        <f>IFERROR(IF(W304=0,"",ROUNDUP(W304/H304,0)*0.02175),"")</f>
        <v/>
      </c>
      <c r="Y304" s="59" t="n"/>
      <c r="Z304" s="60" t="inlineStr">
        <is>
          <t>Новинка</t>
        </is>
      </c>
      <c r="AA304" s="71" t="n"/>
      <c r="AD304" s="61" t="n"/>
      <c r="BA304" s="62" t="inlineStr">
        <is>
          <t>КИ</t>
        </is>
      </c>
    </row>
    <row r="305" ht="27" customHeight="1">
      <c r="A305" s="49" t="inlineStr">
        <is>
          <t>SU000126</t>
        </is>
      </c>
      <c r="B305" s="49" t="inlineStr">
        <is>
          <t>P002555</t>
        </is>
      </c>
      <c r="C305" s="50" t="n">
        <v>4301020178</v>
      </c>
      <c r="D305" s="107" t="n">
        <v>4607091383980</v>
      </c>
      <c r="E305" s="128" t="n"/>
      <c r="F305" s="162" t="n">
        <v>2.5</v>
      </c>
      <c r="G305" s="52" t="n">
        <v>6</v>
      </c>
      <c r="H305" s="162" t="n">
        <v>15</v>
      </c>
      <c r="I305" s="162" t="n">
        <v>15.48</v>
      </c>
      <c r="J305" s="52" t="n">
        <v>48</v>
      </c>
      <c r="K305" s="52" t="inlineStr">
        <is>
          <t>8</t>
        </is>
      </c>
      <c r="L305" s="53" t="inlineStr">
        <is>
          <t>СК1</t>
        </is>
      </c>
      <c r="M305" s="52" t="n">
        <v>50</v>
      </c>
      <c r="N305" s="10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63" t="n"/>
      <c r="P305" s="163" t="n"/>
      <c r="Q305" s="163" t="n"/>
      <c r="R305" s="128" t="n"/>
      <c r="S305" s="54" t="n"/>
      <c r="T305" s="54" t="n"/>
      <c r="U305" s="55" t="inlineStr">
        <is>
          <t>кг</t>
        </is>
      </c>
      <c r="V305" s="164" t="n">
        <v>0</v>
      </c>
      <c r="W305" s="165">
        <f>IFERROR(IF(V305="",0,CEILING((V305/$H305),1)*$H305),"")</f>
        <v/>
      </c>
      <c r="X305" s="58">
        <f>IFERROR(IF(W305=0,"",ROUNDUP(W305/H305,0)*0.02175),"")</f>
        <v/>
      </c>
      <c r="Y305" s="59" t="n"/>
      <c r="Z305" s="60" t="n"/>
      <c r="AA305" s="71" t="n"/>
      <c r="AD305" s="61" t="n"/>
      <c r="BA305" s="62" t="inlineStr">
        <is>
          <t>КИ</t>
        </is>
      </c>
    </row>
    <row r="306" ht="27" customHeight="1">
      <c r="A306" s="49" t="inlineStr">
        <is>
          <t>SU002027</t>
        </is>
      </c>
      <c r="B306" s="49" t="inlineStr">
        <is>
          <t>P002556</t>
        </is>
      </c>
      <c r="C306" s="50" t="n">
        <v>4301020179</v>
      </c>
      <c r="D306" s="107" t="n">
        <v>4607091384178</v>
      </c>
      <c r="E306" s="128" t="n"/>
      <c r="F306" s="162" t="n">
        <v>0.4</v>
      </c>
      <c r="G306" s="52" t="n">
        <v>10</v>
      </c>
      <c r="H306" s="162" t="n">
        <v>4</v>
      </c>
      <c r="I306" s="162" t="n">
        <v>4.24</v>
      </c>
      <c r="J306" s="52" t="n">
        <v>120</v>
      </c>
      <c r="K306" s="52" t="inlineStr">
        <is>
          <t>12</t>
        </is>
      </c>
      <c r="L306" s="53" t="inlineStr">
        <is>
          <t>СК1</t>
        </is>
      </c>
      <c r="M306" s="52" t="n">
        <v>50</v>
      </c>
      <c r="N306" s="1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63" t="n"/>
      <c r="P306" s="163" t="n"/>
      <c r="Q306" s="163" t="n"/>
      <c r="R306" s="128" t="n"/>
      <c r="S306" s="54" t="n"/>
      <c r="T306" s="54" t="n"/>
      <c r="U306" s="55" t="inlineStr">
        <is>
          <t>кг</t>
        </is>
      </c>
      <c r="V306" s="164" t="n">
        <v>4.800000000000001</v>
      </c>
      <c r="W306" s="165">
        <f>IFERROR(IF(V306="",0,CEILING((V306/$H306),1)*$H306),"")</f>
        <v/>
      </c>
      <c r="X306" s="58">
        <f>IFERROR(IF(W306=0,"",ROUNDUP(W306/H306,0)*0.00937),"")</f>
        <v/>
      </c>
      <c r="Y306" s="59" t="n"/>
      <c r="Z306" s="60" t="n"/>
      <c r="AA306" s="71" t="n"/>
      <c r="AD306" s="61" t="n"/>
      <c r="BA306" s="62" t="inlineStr">
        <is>
          <t>КИ</t>
        </is>
      </c>
    </row>
    <row r="307" ht="12.5" customHeight="1">
      <c r="A307" s="109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66" t="n"/>
      <c r="N307" s="110" t="inlineStr">
        <is>
          <t>Итого</t>
        </is>
      </c>
      <c r="O307" s="134" t="n"/>
      <c r="P307" s="134" t="n"/>
      <c r="Q307" s="134" t="n"/>
      <c r="R307" s="134" t="n"/>
      <c r="S307" s="134" t="n"/>
      <c r="T307" s="135" t="n"/>
      <c r="U307" s="63" t="inlineStr">
        <is>
          <t>кор</t>
        </is>
      </c>
      <c r="V307" s="167">
        <f>IFERROR(V304/H304,"0")+IFERROR(V305/H305,"0")+IFERROR(V306/H306,"0")</f>
        <v/>
      </c>
      <c r="W307" s="167">
        <f>IFERROR(W304/H304,"0")+IFERROR(W305/H305,"0")+IFERROR(W306/H306,"0")</f>
        <v/>
      </c>
      <c r="X307" s="167">
        <f>IFERROR(IF(X304="",0,X304),"0")+IFERROR(IF(X305="",0,X305),"0")+IFERROR(IF(X306="",0,X306),"0")</f>
        <v/>
      </c>
      <c r="Y307" s="168" t="n"/>
      <c r="Z307" s="168" t="n"/>
      <c r="AA307" s="71" t="n"/>
    </row>
    <row r="308" ht="12.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66" t="n"/>
      <c r="N308" s="110" t="inlineStr">
        <is>
          <t>Итого</t>
        </is>
      </c>
      <c r="O308" s="134" t="n"/>
      <c r="P308" s="134" t="n"/>
      <c r="Q308" s="134" t="n"/>
      <c r="R308" s="134" t="n"/>
      <c r="S308" s="134" t="n"/>
      <c r="T308" s="135" t="n"/>
      <c r="U308" s="63" t="inlineStr">
        <is>
          <t>кг</t>
        </is>
      </c>
      <c r="V308" s="167">
        <f>IFERROR(SUM(V304:V306),"0")</f>
        <v/>
      </c>
      <c r="W308" s="167">
        <f>IFERROR(SUM(W304:W306),"0")</f>
        <v/>
      </c>
      <c r="X308" s="63" t="n"/>
      <c r="Y308" s="168" t="n"/>
      <c r="Z308" s="168" t="n"/>
      <c r="AA308" s="71" t="n"/>
    </row>
    <row r="309" ht="14.25" customHeight="1">
      <c r="A309" s="106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06" t="n"/>
      <c r="Z309" s="106" t="n"/>
      <c r="AA309" s="71" t="n"/>
    </row>
    <row r="310" ht="27" customHeight="1">
      <c r="A310" s="49" t="inlineStr">
        <is>
          <t>SU000246</t>
        </is>
      </c>
      <c r="B310" s="49" t="inlineStr">
        <is>
          <t>P002690</t>
        </is>
      </c>
      <c r="C310" s="50" t="n">
        <v>4301051298</v>
      </c>
      <c r="D310" s="107" t="n">
        <v>4607091384260</v>
      </c>
      <c r="E310" s="128" t="n"/>
      <c r="F310" s="162" t="n">
        <v>1.3</v>
      </c>
      <c r="G310" s="52" t="n">
        <v>6</v>
      </c>
      <c r="H310" s="162" t="n">
        <v>7.8</v>
      </c>
      <c r="I310" s="162" t="n">
        <v>8.364000000000001</v>
      </c>
      <c r="J310" s="52" t="n">
        <v>56</v>
      </c>
      <c r="K310" s="52" t="inlineStr">
        <is>
          <t>8</t>
        </is>
      </c>
      <c r="L310" s="53" t="inlineStr">
        <is>
          <t>СК2</t>
        </is>
      </c>
      <c r="M310" s="52" t="n">
        <v>35</v>
      </c>
      <c r="N310" s="10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63" t="n"/>
      <c r="P310" s="163" t="n"/>
      <c r="Q310" s="163" t="n"/>
      <c r="R310" s="128" t="n"/>
      <c r="S310" s="54" t="n"/>
      <c r="T310" s="54" t="n"/>
      <c r="U310" s="55" t="inlineStr">
        <is>
          <t>кг</t>
        </is>
      </c>
      <c r="V310" s="164" t="n">
        <v>0</v>
      </c>
      <c r="W310" s="165">
        <f>IFERROR(IF(V310="",0,CEILING((V310/$H310),1)*$H310),"")</f>
        <v/>
      </c>
      <c r="X310" s="58">
        <f>IFERROR(IF(W310=0,"",ROUNDUP(W310/H310,0)*0.02175),"")</f>
        <v/>
      </c>
      <c r="Y310" s="59" t="n"/>
      <c r="Z310" s="60" t="n"/>
      <c r="AA310" s="71" t="n"/>
      <c r="AD310" s="61" t="n"/>
      <c r="BA310" s="62" t="inlineStr">
        <is>
          <t>КИ</t>
        </is>
      </c>
    </row>
    <row r="311" ht="12.5" customHeight="1">
      <c r="A311" s="109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66" t="n"/>
      <c r="N311" s="110" t="inlineStr">
        <is>
          <t>Итого</t>
        </is>
      </c>
      <c r="O311" s="134" t="n"/>
      <c r="P311" s="134" t="n"/>
      <c r="Q311" s="134" t="n"/>
      <c r="R311" s="134" t="n"/>
      <c r="S311" s="134" t="n"/>
      <c r="T311" s="135" t="n"/>
      <c r="U311" s="63" t="inlineStr">
        <is>
          <t>кор</t>
        </is>
      </c>
      <c r="V311" s="167">
        <f>IFERROR(V310/H310,"0")</f>
        <v/>
      </c>
      <c r="W311" s="167">
        <f>IFERROR(W310/H310,"0")</f>
        <v/>
      </c>
      <c r="X311" s="167">
        <f>IFERROR(IF(X310="",0,X310),"0")</f>
        <v/>
      </c>
      <c r="Y311" s="168" t="n"/>
      <c r="Z311" s="168" t="n"/>
      <c r="AA311" s="71" t="n"/>
    </row>
    <row r="312" ht="12.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66" t="n"/>
      <c r="N312" s="110" t="inlineStr">
        <is>
          <t>Итого</t>
        </is>
      </c>
      <c r="O312" s="134" t="n"/>
      <c r="P312" s="134" t="n"/>
      <c r="Q312" s="134" t="n"/>
      <c r="R312" s="134" t="n"/>
      <c r="S312" s="134" t="n"/>
      <c r="T312" s="135" t="n"/>
      <c r="U312" s="63" t="inlineStr">
        <is>
          <t>кг</t>
        </is>
      </c>
      <c r="V312" s="167">
        <f>IFERROR(SUM(V310:V310),"0")</f>
        <v/>
      </c>
      <c r="W312" s="167">
        <f>IFERROR(SUM(W310:W310),"0")</f>
        <v/>
      </c>
      <c r="X312" s="63" t="n"/>
      <c r="Y312" s="168" t="n"/>
      <c r="Z312" s="168" t="n"/>
      <c r="AA312" s="71" t="n"/>
    </row>
    <row r="313" ht="14.25" customHeight="1">
      <c r="A313" s="106" t="inlineStr">
        <is>
          <t>Сардельки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06" t="n"/>
      <c r="Z313" s="106" t="n"/>
      <c r="AA313" s="71" t="n"/>
    </row>
    <row r="314" ht="16.5" customHeight="1">
      <c r="A314" s="49" t="inlineStr">
        <is>
          <t>SU002287</t>
        </is>
      </c>
      <c r="B314" s="49" t="inlineStr">
        <is>
          <t>P002490</t>
        </is>
      </c>
      <c r="C314" s="50" t="n">
        <v>4301060314</v>
      </c>
      <c r="D314" s="107" t="n">
        <v>4607091384673</v>
      </c>
      <c r="E314" s="128" t="n"/>
      <c r="F314" s="162" t="n">
        <v>1.3</v>
      </c>
      <c r="G314" s="52" t="n">
        <v>6</v>
      </c>
      <c r="H314" s="162" t="n">
        <v>7.8</v>
      </c>
      <c r="I314" s="162" t="n">
        <v>8.364000000000001</v>
      </c>
      <c r="J314" s="52" t="n">
        <v>56</v>
      </c>
      <c r="K314" s="52" t="inlineStr">
        <is>
          <t>8</t>
        </is>
      </c>
      <c r="L314" s="53" t="inlineStr">
        <is>
          <t>СК2</t>
        </is>
      </c>
      <c r="M314" s="52" t="n">
        <v>30</v>
      </c>
      <c r="N314" s="1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63" t="n"/>
      <c r="P314" s="163" t="n"/>
      <c r="Q314" s="163" t="n"/>
      <c r="R314" s="128" t="n"/>
      <c r="S314" s="54" t="n"/>
      <c r="T314" s="54" t="n"/>
      <c r="U314" s="55" t="inlineStr">
        <is>
          <t>кг</t>
        </is>
      </c>
      <c r="V314" s="164" t="n">
        <v>0</v>
      </c>
      <c r="W314" s="165">
        <f>IFERROR(IF(V314="",0,CEILING((V314/$H314),1)*$H314),"")</f>
        <v/>
      </c>
      <c r="X314" s="58">
        <f>IFERROR(IF(W314=0,"",ROUNDUP(W314/H314,0)*0.02175),"")</f>
        <v/>
      </c>
      <c r="Y314" s="59" t="n"/>
      <c r="Z314" s="60" t="n"/>
      <c r="AA314" s="71" t="n"/>
      <c r="AD314" s="61" t="n"/>
      <c r="BA314" s="62" t="inlineStr">
        <is>
          <t>КИ</t>
        </is>
      </c>
    </row>
    <row r="315" ht="12.5" customHeight="1">
      <c r="A315" s="10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66" t="n"/>
      <c r="N315" s="110" t="inlineStr">
        <is>
          <t>Итого</t>
        </is>
      </c>
      <c r="O315" s="134" t="n"/>
      <c r="P315" s="134" t="n"/>
      <c r="Q315" s="134" t="n"/>
      <c r="R315" s="134" t="n"/>
      <c r="S315" s="134" t="n"/>
      <c r="T315" s="135" t="n"/>
      <c r="U315" s="63" t="inlineStr">
        <is>
          <t>кор</t>
        </is>
      </c>
      <c r="V315" s="167">
        <f>IFERROR(V314/H314,"0")</f>
        <v/>
      </c>
      <c r="W315" s="167">
        <f>IFERROR(W314/H314,"0")</f>
        <v/>
      </c>
      <c r="X315" s="167">
        <f>IFERROR(IF(X314="",0,X314),"0")</f>
        <v/>
      </c>
      <c r="Y315" s="168" t="n"/>
      <c r="Z315" s="168" t="n"/>
      <c r="AA315" s="71" t="n"/>
    </row>
    <row r="316" ht="12.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66" t="n"/>
      <c r="N316" s="110" t="inlineStr">
        <is>
          <t>Итого</t>
        </is>
      </c>
      <c r="O316" s="134" t="n"/>
      <c r="P316" s="134" t="n"/>
      <c r="Q316" s="134" t="n"/>
      <c r="R316" s="134" t="n"/>
      <c r="S316" s="134" t="n"/>
      <c r="T316" s="135" t="n"/>
      <c r="U316" s="63" t="inlineStr">
        <is>
          <t>кг</t>
        </is>
      </c>
      <c r="V316" s="167">
        <f>IFERROR(SUM(V314:V314),"0")</f>
        <v/>
      </c>
      <c r="W316" s="167">
        <f>IFERROR(SUM(W314:W314),"0")</f>
        <v/>
      </c>
      <c r="X316" s="63" t="n"/>
      <c r="Y316" s="168" t="n"/>
      <c r="Z316" s="168" t="n"/>
      <c r="AA316" s="71" t="n"/>
    </row>
    <row r="317" ht="16.5" customHeight="1">
      <c r="A317" s="105" t="inlineStr">
        <is>
          <t>Особая Без свинины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05" t="n"/>
      <c r="Z317" s="105" t="n"/>
      <c r="AA317" s="71" t="n"/>
    </row>
    <row r="318" ht="14.25" customHeight="1">
      <c r="A318" s="106" t="inlineStr">
        <is>
          <t>Вареные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06" t="n"/>
      <c r="Z318" s="106" t="n"/>
      <c r="AA318" s="71" t="n"/>
    </row>
    <row r="319" ht="27" customHeight="1">
      <c r="A319" s="49" t="inlineStr">
        <is>
          <t>SU002073</t>
        </is>
      </c>
      <c r="B319" s="49" t="inlineStr">
        <is>
          <t>P002563</t>
        </is>
      </c>
      <c r="C319" s="50" t="n">
        <v>4301011324</v>
      </c>
      <c r="D319" s="107" t="n">
        <v>4607091384185</v>
      </c>
      <c r="E319" s="128" t="n"/>
      <c r="F319" s="162" t="n">
        <v>0.8</v>
      </c>
      <c r="G319" s="52" t="n">
        <v>15</v>
      </c>
      <c r="H319" s="162" t="n">
        <v>12</v>
      </c>
      <c r="I319" s="162" t="n">
        <v>12.48</v>
      </c>
      <c r="J319" s="52" t="n">
        <v>56</v>
      </c>
      <c r="K319" s="52" t="inlineStr">
        <is>
          <t>8</t>
        </is>
      </c>
      <c r="L319" s="53" t="inlineStr">
        <is>
          <t>СК2</t>
        </is>
      </c>
      <c r="M319" s="52" t="n">
        <v>60</v>
      </c>
      <c r="N319" s="1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63" t="n"/>
      <c r="P319" s="163" t="n"/>
      <c r="Q319" s="163" t="n"/>
      <c r="R319" s="128" t="n"/>
      <c r="S319" s="54" t="n"/>
      <c r="T319" s="54" t="n"/>
      <c r="U319" s="55" t="inlineStr">
        <is>
          <t>кг</t>
        </is>
      </c>
      <c r="V319" s="164" t="n">
        <v>0</v>
      </c>
      <c r="W319" s="165">
        <f>IFERROR(IF(V319="",0,CEILING((V319/$H319),1)*$H319),"")</f>
        <v/>
      </c>
      <c r="X319" s="58">
        <f>IFERROR(IF(W319=0,"",ROUNDUP(W319/H319,0)*0.02175),"")</f>
        <v/>
      </c>
      <c r="Y319" s="59" t="n"/>
      <c r="Z319" s="60" t="n"/>
      <c r="AA319" s="71" t="n"/>
      <c r="AD319" s="61" t="n"/>
      <c r="BA319" s="62" t="inlineStr">
        <is>
          <t>КИ</t>
        </is>
      </c>
    </row>
    <row r="320" ht="27" customHeight="1">
      <c r="A320" s="49" t="inlineStr">
        <is>
          <t>SU002187</t>
        </is>
      </c>
      <c r="B320" s="49" t="inlineStr">
        <is>
          <t>P002559</t>
        </is>
      </c>
      <c r="C320" s="50" t="n">
        <v>4301011312</v>
      </c>
      <c r="D320" s="107" t="n">
        <v>4607091384192</v>
      </c>
      <c r="E320" s="128" t="n"/>
      <c r="F320" s="162" t="n">
        <v>1.8</v>
      </c>
      <c r="G320" s="52" t="n">
        <v>6</v>
      </c>
      <c r="H320" s="162" t="n">
        <v>10.8</v>
      </c>
      <c r="I320" s="162" t="n">
        <v>11.28</v>
      </c>
      <c r="J320" s="52" t="n">
        <v>56</v>
      </c>
      <c r="K320" s="52" t="inlineStr">
        <is>
          <t>8</t>
        </is>
      </c>
      <c r="L320" s="53" t="inlineStr">
        <is>
          <t>СК1</t>
        </is>
      </c>
      <c r="M320" s="52" t="n">
        <v>60</v>
      </c>
      <c r="N320" s="10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63" t="n"/>
      <c r="P320" s="163" t="n"/>
      <c r="Q320" s="163" t="n"/>
      <c r="R320" s="128" t="n"/>
      <c r="S320" s="54" t="n"/>
      <c r="T320" s="54" t="n"/>
      <c r="U320" s="55" t="inlineStr">
        <is>
          <t>кг</t>
        </is>
      </c>
      <c r="V320" s="164" t="n">
        <v>0</v>
      </c>
      <c r="W320" s="165">
        <f>IFERROR(IF(V320="",0,CEILING((V320/$H320),1)*$H320),"")</f>
        <v/>
      </c>
      <c r="X320" s="58">
        <f>IFERROR(IF(W320=0,"",ROUNDUP(W320/H320,0)*0.02175),"")</f>
        <v/>
      </c>
      <c r="Y320" s="59" t="n"/>
      <c r="Z320" s="60" t="n"/>
      <c r="AA320" s="71" t="n"/>
      <c r="AD320" s="61" t="n"/>
      <c r="BA320" s="62" t="inlineStr">
        <is>
          <t>КИ</t>
        </is>
      </c>
    </row>
    <row r="321" ht="27" customHeight="1">
      <c r="A321" s="49" t="inlineStr">
        <is>
          <t>SU002899</t>
        </is>
      </c>
      <c r="B321" s="49" t="inlineStr">
        <is>
          <t>P003323</t>
        </is>
      </c>
      <c r="C321" s="50" t="n">
        <v>4301011483</v>
      </c>
      <c r="D321" s="107" t="n">
        <v>4680115881907</v>
      </c>
      <c r="E321" s="128" t="n"/>
      <c r="F321" s="162" t="n">
        <v>1.8</v>
      </c>
      <c r="G321" s="52" t="n">
        <v>6</v>
      </c>
      <c r="H321" s="162" t="n">
        <v>10.8</v>
      </c>
      <c r="I321" s="162" t="n">
        <v>11.28</v>
      </c>
      <c r="J321" s="52" t="n">
        <v>56</v>
      </c>
      <c r="K321" s="52" t="inlineStr">
        <is>
          <t>8</t>
        </is>
      </c>
      <c r="L321" s="53" t="inlineStr">
        <is>
          <t>СК2</t>
        </is>
      </c>
      <c r="M321" s="52" t="n">
        <v>60</v>
      </c>
      <c r="N321" s="10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63" t="n"/>
      <c r="P321" s="163" t="n"/>
      <c r="Q321" s="163" t="n"/>
      <c r="R321" s="128" t="n"/>
      <c r="S321" s="54" t="n"/>
      <c r="T321" s="54" t="n"/>
      <c r="U321" s="55" t="inlineStr">
        <is>
          <t>кг</t>
        </is>
      </c>
      <c r="V321" s="164" t="n">
        <v>0</v>
      </c>
      <c r="W321" s="165">
        <f>IFERROR(IF(V321="",0,CEILING((V321/$H321),1)*$H321),"")</f>
        <v/>
      </c>
      <c r="X321" s="58">
        <f>IFERROR(IF(W321=0,"",ROUNDUP(W321/H321,0)*0.02175),"")</f>
        <v/>
      </c>
      <c r="Y321" s="59" t="n"/>
      <c r="Z321" s="60" t="n"/>
      <c r="AA321" s="71" t="n"/>
      <c r="AD321" s="61" t="n"/>
      <c r="BA321" s="62" t="inlineStr">
        <is>
          <t>КИ</t>
        </is>
      </c>
    </row>
    <row r="322" ht="27" customHeight="1">
      <c r="A322" s="49" t="inlineStr">
        <is>
          <t>SU002462</t>
        </is>
      </c>
      <c r="B322" s="49" t="inlineStr">
        <is>
          <t>P002768</t>
        </is>
      </c>
      <c r="C322" s="50" t="n">
        <v>4301011303</v>
      </c>
      <c r="D322" s="107" t="n">
        <v>4607091384680</v>
      </c>
      <c r="E322" s="128" t="n"/>
      <c r="F322" s="162" t="n">
        <v>0.4</v>
      </c>
      <c r="G322" s="52" t="n">
        <v>10</v>
      </c>
      <c r="H322" s="162" t="n">
        <v>4</v>
      </c>
      <c r="I322" s="162" t="n">
        <v>4.21</v>
      </c>
      <c r="J322" s="52" t="n">
        <v>120</v>
      </c>
      <c r="K322" s="52" t="inlineStr">
        <is>
          <t>12</t>
        </is>
      </c>
      <c r="L322" s="53" t="inlineStr">
        <is>
          <t>СК2</t>
        </is>
      </c>
      <c r="M322" s="52" t="n">
        <v>60</v>
      </c>
      <c r="N322" s="10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63" t="n"/>
      <c r="P322" s="163" t="n"/>
      <c r="Q322" s="163" t="n"/>
      <c r="R322" s="128" t="n"/>
      <c r="S322" s="54" t="n"/>
      <c r="T322" s="54" t="n"/>
      <c r="U322" s="55" t="inlineStr">
        <is>
          <t>кг</t>
        </is>
      </c>
      <c r="V322" s="164" t="n">
        <v>0</v>
      </c>
      <c r="W322" s="165">
        <f>IFERROR(IF(V322="",0,CEILING((V322/$H322),1)*$H322),"")</f>
        <v/>
      </c>
      <c r="X322" s="58">
        <f>IFERROR(IF(W322=0,"",ROUNDUP(W322/H322,0)*0.00937),"")</f>
        <v/>
      </c>
      <c r="Y322" s="59" t="n"/>
      <c r="Z322" s="60" t="n"/>
      <c r="AA322" s="71" t="n"/>
      <c r="AD322" s="61" t="n"/>
      <c r="BA322" s="62" t="inlineStr">
        <is>
          <t>КИ</t>
        </is>
      </c>
    </row>
    <row r="323" ht="12.5" customHeight="1">
      <c r="A323" s="10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66" t="n"/>
      <c r="N323" s="110" t="inlineStr">
        <is>
          <t>Итого</t>
        </is>
      </c>
      <c r="O323" s="134" t="n"/>
      <c r="P323" s="134" t="n"/>
      <c r="Q323" s="134" t="n"/>
      <c r="R323" s="134" t="n"/>
      <c r="S323" s="134" t="n"/>
      <c r="T323" s="135" t="n"/>
      <c r="U323" s="63" t="inlineStr">
        <is>
          <t>кор</t>
        </is>
      </c>
      <c r="V323" s="167">
        <f>IFERROR(V319/H319,"0")+IFERROR(V320/H320,"0")+IFERROR(V321/H321,"0")+IFERROR(V322/H322,"0")</f>
        <v/>
      </c>
      <c r="W323" s="167">
        <f>IFERROR(W319/H319,"0")+IFERROR(W320/H320,"0")+IFERROR(W321/H321,"0")+IFERROR(W322/H322,"0")</f>
        <v/>
      </c>
      <c r="X323" s="167">
        <f>IFERROR(IF(X319="",0,X319),"0")+IFERROR(IF(X320="",0,X320),"0")+IFERROR(IF(X321="",0,X321),"0")+IFERROR(IF(X322="",0,X322),"0")</f>
        <v/>
      </c>
      <c r="Y323" s="168" t="n"/>
      <c r="Z323" s="168" t="n"/>
      <c r="AA323" s="71" t="n"/>
    </row>
    <row r="324" ht="12.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66" t="n"/>
      <c r="N324" s="110" t="inlineStr">
        <is>
          <t>Итого</t>
        </is>
      </c>
      <c r="O324" s="134" t="n"/>
      <c r="P324" s="134" t="n"/>
      <c r="Q324" s="134" t="n"/>
      <c r="R324" s="134" t="n"/>
      <c r="S324" s="134" t="n"/>
      <c r="T324" s="135" t="n"/>
      <c r="U324" s="63" t="inlineStr">
        <is>
          <t>кг</t>
        </is>
      </c>
      <c r="V324" s="167">
        <f>IFERROR(SUM(V319:V322),"0")</f>
        <v/>
      </c>
      <c r="W324" s="167">
        <f>IFERROR(SUM(W319:W322),"0")</f>
        <v/>
      </c>
      <c r="X324" s="63" t="n"/>
      <c r="Y324" s="168" t="n"/>
      <c r="Z324" s="168" t="n"/>
      <c r="AA324" s="71" t="n"/>
    </row>
    <row r="325" ht="14.25" customHeight="1">
      <c r="A325" s="106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06" t="n"/>
      <c r="Z325" s="106" t="n"/>
      <c r="AA325" s="71" t="n"/>
    </row>
    <row r="326" ht="27" customHeight="1">
      <c r="A326" s="49" t="inlineStr">
        <is>
          <t>SU002360</t>
        </is>
      </c>
      <c r="B326" s="49" t="inlineStr">
        <is>
          <t>P002629</t>
        </is>
      </c>
      <c r="C326" s="50" t="n">
        <v>4301031139</v>
      </c>
      <c r="D326" s="107" t="n">
        <v>4607091384802</v>
      </c>
      <c r="E326" s="128" t="n"/>
      <c r="F326" s="162" t="n">
        <v>0.73</v>
      </c>
      <c r="G326" s="52" t="n">
        <v>6</v>
      </c>
      <c r="H326" s="162" t="n">
        <v>4.38</v>
      </c>
      <c r="I326" s="162" t="n">
        <v>4.58</v>
      </c>
      <c r="J326" s="52" t="n">
        <v>156</v>
      </c>
      <c r="K326" s="52" t="inlineStr">
        <is>
          <t>12</t>
        </is>
      </c>
      <c r="L326" s="53" t="inlineStr">
        <is>
          <t>СК2</t>
        </is>
      </c>
      <c r="M326" s="52" t="n">
        <v>35</v>
      </c>
      <c r="N326" s="1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63" t="n"/>
      <c r="P326" s="163" t="n"/>
      <c r="Q326" s="163" t="n"/>
      <c r="R326" s="128" t="n"/>
      <c r="S326" s="54" t="n"/>
      <c r="T326" s="54" t="n"/>
      <c r="U326" s="55" t="inlineStr">
        <is>
          <t>кг</t>
        </is>
      </c>
      <c r="V326" s="164" t="n">
        <v>0</v>
      </c>
      <c r="W326" s="165">
        <f>IFERROR(IF(V326="",0,CEILING((V326/$H326),1)*$H326),"")</f>
        <v/>
      </c>
      <c r="X326" s="58">
        <f>IFERROR(IF(W326=0,"",ROUNDUP(W326/H326,0)*0.00753),"")</f>
        <v/>
      </c>
      <c r="Y326" s="59" t="n"/>
      <c r="Z326" s="60" t="n"/>
      <c r="AA326" s="71" t="n"/>
      <c r="AD326" s="61" t="n"/>
      <c r="BA326" s="62" t="inlineStr">
        <is>
          <t>КИ</t>
        </is>
      </c>
    </row>
    <row r="327" ht="27" customHeight="1">
      <c r="A327" s="49" t="inlineStr">
        <is>
          <t>SU002361</t>
        </is>
      </c>
      <c r="B327" s="49" t="inlineStr">
        <is>
          <t>P002630</t>
        </is>
      </c>
      <c r="C327" s="50" t="n">
        <v>4301031140</v>
      </c>
      <c r="D327" s="107" t="n">
        <v>4607091384826</v>
      </c>
      <c r="E327" s="128" t="n"/>
      <c r="F327" s="162" t="n">
        <v>0.35</v>
      </c>
      <c r="G327" s="52" t="n">
        <v>8</v>
      </c>
      <c r="H327" s="162" t="n">
        <v>2.8</v>
      </c>
      <c r="I327" s="162" t="n">
        <v>2.9</v>
      </c>
      <c r="J327" s="52" t="n">
        <v>234</v>
      </c>
      <c r="K327" s="52" t="inlineStr">
        <is>
          <t>18</t>
        </is>
      </c>
      <c r="L327" s="53" t="inlineStr">
        <is>
          <t>СК2</t>
        </is>
      </c>
      <c r="M327" s="52" t="n">
        <v>35</v>
      </c>
      <c r="N327" s="10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63" t="n"/>
      <c r="P327" s="163" t="n"/>
      <c r="Q327" s="163" t="n"/>
      <c r="R327" s="128" t="n"/>
      <c r="S327" s="54" t="n"/>
      <c r="T327" s="54" t="n"/>
      <c r="U327" s="55" t="inlineStr">
        <is>
          <t>кг</t>
        </is>
      </c>
      <c r="V327" s="164" t="n">
        <v>0</v>
      </c>
      <c r="W327" s="165">
        <f>IFERROR(IF(V327="",0,CEILING((V327/$H327),1)*$H327),"")</f>
        <v/>
      </c>
      <c r="X327" s="58">
        <f>IFERROR(IF(W327=0,"",ROUNDUP(W327/H327,0)*0.00502),"")</f>
        <v/>
      </c>
      <c r="Y327" s="59" t="n"/>
      <c r="Z327" s="60" t="n"/>
      <c r="AA327" s="71" t="n"/>
      <c r="AD327" s="61" t="n"/>
      <c r="BA327" s="62" t="inlineStr">
        <is>
          <t>КИ</t>
        </is>
      </c>
    </row>
    <row r="328" ht="12.5" customHeight="1">
      <c r="A328" s="10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66" t="n"/>
      <c r="N328" s="110" t="inlineStr">
        <is>
          <t>Итого</t>
        </is>
      </c>
      <c r="O328" s="134" t="n"/>
      <c r="P328" s="134" t="n"/>
      <c r="Q328" s="134" t="n"/>
      <c r="R328" s="134" t="n"/>
      <c r="S328" s="134" t="n"/>
      <c r="T328" s="135" t="n"/>
      <c r="U328" s="63" t="inlineStr">
        <is>
          <t>кор</t>
        </is>
      </c>
      <c r="V328" s="167">
        <f>IFERROR(V326/H326,"0")+IFERROR(V327/H327,"0")</f>
        <v/>
      </c>
      <c r="W328" s="167">
        <f>IFERROR(W326/H326,"0")+IFERROR(W327/H327,"0")</f>
        <v/>
      </c>
      <c r="X328" s="167">
        <f>IFERROR(IF(X326="",0,X326),"0")+IFERROR(IF(X327="",0,X327),"0")</f>
        <v/>
      </c>
      <c r="Y328" s="168" t="n"/>
      <c r="Z328" s="168" t="n"/>
      <c r="AA328" s="71" t="n"/>
    </row>
    <row r="329" ht="12.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66" t="n"/>
      <c r="N329" s="110" t="inlineStr">
        <is>
          <t>Итого</t>
        </is>
      </c>
      <c r="O329" s="134" t="n"/>
      <c r="P329" s="134" t="n"/>
      <c r="Q329" s="134" t="n"/>
      <c r="R329" s="134" t="n"/>
      <c r="S329" s="134" t="n"/>
      <c r="T329" s="135" t="n"/>
      <c r="U329" s="63" t="inlineStr">
        <is>
          <t>кг</t>
        </is>
      </c>
      <c r="V329" s="167">
        <f>IFERROR(SUM(V326:V327),"0")</f>
        <v/>
      </c>
      <c r="W329" s="167">
        <f>IFERROR(SUM(W326:W327),"0")</f>
        <v/>
      </c>
      <c r="X329" s="63" t="n"/>
      <c r="Y329" s="168" t="n"/>
      <c r="Z329" s="168" t="n"/>
      <c r="AA329" s="71" t="n"/>
    </row>
    <row r="330" ht="14.25" customHeight="1">
      <c r="A330" s="106" t="inlineStr">
        <is>
          <t>Сосиски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06" t="n"/>
      <c r="Z330" s="106" t="n"/>
      <c r="AA330" s="71" t="n"/>
    </row>
    <row r="331" ht="27" customHeight="1">
      <c r="A331" s="49" t="inlineStr">
        <is>
          <t>SU002074</t>
        </is>
      </c>
      <c r="B331" s="49" t="inlineStr">
        <is>
          <t>P002693</t>
        </is>
      </c>
      <c r="C331" s="50" t="n">
        <v>4301051303</v>
      </c>
      <c r="D331" s="107" t="n">
        <v>4607091384246</v>
      </c>
      <c r="E331" s="128" t="n"/>
      <c r="F331" s="162" t="n">
        <v>1.3</v>
      </c>
      <c r="G331" s="52" t="n">
        <v>6</v>
      </c>
      <c r="H331" s="162" t="n">
        <v>7.8</v>
      </c>
      <c r="I331" s="162" t="n">
        <v>8.364000000000001</v>
      </c>
      <c r="J331" s="52" t="n">
        <v>56</v>
      </c>
      <c r="K331" s="52" t="inlineStr">
        <is>
          <t>8</t>
        </is>
      </c>
      <c r="L331" s="53" t="inlineStr">
        <is>
          <t>СК2</t>
        </is>
      </c>
      <c r="M331" s="52" t="n">
        <v>40</v>
      </c>
      <c r="N331" s="10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63" t="n"/>
      <c r="P331" s="163" t="n"/>
      <c r="Q331" s="163" t="n"/>
      <c r="R331" s="128" t="n"/>
      <c r="S331" s="54" t="n"/>
      <c r="T331" s="54" t="n"/>
      <c r="U331" s="55" t="inlineStr">
        <is>
          <t>кг</t>
        </is>
      </c>
      <c r="V331" s="164" t="n">
        <v>0</v>
      </c>
      <c r="W331" s="165">
        <f>IFERROR(IF(V331="",0,CEILING((V331/$H331),1)*$H331),"")</f>
        <v/>
      </c>
      <c r="X331" s="58">
        <f>IFERROR(IF(W331=0,"",ROUNDUP(W331/H331,0)*0.02175),"")</f>
        <v/>
      </c>
      <c r="Y331" s="59" t="n"/>
      <c r="Z331" s="60" t="n"/>
      <c r="AA331" s="71" t="n"/>
      <c r="AD331" s="61" t="n"/>
      <c r="BA331" s="62" t="inlineStr">
        <is>
          <t>КИ</t>
        </is>
      </c>
    </row>
    <row r="332" ht="27" customHeight="1">
      <c r="A332" s="49" t="inlineStr">
        <is>
          <t>SU002896</t>
        </is>
      </c>
      <c r="B332" s="49" t="inlineStr">
        <is>
          <t>P003330</t>
        </is>
      </c>
      <c r="C332" s="50" t="n">
        <v>4301051445</v>
      </c>
      <c r="D332" s="107" t="n">
        <v>4680115881976</v>
      </c>
      <c r="E332" s="128" t="n"/>
      <c r="F332" s="162" t="n">
        <v>1.3</v>
      </c>
      <c r="G332" s="52" t="n">
        <v>6</v>
      </c>
      <c r="H332" s="162" t="n">
        <v>7.8</v>
      </c>
      <c r="I332" s="162" t="n">
        <v>8.279999999999999</v>
      </c>
      <c r="J332" s="52" t="n">
        <v>56</v>
      </c>
      <c r="K332" s="52" t="inlineStr">
        <is>
          <t>8</t>
        </is>
      </c>
      <c r="L332" s="53" t="inlineStr">
        <is>
          <t>СК2</t>
        </is>
      </c>
      <c r="M332" s="52" t="n">
        <v>40</v>
      </c>
      <c r="N332" s="10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63" t="n"/>
      <c r="P332" s="163" t="n"/>
      <c r="Q332" s="163" t="n"/>
      <c r="R332" s="128" t="n"/>
      <c r="S332" s="54" t="n"/>
      <c r="T332" s="54" t="n"/>
      <c r="U332" s="55" t="inlineStr">
        <is>
          <t>кг</t>
        </is>
      </c>
      <c r="V332" s="164" t="n">
        <v>0</v>
      </c>
      <c r="W332" s="165">
        <f>IFERROR(IF(V332="",0,CEILING((V332/$H332),1)*$H332),"")</f>
        <v/>
      </c>
      <c r="X332" s="58">
        <f>IFERROR(IF(W332=0,"",ROUNDUP(W332/H332,0)*0.02175),"")</f>
        <v/>
      </c>
      <c r="Y332" s="59" t="n"/>
      <c r="Z332" s="60" t="n"/>
      <c r="AA332" s="71" t="n"/>
      <c r="AD332" s="61" t="n"/>
      <c r="BA332" s="62" t="inlineStr">
        <is>
          <t>КИ</t>
        </is>
      </c>
    </row>
    <row r="333" ht="27" customHeight="1">
      <c r="A333" s="49" t="inlineStr">
        <is>
          <t>SU002205</t>
        </is>
      </c>
      <c r="B333" s="49" t="inlineStr">
        <is>
          <t>P002694</t>
        </is>
      </c>
      <c r="C333" s="50" t="n">
        <v>4301051297</v>
      </c>
      <c r="D333" s="107" t="n">
        <v>4607091384253</v>
      </c>
      <c r="E333" s="128" t="n"/>
      <c r="F333" s="162" t="n">
        <v>0.4</v>
      </c>
      <c r="G333" s="52" t="n">
        <v>6</v>
      </c>
      <c r="H333" s="162" t="n">
        <v>2.4</v>
      </c>
      <c r="I333" s="162" t="n">
        <v>2.684</v>
      </c>
      <c r="J333" s="52" t="n">
        <v>156</v>
      </c>
      <c r="K333" s="52" t="inlineStr">
        <is>
          <t>12</t>
        </is>
      </c>
      <c r="L333" s="53" t="inlineStr">
        <is>
          <t>СК2</t>
        </is>
      </c>
      <c r="M333" s="52" t="n">
        <v>40</v>
      </c>
      <c r="N333" s="1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63" t="n"/>
      <c r="P333" s="163" t="n"/>
      <c r="Q333" s="163" t="n"/>
      <c r="R333" s="128" t="n"/>
      <c r="S333" s="54" t="n"/>
      <c r="T333" s="54" t="n"/>
      <c r="U333" s="55" t="inlineStr">
        <is>
          <t>кг</t>
        </is>
      </c>
      <c r="V333" s="164" t="n">
        <v>0</v>
      </c>
      <c r="W333" s="165">
        <f>IFERROR(IF(V333="",0,CEILING((V333/$H333),1)*$H333),"")</f>
        <v/>
      </c>
      <c r="X333" s="58">
        <f>IFERROR(IF(W333=0,"",ROUNDUP(W333/H333,0)*0.00753),"")</f>
        <v/>
      </c>
      <c r="Y333" s="59" t="n"/>
      <c r="Z333" s="60" t="n"/>
      <c r="AA333" s="71" t="n"/>
      <c r="AD333" s="61" t="n"/>
      <c r="BA333" s="62" t="inlineStr">
        <is>
          <t>КИ</t>
        </is>
      </c>
    </row>
    <row r="334" ht="27" customHeight="1">
      <c r="A334" s="49" t="inlineStr">
        <is>
          <t>SU002895</t>
        </is>
      </c>
      <c r="B334" s="49" t="inlineStr">
        <is>
          <t>P003329</t>
        </is>
      </c>
      <c r="C334" s="50" t="n">
        <v>4301051444</v>
      </c>
      <c r="D334" s="107" t="n">
        <v>4680115881969</v>
      </c>
      <c r="E334" s="128" t="n"/>
      <c r="F334" s="162" t="n">
        <v>0.4</v>
      </c>
      <c r="G334" s="52" t="n">
        <v>6</v>
      </c>
      <c r="H334" s="162" t="n">
        <v>2.4</v>
      </c>
      <c r="I334" s="162" t="n">
        <v>2.6</v>
      </c>
      <c r="J334" s="52" t="n">
        <v>156</v>
      </c>
      <c r="K334" s="52" t="inlineStr">
        <is>
          <t>12</t>
        </is>
      </c>
      <c r="L334" s="53" t="inlineStr">
        <is>
          <t>СК2</t>
        </is>
      </c>
      <c r="M334" s="52" t="n">
        <v>40</v>
      </c>
      <c r="N334" s="10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63" t="n"/>
      <c r="P334" s="163" t="n"/>
      <c r="Q334" s="163" t="n"/>
      <c r="R334" s="128" t="n"/>
      <c r="S334" s="54" t="n"/>
      <c r="T334" s="54" t="n"/>
      <c r="U334" s="55" t="inlineStr">
        <is>
          <t>кг</t>
        </is>
      </c>
      <c r="V334" s="164" t="n">
        <v>0</v>
      </c>
      <c r="W334" s="165">
        <f>IFERROR(IF(V334="",0,CEILING((V334/$H334),1)*$H334),"")</f>
        <v/>
      </c>
      <c r="X334" s="58">
        <f>IFERROR(IF(W334=0,"",ROUNDUP(W334/H334,0)*0.00753),"")</f>
        <v/>
      </c>
      <c r="Y334" s="59" t="n"/>
      <c r="Z334" s="60" t="n"/>
      <c r="AA334" s="71" t="n"/>
      <c r="AD334" s="61" t="n"/>
      <c r="BA334" s="62" t="inlineStr">
        <is>
          <t>КИ</t>
        </is>
      </c>
    </row>
    <row r="335" ht="12.5" customHeight="1">
      <c r="A335" s="10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66" t="n"/>
      <c r="N335" s="110" t="inlineStr">
        <is>
          <t>Итого</t>
        </is>
      </c>
      <c r="O335" s="134" t="n"/>
      <c r="P335" s="134" t="n"/>
      <c r="Q335" s="134" t="n"/>
      <c r="R335" s="134" t="n"/>
      <c r="S335" s="134" t="n"/>
      <c r="T335" s="135" t="n"/>
      <c r="U335" s="63" t="inlineStr">
        <is>
          <t>кор</t>
        </is>
      </c>
      <c r="V335" s="167">
        <f>IFERROR(V331/H331,"0")+IFERROR(V332/H332,"0")+IFERROR(V333/H333,"0")+IFERROR(V334/H334,"0")</f>
        <v/>
      </c>
      <c r="W335" s="167">
        <f>IFERROR(W331/H331,"0")+IFERROR(W332/H332,"0")+IFERROR(W333/H333,"0")+IFERROR(W334/H334,"0")</f>
        <v/>
      </c>
      <c r="X335" s="167">
        <f>IFERROR(IF(X331="",0,X331),"0")+IFERROR(IF(X332="",0,X332),"0")+IFERROR(IF(X333="",0,X333),"0")+IFERROR(IF(X334="",0,X334),"0")</f>
        <v/>
      </c>
      <c r="Y335" s="168" t="n"/>
      <c r="Z335" s="168" t="n"/>
      <c r="AA335" s="71" t="n"/>
    </row>
    <row r="336" ht="12.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66" t="n"/>
      <c r="N336" s="110" t="inlineStr">
        <is>
          <t>Итого</t>
        </is>
      </c>
      <c r="O336" s="134" t="n"/>
      <c r="P336" s="134" t="n"/>
      <c r="Q336" s="134" t="n"/>
      <c r="R336" s="134" t="n"/>
      <c r="S336" s="134" t="n"/>
      <c r="T336" s="135" t="n"/>
      <c r="U336" s="63" t="inlineStr">
        <is>
          <t>кг</t>
        </is>
      </c>
      <c r="V336" s="167">
        <f>IFERROR(SUM(V331:V334),"0")</f>
        <v/>
      </c>
      <c r="W336" s="167">
        <f>IFERROR(SUM(W331:W334),"0")</f>
        <v/>
      </c>
      <c r="X336" s="63" t="n"/>
      <c r="Y336" s="168" t="n"/>
      <c r="Z336" s="168" t="n"/>
      <c r="AA336" s="71" t="n"/>
    </row>
    <row r="337" ht="14.25" customHeight="1">
      <c r="A337" s="106" t="inlineStr">
        <is>
          <t>Сардельки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06" t="n"/>
      <c r="Z337" s="106" t="n"/>
      <c r="AA337" s="71" t="n"/>
    </row>
    <row r="338" ht="27" customHeight="1">
      <c r="A338" s="49" t="inlineStr">
        <is>
          <t>SU002472</t>
        </is>
      </c>
      <c r="B338" s="49" t="inlineStr">
        <is>
          <t>P002973</t>
        </is>
      </c>
      <c r="C338" s="50" t="n">
        <v>4301060322</v>
      </c>
      <c r="D338" s="107" t="n">
        <v>4607091389357</v>
      </c>
      <c r="E338" s="128" t="n"/>
      <c r="F338" s="162" t="n">
        <v>1.3</v>
      </c>
      <c r="G338" s="52" t="n">
        <v>6</v>
      </c>
      <c r="H338" s="162" t="n">
        <v>7.8</v>
      </c>
      <c r="I338" s="162" t="n">
        <v>8.279999999999999</v>
      </c>
      <c r="J338" s="52" t="n">
        <v>56</v>
      </c>
      <c r="K338" s="52" t="inlineStr">
        <is>
          <t>8</t>
        </is>
      </c>
      <c r="L338" s="53" t="inlineStr">
        <is>
          <t>СК2</t>
        </is>
      </c>
      <c r="M338" s="52" t="n">
        <v>40</v>
      </c>
      <c r="N338" s="10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63" t="n"/>
      <c r="P338" s="163" t="n"/>
      <c r="Q338" s="163" t="n"/>
      <c r="R338" s="128" t="n"/>
      <c r="S338" s="54" t="n"/>
      <c r="T338" s="54" t="n"/>
      <c r="U338" s="55" t="inlineStr">
        <is>
          <t>кг</t>
        </is>
      </c>
      <c r="V338" s="164" t="n">
        <v>0</v>
      </c>
      <c r="W338" s="165">
        <f>IFERROR(IF(V338="",0,CEILING((V338/$H338),1)*$H338),"")</f>
        <v/>
      </c>
      <c r="X338" s="58">
        <f>IFERROR(IF(W338=0,"",ROUNDUP(W338/H338,0)*0.02175),"")</f>
        <v/>
      </c>
      <c r="Y338" s="59" t="n"/>
      <c r="Z338" s="60" t="n"/>
      <c r="AA338" s="71" t="n"/>
      <c r="AD338" s="61" t="n"/>
      <c r="BA338" s="62" t="inlineStr">
        <is>
          <t>КИ</t>
        </is>
      </c>
    </row>
    <row r="339" ht="12.5" customHeight="1">
      <c r="A339" s="109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66" t="n"/>
      <c r="N339" s="110" t="inlineStr">
        <is>
          <t>Итого</t>
        </is>
      </c>
      <c r="O339" s="134" t="n"/>
      <c r="P339" s="134" t="n"/>
      <c r="Q339" s="134" t="n"/>
      <c r="R339" s="134" t="n"/>
      <c r="S339" s="134" t="n"/>
      <c r="T339" s="135" t="n"/>
      <c r="U339" s="63" t="inlineStr">
        <is>
          <t>кор</t>
        </is>
      </c>
      <c r="V339" s="167">
        <f>IFERROR(V338/H338,"0")</f>
        <v/>
      </c>
      <c r="W339" s="167">
        <f>IFERROR(W338/H338,"0")</f>
        <v/>
      </c>
      <c r="X339" s="167">
        <f>IFERROR(IF(X338="",0,X338),"0")</f>
        <v/>
      </c>
      <c r="Y339" s="168" t="n"/>
      <c r="Z339" s="168" t="n"/>
      <c r="AA339" s="71" t="n"/>
    </row>
    <row r="340" ht="12.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66" t="n"/>
      <c r="N340" s="110" t="inlineStr">
        <is>
          <t>Итого</t>
        </is>
      </c>
      <c r="O340" s="134" t="n"/>
      <c r="P340" s="134" t="n"/>
      <c r="Q340" s="134" t="n"/>
      <c r="R340" s="134" t="n"/>
      <c r="S340" s="134" t="n"/>
      <c r="T340" s="135" t="n"/>
      <c r="U340" s="63" t="inlineStr">
        <is>
          <t>кг</t>
        </is>
      </c>
      <c r="V340" s="167">
        <f>IFERROR(SUM(V338:V338),"0")</f>
        <v/>
      </c>
      <c r="W340" s="167">
        <f>IFERROR(SUM(W338:W338),"0")</f>
        <v/>
      </c>
      <c r="X340" s="63" t="n"/>
      <c r="Y340" s="168" t="n"/>
      <c r="Z340" s="168" t="n"/>
      <c r="AA340" s="71" t="n"/>
    </row>
    <row r="341" ht="27.75" customHeight="1">
      <c r="A341" s="104" t="inlineStr">
        <is>
          <t>Баварушка</t>
        </is>
      </c>
      <c r="B341" s="161" t="n"/>
      <c r="C341" s="161" t="n"/>
      <c r="D341" s="161" t="n"/>
      <c r="E341" s="161" t="n"/>
      <c r="F341" s="161" t="n"/>
      <c r="G341" s="161" t="n"/>
      <c r="H341" s="161" t="n"/>
      <c r="I341" s="161" t="n"/>
      <c r="J341" s="161" t="n"/>
      <c r="K341" s="161" t="n"/>
      <c r="L341" s="161" t="n"/>
      <c r="M341" s="161" t="n"/>
      <c r="N341" s="161" t="n"/>
      <c r="O341" s="161" t="n"/>
      <c r="P341" s="161" t="n"/>
      <c r="Q341" s="161" t="n"/>
      <c r="R341" s="161" t="n"/>
      <c r="S341" s="161" t="n"/>
      <c r="T341" s="161" t="n"/>
      <c r="U341" s="161" t="n"/>
      <c r="V341" s="161" t="n"/>
      <c r="W341" s="161" t="n"/>
      <c r="X341" s="161" t="n"/>
      <c r="Y341" s="46" t="n"/>
      <c r="Z341" s="46" t="n"/>
      <c r="AA341" s="71" t="n"/>
    </row>
    <row r="342" ht="16.5" customHeight="1">
      <c r="A342" s="105" t="inlineStr">
        <is>
          <t>Филейбургская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05" t="n"/>
      <c r="Z342" s="105" t="n"/>
      <c r="AA342" s="71" t="n"/>
    </row>
    <row r="343" ht="14.25" customHeight="1">
      <c r="A343" s="106" t="inlineStr">
        <is>
          <t>Вареные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06" t="n"/>
      <c r="Z343" s="106" t="n"/>
      <c r="AA343" s="71" t="n"/>
    </row>
    <row r="344" ht="27" customHeight="1">
      <c r="A344" s="49" t="inlineStr">
        <is>
          <t>SU002477</t>
        </is>
      </c>
      <c r="B344" s="49" t="inlineStr">
        <is>
          <t>P003148</t>
        </is>
      </c>
      <c r="C344" s="50" t="n">
        <v>4301011428</v>
      </c>
      <c r="D344" s="107" t="n">
        <v>4607091389708</v>
      </c>
      <c r="E344" s="128" t="n"/>
      <c r="F344" s="162" t="n">
        <v>0.45</v>
      </c>
      <c r="G344" s="52" t="n">
        <v>6</v>
      </c>
      <c r="H344" s="162" t="n">
        <v>2.7</v>
      </c>
      <c r="I344" s="162" t="n">
        <v>2.9</v>
      </c>
      <c r="J344" s="52" t="n">
        <v>156</v>
      </c>
      <c r="K344" s="52" t="inlineStr">
        <is>
          <t>12</t>
        </is>
      </c>
      <c r="L344" s="53" t="inlineStr">
        <is>
          <t>СК1</t>
        </is>
      </c>
      <c r="M344" s="52" t="n">
        <v>50</v>
      </c>
      <c r="N344" s="10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63" t="n"/>
      <c r="P344" s="163" t="n"/>
      <c r="Q344" s="163" t="n"/>
      <c r="R344" s="128" t="n"/>
      <c r="S344" s="54" t="n"/>
      <c r="T344" s="54" t="n"/>
      <c r="U344" s="55" t="inlineStr">
        <is>
          <t>кг</t>
        </is>
      </c>
      <c r="V344" s="164" t="n">
        <v>10.8</v>
      </c>
      <c r="W344" s="165">
        <f>IFERROR(IF(V344="",0,CEILING((V344/$H344),1)*$H344),"")</f>
        <v/>
      </c>
      <c r="X344" s="58">
        <f>IFERROR(IF(W344=0,"",ROUNDUP(W344/H344,0)*0.00753),"")</f>
        <v/>
      </c>
      <c r="Y344" s="59" t="n"/>
      <c r="Z344" s="60" t="n"/>
      <c r="AA344" s="71" t="n"/>
      <c r="AD344" s="61" t="n"/>
      <c r="BA344" s="62" t="inlineStr">
        <is>
          <t>КИ</t>
        </is>
      </c>
    </row>
    <row r="345" ht="27" customHeight="1">
      <c r="A345" s="49" t="inlineStr">
        <is>
          <t>SU002476</t>
        </is>
      </c>
      <c r="B345" s="49" t="inlineStr">
        <is>
          <t>P003147</t>
        </is>
      </c>
      <c r="C345" s="50" t="n">
        <v>4301011427</v>
      </c>
      <c r="D345" s="107" t="n">
        <v>4607091389692</v>
      </c>
      <c r="E345" s="128" t="n"/>
      <c r="F345" s="162" t="n">
        <v>0.45</v>
      </c>
      <c r="G345" s="52" t="n">
        <v>6</v>
      </c>
      <c r="H345" s="162" t="n">
        <v>2.7</v>
      </c>
      <c r="I345" s="162" t="n">
        <v>2.9</v>
      </c>
      <c r="J345" s="52" t="n">
        <v>156</v>
      </c>
      <c r="K345" s="52" t="inlineStr">
        <is>
          <t>12</t>
        </is>
      </c>
      <c r="L345" s="53" t="inlineStr">
        <is>
          <t>СК1</t>
        </is>
      </c>
      <c r="M345" s="52" t="n">
        <v>50</v>
      </c>
      <c r="N345" s="10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63" t="n"/>
      <c r="P345" s="163" t="n"/>
      <c r="Q345" s="163" t="n"/>
      <c r="R345" s="128" t="n"/>
      <c r="S345" s="54" t="n"/>
      <c r="T345" s="54" t="n"/>
      <c r="U345" s="55" t="inlineStr">
        <is>
          <t>кг</t>
        </is>
      </c>
      <c r="V345" s="164" t="n">
        <v>10.8</v>
      </c>
      <c r="W345" s="165">
        <f>IFERROR(IF(V345="",0,CEILING((V345/$H345),1)*$H345),"")</f>
        <v/>
      </c>
      <c r="X345" s="58">
        <f>IFERROR(IF(W345=0,"",ROUNDUP(W345/H345,0)*0.00753),"")</f>
        <v/>
      </c>
      <c r="Y345" s="59" t="n"/>
      <c r="Z345" s="60" t="n"/>
      <c r="AA345" s="71" t="n"/>
      <c r="AD345" s="61" t="n"/>
      <c r="BA345" s="62" t="inlineStr">
        <is>
          <t>КИ</t>
        </is>
      </c>
    </row>
    <row r="346" ht="12.5" customHeight="1">
      <c r="A346" s="109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66" t="n"/>
      <c r="N346" s="110" t="inlineStr">
        <is>
          <t>Итого</t>
        </is>
      </c>
      <c r="O346" s="134" t="n"/>
      <c r="P346" s="134" t="n"/>
      <c r="Q346" s="134" t="n"/>
      <c r="R346" s="134" t="n"/>
      <c r="S346" s="134" t="n"/>
      <c r="T346" s="135" t="n"/>
      <c r="U346" s="63" t="inlineStr">
        <is>
          <t>кор</t>
        </is>
      </c>
      <c r="V346" s="167">
        <f>IFERROR(V344/H344,"0")+IFERROR(V345/H345,"0")</f>
        <v/>
      </c>
      <c r="W346" s="167">
        <f>IFERROR(W344/H344,"0")+IFERROR(W345/H345,"0")</f>
        <v/>
      </c>
      <c r="X346" s="167">
        <f>IFERROR(IF(X344="",0,X344),"0")+IFERROR(IF(X345="",0,X345),"0")</f>
        <v/>
      </c>
      <c r="Y346" s="168" t="n"/>
      <c r="Z346" s="168" t="n"/>
      <c r="AA346" s="71" t="n"/>
    </row>
    <row r="347" ht="12.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66" t="n"/>
      <c r="N347" s="110" t="inlineStr">
        <is>
          <t>Итого</t>
        </is>
      </c>
      <c r="O347" s="134" t="n"/>
      <c r="P347" s="134" t="n"/>
      <c r="Q347" s="134" t="n"/>
      <c r="R347" s="134" t="n"/>
      <c r="S347" s="134" t="n"/>
      <c r="T347" s="135" t="n"/>
      <c r="U347" s="63" t="inlineStr">
        <is>
          <t>кг</t>
        </is>
      </c>
      <c r="V347" s="167">
        <f>IFERROR(SUM(V344:V345),"0")</f>
        <v/>
      </c>
      <c r="W347" s="167">
        <f>IFERROR(SUM(W344:W345),"0")</f>
        <v/>
      </c>
      <c r="X347" s="63" t="n"/>
      <c r="Y347" s="168" t="n"/>
      <c r="Z347" s="168" t="n"/>
      <c r="AA347" s="71" t="n"/>
    </row>
    <row r="348" ht="14.25" customHeight="1">
      <c r="A348" s="106" t="inlineStr">
        <is>
          <t>Копченые колбасы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06" t="n"/>
      <c r="Z348" s="106" t="n"/>
      <c r="AA348" s="71" t="n"/>
    </row>
    <row r="349" ht="27" customHeight="1">
      <c r="A349" s="49" t="inlineStr">
        <is>
          <t>SU002614</t>
        </is>
      </c>
      <c r="B349" s="49" t="inlineStr">
        <is>
          <t>P003138</t>
        </is>
      </c>
      <c r="C349" s="50" t="n">
        <v>4301031177</v>
      </c>
      <c r="D349" s="107" t="n">
        <v>4607091389753</v>
      </c>
      <c r="E349" s="128" t="n"/>
      <c r="F349" s="162" t="n">
        <v>0.7</v>
      </c>
      <c r="G349" s="52" t="n">
        <v>6</v>
      </c>
      <c r="H349" s="162" t="n">
        <v>4.2</v>
      </c>
      <c r="I349" s="162" t="n">
        <v>4.43</v>
      </c>
      <c r="J349" s="52" t="n">
        <v>156</v>
      </c>
      <c r="K349" s="52" t="inlineStr">
        <is>
          <t>12</t>
        </is>
      </c>
      <c r="L349" s="53" t="inlineStr">
        <is>
          <t>СК2</t>
        </is>
      </c>
      <c r="M349" s="52" t="n">
        <v>45</v>
      </c>
      <c r="N349" s="10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63" t="n"/>
      <c r="P349" s="163" t="n"/>
      <c r="Q349" s="163" t="n"/>
      <c r="R349" s="128" t="n"/>
      <c r="S349" s="54" t="n"/>
      <c r="T349" s="54" t="n"/>
      <c r="U349" s="55" t="inlineStr">
        <is>
          <t>кг</t>
        </is>
      </c>
      <c r="V349" s="164" t="n">
        <v>0</v>
      </c>
      <c r="W349" s="165">
        <f>IFERROR(IF(V349="",0,CEILING((V349/$H349),1)*$H349),"")</f>
        <v/>
      </c>
      <c r="X349" s="58">
        <f>IFERROR(IF(W349=0,"",ROUNDUP(W349/H349,0)*0.00753),"")</f>
        <v/>
      </c>
      <c r="Y349" s="59" t="n"/>
      <c r="Z349" s="60" t="n"/>
      <c r="AA349" s="71" t="n"/>
      <c r="AD349" s="61" t="n"/>
      <c r="BA349" s="62" t="inlineStr">
        <is>
          <t>КИ</t>
        </is>
      </c>
    </row>
    <row r="350" ht="27" customHeight="1">
      <c r="A350" s="49" t="inlineStr">
        <is>
          <t>SU002615</t>
        </is>
      </c>
      <c r="B350" s="49" t="inlineStr">
        <is>
          <t>P003136</t>
        </is>
      </c>
      <c r="C350" s="50" t="n">
        <v>4301031174</v>
      </c>
      <c r="D350" s="107" t="n">
        <v>4607091389760</v>
      </c>
      <c r="E350" s="128" t="n"/>
      <c r="F350" s="162" t="n">
        <v>0.7</v>
      </c>
      <c r="G350" s="52" t="n">
        <v>6</v>
      </c>
      <c r="H350" s="162" t="n">
        <v>4.2</v>
      </c>
      <c r="I350" s="162" t="n">
        <v>4.43</v>
      </c>
      <c r="J350" s="52" t="n">
        <v>156</v>
      </c>
      <c r="K350" s="52" t="inlineStr">
        <is>
          <t>12</t>
        </is>
      </c>
      <c r="L350" s="53" t="inlineStr">
        <is>
          <t>СК2</t>
        </is>
      </c>
      <c r="M350" s="52" t="n">
        <v>45</v>
      </c>
      <c r="N350" s="10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63" t="n"/>
      <c r="P350" s="163" t="n"/>
      <c r="Q350" s="163" t="n"/>
      <c r="R350" s="128" t="n"/>
      <c r="S350" s="54" t="n"/>
      <c r="T350" s="54" t="n"/>
      <c r="U350" s="55" t="inlineStr">
        <is>
          <t>кг</t>
        </is>
      </c>
      <c r="V350" s="164" t="n">
        <v>0</v>
      </c>
      <c r="W350" s="165">
        <f>IFERROR(IF(V350="",0,CEILING((V350/$H350),1)*$H350),"")</f>
        <v/>
      </c>
      <c r="X350" s="58">
        <f>IFERROR(IF(W350=0,"",ROUNDUP(W350/H350,0)*0.00753),"")</f>
        <v/>
      </c>
      <c r="Y350" s="59" t="n"/>
      <c r="Z350" s="60" t="n"/>
      <c r="AA350" s="71" t="n"/>
      <c r="AD350" s="61" t="n"/>
      <c r="BA350" s="62" t="inlineStr">
        <is>
          <t>КИ</t>
        </is>
      </c>
    </row>
    <row r="351" ht="27" customHeight="1">
      <c r="A351" s="49" t="inlineStr">
        <is>
          <t>SU002613</t>
        </is>
      </c>
      <c r="B351" s="49" t="inlineStr">
        <is>
          <t>P003133</t>
        </is>
      </c>
      <c r="C351" s="50" t="n">
        <v>4301031175</v>
      </c>
      <c r="D351" s="107" t="n">
        <v>4607091389746</v>
      </c>
      <c r="E351" s="128" t="n"/>
      <c r="F351" s="162" t="n">
        <v>0.7</v>
      </c>
      <c r="G351" s="52" t="n">
        <v>6</v>
      </c>
      <c r="H351" s="162" t="n">
        <v>4.2</v>
      </c>
      <c r="I351" s="162" t="n">
        <v>4.43</v>
      </c>
      <c r="J351" s="52" t="n">
        <v>156</v>
      </c>
      <c r="K351" s="52" t="inlineStr">
        <is>
          <t>12</t>
        </is>
      </c>
      <c r="L351" s="53" t="inlineStr">
        <is>
          <t>СК2</t>
        </is>
      </c>
      <c r="M351" s="52" t="n">
        <v>45</v>
      </c>
      <c r="N351" s="10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63" t="n"/>
      <c r="P351" s="163" t="n"/>
      <c r="Q351" s="163" t="n"/>
      <c r="R351" s="128" t="n"/>
      <c r="S351" s="54" t="n"/>
      <c r="T351" s="54" t="n"/>
      <c r="U351" s="55" t="inlineStr">
        <is>
          <t>кг</t>
        </is>
      </c>
      <c r="V351" s="164" t="n">
        <v>0</v>
      </c>
      <c r="W351" s="165">
        <f>IFERROR(IF(V351="",0,CEILING((V351/$H351),1)*$H351),"")</f>
        <v/>
      </c>
      <c r="X351" s="58">
        <f>IFERROR(IF(W351=0,"",ROUNDUP(W351/H351,0)*0.00753),"")</f>
        <v/>
      </c>
      <c r="Y351" s="59" t="n"/>
      <c r="Z351" s="60" t="n"/>
      <c r="AA351" s="71" t="n"/>
      <c r="AD351" s="61" t="n"/>
      <c r="BA351" s="62" t="inlineStr">
        <is>
          <t>КИ</t>
        </is>
      </c>
    </row>
    <row r="352" ht="37.5" customHeight="1">
      <c r="A352" s="49" t="inlineStr">
        <is>
          <t>SU003035</t>
        </is>
      </c>
      <c r="B352" s="49" t="inlineStr">
        <is>
          <t>P003496</t>
        </is>
      </c>
      <c r="C352" s="50" t="n">
        <v>4301031236</v>
      </c>
      <c r="D352" s="107" t="n">
        <v>4680115882928</v>
      </c>
      <c r="E352" s="128" t="n"/>
      <c r="F352" s="162" t="n">
        <v>0.28</v>
      </c>
      <c r="G352" s="52" t="n">
        <v>6</v>
      </c>
      <c r="H352" s="162" t="n">
        <v>1.68</v>
      </c>
      <c r="I352" s="162" t="n">
        <v>2.6</v>
      </c>
      <c r="J352" s="52" t="n">
        <v>156</v>
      </c>
      <c r="K352" s="52" t="inlineStr">
        <is>
          <t>12</t>
        </is>
      </c>
      <c r="L352" s="53" t="inlineStr">
        <is>
          <t>СК2</t>
        </is>
      </c>
      <c r="M352" s="52" t="n">
        <v>35</v>
      </c>
      <c r="N352" s="10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63" t="n"/>
      <c r="P352" s="163" t="n"/>
      <c r="Q352" s="163" t="n"/>
      <c r="R352" s="128" t="n"/>
      <c r="S352" s="54" t="n"/>
      <c r="T352" s="54" t="n"/>
      <c r="U352" s="55" t="inlineStr">
        <is>
          <t>кг</t>
        </is>
      </c>
      <c r="V352" s="164" t="n">
        <v>0</v>
      </c>
      <c r="W352" s="165">
        <f>IFERROR(IF(V352="",0,CEILING((V352/$H352),1)*$H352),"")</f>
        <v/>
      </c>
      <c r="X352" s="58">
        <f>IFERROR(IF(W352=0,"",ROUNDUP(W352/H352,0)*0.00753),"")</f>
        <v/>
      </c>
      <c r="Y352" s="59" t="n"/>
      <c r="Z352" s="60" t="n"/>
      <c r="AA352" s="71" t="n"/>
      <c r="AD352" s="61" t="n"/>
      <c r="BA352" s="62" t="inlineStr">
        <is>
          <t>КИ</t>
        </is>
      </c>
    </row>
    <row r="353" ht="27" customHeight="1">
      <c r="A353" s="49" t="inlineStr">
        <is>
          <t>SU003083</t>
        </is>
      </c>
      <c r="B353" s="49" t="inlineStr">
        <is>
          <t>P003646</t>
        </is>
      </c>
      <c r="C353" s="50" t="n">
        <v>4301031257</v>
      </c>
      <c r="D353" s="107" t="n">
        <v>4680115883147</v>
      </c>
      <c r="E353" s="128" t="n"/>
      <c r="F353" s="162" t="n">
        <v>0.28</v>
      </c>
      <c r="G353" s="52" t="n">
        <v>6</v>
      </c>
      <c r="H353" s="162" t="n">
        <v>1.68</v>
      </c>
      <c r="I353" s="162" t="n">
        <v>1.81</v>
      </c>
      <c r="J353" s="52" t="n">
        <v>234</v>
      </c>
      <c r="K353" s="52" t="inlineStr">
        <is>
          <t>18</t>
        </is>
      </c>
      <c r="L353" s="53" t="inlineStr">
        <is>
          <t>СК2</t>
        </is>
      </c>
      <c r="M353" s="52" t="n">
        <v>45</v>
      </c>
      <c r="N353" s="10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63" t="n"/>
      <c r="P353" s="163" t="n"/>
      <c r="Q353" s="163" t="n"/>
      <c r="R353" s="128" t="n"/>
      <c r="S353" s="54" t="n"/>
      <c r="T353" s="54" t="n"/>
      <c r="U353" s="55" t="inlineStr">
        <is>
          <t>кг</t>
        </is>
      </c>
      <c r="V353" s="164" t="n">
        <v>0</v>
      </c>
      <c r="W353" s="165">
        <f>IFERROR(IF(V353="",0,CEILING((V353/$H353),1)*$H353),"")</f>
        <v/>
      </c>
      <c r="X353" s="58">
        <f>IFERROR(IF(W353=0,"",ROUNDUP(W353/H353,0)*0.00502),"")</f>
        <v/>
      </c>
      <c r="Y353" s="59" t="n"/>
      <c r="Z353" s="60" t="n"/>
      <c r="AA353" s="71" t="n"/>
      <c r="AD353" s="61" t="n"/>
      <c r="BA353" s="62" t="inlineStr">
        <is>
          <t>КИ</t>
        </is>
      </c>
    </row>
    <row r="354" ht="27" customHeight="1">
      <c r="A354" s="49" t="inlineStr">
        <is>
          <t>SU002538</t>
        </is>
      </c>
      <c r="B354" s="49" t="inlineStr">
        <is>
          <t>P003139</t>
        </is>
      </c>
      <c r="C354" s="50" t="n">
        <v>4301031178</v>
      </c>
      <c r="D354" s="107" t="n">
        <v>4607091384338</v>
      </c>
      <c r="E354" s="128" t="n"/>
      <c r="F354" s="162" t="n">
        <v>0.35</v>
      </c>
      <c r="G354" s="52" t="n">
        <v>6</v>
      </c>
      <c r="H354" s="162" t="n">
        <v>2.1</v>
      </c>
      <c r="I354" s="162" t="n">
        <v>2.23</v>
      </c>
      <c r="J354" s="52" t="n">
        <v>234</v>
      </c>
      <c r="K354" s="52" t="inlineStr">
        <is>
          <t>18</t>
        </is>
      </c>
      <c r="L354" s="53" t="inlineStr">
        <is>
          <t>СК2</t>
        </is>
      </c>
      <c r="M354" s="52" t="n">
        <v>45</v>
      </c>
      <c r="N354" s="10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63" t="n"/>
      <c r="P354" s="163" t="n"/>
      <c r="Q354" s="163" t="n"/>
      <c r="R354" s="128" t="n"/>
      <c r="S354" s="54" t="n"/>
      <c r="T354" s="54" t="n"/>
      <c r="U354" s="55" t="inlineStr">
        <is>
          <t>кг</t>
        </is>
      </c>
      <c r="V354" s="164" t="n">
        <v>0</v>
      </c>
      <c r="W354" s="165">
        <f>IFERROR(IF(V354="",0,CEILING((V354/$H354),1)*$H354),"")</f>
        <v/>
      </c>
      <c r="X354" s="58">
        <f>IFERROR(IF(W354=0,"",ROUNDUP(W354/H354,0)*0.00502),"")</f>
        <v/>
      </c>
      <c r="Y354" s="59" t="n"/>
      <c r="Z354" s="60" t="n"/>
      <c r="AA354" s="71" t="n"/>
      <c r="AD354" s="61" t="n"/>
      <c r="BA354" s="62" t="inlineStr">
        <is>
          <t>КИ</t>
        </is>
      </c>
    </row>
    <row r="355" ht="37.5" customHeight="1">
      <c r="A355" s="49" t="inlineStr">
        <is>
          <t>SU003079</t>
        </is>
      </c>
      <c r="B355" s="49" t="inlineStr">
        <is>
          <t>P003643</t>
        </is>
      </c>
      <c r="C355" s="50" t="n">
        <v>4301031254</v>
      </c>
      <c r="D355" s="107" t="n">
        <v>4680115883154</v>
      </c>
      <c r="E355" s="128" t="n"/>
      <c r="F355" s="162" t="n">
        <v>0.28</v>
      </c>
      <c r="G355" s="52" t="n">
        <v>6</v>
      </c>
      <c r="H355" s="162" t="n">
        <v>1.68</v>
      </c>
      <c r="I355" s="162" t="n">
        <v>1.81</v>
      </c>
      <c r="J355" s="52" t="n">
        <v>234</v>
      </c>
      <c r="K355" s="52" t="inlineStr">
        <is>
          <t>18</t>
        </is>
      </c>
      <c r="L355" s="53" t="inlineStr">
        <is>
          <t>СК2</t>
        </is>
      </c>
      <c r="M355" s="52" t="n">
        <v>45</v>
      </c>
      <c r="N355" s="10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63" t="n"/>
      <c r="P355" s="163" t="n"/>
      <c r="Q355" s="163" t="n"/>
      <c r="R355" s="128" t="n"/>
      <c r="S355" s="54" t="n"/>
      <c r="T355" s="54" t="n"/>
      <c r="U355" s="55" t="inlineStr">
        <is>
          <t>кг</t>
        </is>
      </c>
      <c r="V355" s="164" t="n">
        <v>0</v>
      </c>
      <c r="W355" s="165">
        <f>IFERROR(IF(V355="",0,CEILING((V355/$H355),1)*$H355),"")</f>
        <v/>
      </c>
      <c r="X355" s="58">
        <f>IFERROR(IF(W355=0,"",ROUNDUP(W355/H355,0)*0.00502),"")</f>
        <v/>
      </c>
      <c r="Y355" s="59" t="n"/>
      <c r="Z355" s="60" t="n"/>
      <c r="AA355" s="71" t="n"/>
      <c r="AD355" s="61" t="n"/>
      <c r="BA355" s="62" t="inlineStr">
        <is>
          <t>КИ</t>
        </is>
      </c>
    </row>
    <row r="356" ht="37.5" customHeight="1">
      <c r="A356" s="49" t="inlineStr">
        <is>
          <t>SU002602</t>
        </is>
      </c>
      <c r="B356" s="49" t="inlineStr">
        <is>
          <t>P003132</t>
        </is>
      </c>
      <c r="C356" s="50" t="n">
        <v>4301031171</v>
      </c>
      <c r="D356" s="107" t="n">
        <v>4607091389524</v>
      </c>
      <c r="E356" s="128" t="n"/>
      <c r="F356" s="162" t="n">
        <v>0.35</v>
      </c>
      <c r="G356" s="52" t="n">
        <v>6</v>
      </c>
      <c r="H356" s="162" t="n">
        <v>2.1</v>
      </c>
      <c r="I356" s="162" t="n">
        <v>2.23</v>
      </c>
      <c r="J356" s="52" t="n">
        <v>234</v>
      </c>
      <c r="K356" s="52" t="inlineStr">
        <is>
          <t>18</t>
        </is>
      </c>
      <c r="L356" s="53" t="inlineStr">
        <is>
          <t>СК2</t>
        </is>
      </c>
      <c r="M356" s="52" t="n">
        <v>45</v>
      </c>
      <c r="N356" s="10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63" t="n"/>
      <c r="P356" s="163" t="n"/>
      <c r="Q356" s="163" t="n"/>
      <c r="R356" s="128" t="n"/>
      <c r="S356" s="54" t="n"/>
      <c r="T356" s="54" t="n"/>
      <c r="U356" s="55" t="inlineStr">
        <is>
          <t>кг</t>
        </is>
      </c>
      <c r="V356" s="164" t="n">
        <v>8.399999999999999</v>
      </c>
      <c r="W356" s="165">
        <f>IFERROR(IF(V356="",0,CEILING((V356/$H356),1)*$H356),"")</f>
        <v/>
      </c>
      <c r="X356" s="58">
        <f>IFERROR(IF(W356=0,"",ROUNDUP(W356/H356,0)*0.00502),"")</f>
        <v/>
      </c>
      <c r="Y356" s="59" t="n"/>
      <c r="Z356" s="60" t="n"/>
      <c r="AA356" s="71" t="n"/>
      <c r="AD356" s="61" t="n"/>
      <c r="BA356" s="62" t="inlineStr">
        <is>
          <t>КИ</t>
        </is>
      </c>
    </row>
    <row r="357" ht="27" customHeight="1">
      <c r="A357" s="49" t="inlineStr">
        <is>
          <t>SU003080</t>
        </is>
      </c>
      <c r="B357" s="49" t="inlineStr">
        <is>
          <t>P003647</t>
        </is>
      </c>
      <c r="C357" s="50" t="n">
        <v>4301031258</v>
      </c>
      <c r="D357" s="107" t="n">
        <v>4680115883161</v>
      </c>
      <c r="E357" s="128" t="n"/>
      <c r="F357" s="162" t="n">
        <v>0.28</v>
      </c>
      <c r="G357" s="52" t="n">
        <v>6</v>
      </c>
      <c r="H357" s="162" t="n">
        <v>1.68</v>
      </c>
      <c r="I357" s="162" t="n">
        <v>1.81</v>
      </c>
      <c r="J357" s="52" t="n">
        <v>234</v>
      </c>
      <c r="K357" s="52" t="inlineStr">
        <is>
          <t>18</t>
        </is>
      </c>
      <c r="L357" s="53" t="inlineStr">
        <is>
          <t>СК2</t>
        </is>
      </c>
      <c r="M357" s="52" t="n">
        <v>45</v>
      </c>
      <c r="N357" s="10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63" t="n"/>
      <c r="P357" s="163" t="n"/>
      <c r="Q357" s="163" t="n"/>
      <c r="R357" s="128" t="n"/>
      <c r="S357" s="54" t="n"/>
      <c r="T357" s="54" t="n"/>
      <c r="U357" s="55" t="inlineStr">
        <is>
          <t>кг</t>
        </is>
      </c>
      <c r="V357" s="164" t="n">
        <v>0</v>
      </c>
      <c r="W357" s="165">
        <f>IFERROR(IF(V357="",0,CEILING((V357/$H357),1)*$H357),"")</f>
        <v/>
      </c>
      <c r="X357" s="58">
        <f>IFERROR(IF(W357=0,"",ROUNDUP(W357/H357,0)*0.00502),"")</f>
        <v/>
      </c>
      <c r="Y357" s="59" t="n"/>
      <c r="Z357" s="60" t="n"/>
      <c r="AA357" s="71" t="n"/>
      <c r="AD357" s="61" t="n"/>
      <c r="BA357" s="62" t="inlineStr">
        <is>
          <t>КИ</t>
        </is>
      </c>
    </row>
    <row r="358" ht="27" customHeight="1">
      <c r="A358" s="49" t="inlineStr">
        <is>
          <t>SU002603</t>
        </is>
      </c>
      <c r="B358" s="49" t="inlineStr">
        <is>
          <t>P003131</t>
        </is>
      </c>
      <c r="C358" s="50" t="n">
        <v>4301031170</v>
      </c>
      <c r="D358" s="107" t="n">
        <v>4607091384345</v>
      </c>
      <c r="E358" s="128" t="n"/>
      <c r="F358" s="162" t="n">
        <v>0.35</v>
      </c>
      <c r="G358" s="52" t="n">
        <v>6</v>
      </c>
      <c r="H358" s="162" t="n">
        <v>2.1</v>
      </c>
      <c r="I358" s="162" t="n">
        <v>2.23</v>
      </c>
      <c r="J358" s="52" t="n">
        <v>234</v>
      </c>
      <c r="K358" s="52" t="inlineStr">
        <is>
          <t>18</t>
        </is>
      </c>
      <c r="L358" s="53" t="inlineStr">
        <is>
          <t>СК2</t>
        </is>
      </c>
      <c r="M358" s="52" t="n">
        <v>45</v>
      </c>
      <c r="N358" s="10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63" t="n"/>
      <c r="P358" s="163" t="n"/>
      <c r="Q358" s="163" t="n"/>
      <c r="R358" s="128" t="n"/>
      <c r="S358" s="54" t="n"/>
      <c r="T358" s="54" t="n"/>
      <c r="U358" s="55" t="inlineStr">
        <is>
          <t>кг</t>
        </is>
      </c>
      <c r="V358" s="164" t="n">
        <v>8.399999999999999</v>
      </c>
      <c r="W358" s="165">
        <f>IFERROR(IF(V358="",0,CEILING((V358/$H358),1)*$H358),"")</f>
        <v/>
      </c>
      <c r="X358" s="58">
        <f>IFERROR(IF(W358=0,"",ROUNDUP(W358/H358,0)*0.00502),"")</f>
        <v/>
      </c>
      <c r="Y358" s="59" t="n"/>
      <c r="Z358" s="60" t="n"/>
      <c r="AA358" s="71" t="n"/>
      <c r="AD358" s="61" t="n"/>
      <c r="BA358" s="62" t="inlineStr">
        <is>
          <t>КИ</t>
        </is>
      </c>
    </row>
    <row r="359" ht="27" customHeight="1">
      <c r="A359" s="49" t="inlineStr">
        <is>
          <t>SU003081</t>
        </is>
      </c>
      <c r="B359" s="49" t="inlineStr">
        <is>
          <t>P003645</t>
        </is>
      </c>
      <c r="C359" s="50" t="n">
        <v>4301031256</v>
      </c>
      <c r="D359" s="107" t="n">
        <v>4680115883178</v>
      </c>
      <c r="E359" s="128" t="n"/>
      <c r="F359" s="162" t="n">
        <v>0.28</v>
      </c>
      <c r="G359" s="52" t="n">
        <v>6</v>
      </c>
      <c r="H359" s="162" t="n">
        <v>1.68</v>
      </c>
      <c r="I359" s="162" t="n">
        <v>1.81</v>
      </c>
      <c r="J359" s="52" t="n">
        <v>234</v>
      </c>
      <c r="K359" s="52" t="inlineStr">
        <is>
          <t>18</t>
        </is>
      </c>
      <c r="L359" s="53" t="inlineStr">
        <is>
          <t>СК2</t>
        </is>
      </c>
      <c r="M359" s="52" t="n">
        <v>45</v>
      </c>
      <c r="N359" s="1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63" t="n"/>
      <c r="P359" s="163" t="n"/>
      <c r="Q359" s="163" t="n"/>
      <c r="R359" s="128" t="n"/>
      <c r="S359" s="54" t="n"/>
      <c r="T359" s="54" t="n"/>
      <c r="U359" s="55" t="inlineStr">
        <is>
          <t>кг</t>
        </is>
      </c>
      <c r="V359" s="164" t="n">
        <v>0</v>
      </c>
      <c r="W359" s="165">
        <f>IFERROR(IF(V359="",0,CEILING((V359/$H359),1)*$H359),"")</f>
        <v/>
      </c>
      <c r="X359" s="58">
        <f>IFERROR(IF(W359=0,"",ROUNDUP(W359/H359,0)*0.00502),"")</f>
        <v/>
      </c>
      <c r="Y359" s="59" t="n"/>
      <c r="Z359" s="60" t="n"/>
      <c r="AA359" s="71" t="n"/>
      <c r="AD359" s="61" t="n"/>
      <c r="BA359" s="62" t="inlineStr">
        <is>
          <t>КИ</t>
        </is>
      </c>
    </row>
    <row r="360" ht="27" customHeight="1">
      <c r="A360" s="49" t="inlineStr">
        <is>
          <t>SU002606</t>
        </is>
      </c>
      <c r="B360" s="49" t="inlineStr">
        <is>
          <t>P003134</t>
        </is>
      </c>
      <c r="C360" s="50" t="n">
        <v>4301031172</v>
      </c>
      <c r="D360" s="107" t="n">
        <v>4607091389531</v>
      </c>
      <c r="E360" s="128" t="n"/>
      <c r="F360" s="162" t="n">
        <v>0.35</v>
      </c>
      <c r="G360" s="52" t="n">
        <v>6</v>
      </c>
      <c r="H360" s="162" t="n">
        <v>2.1</v>
      </c>
      <c r="I360" s="162" t="n">
        <v>2.23</v>
      </c>
      <c r="J360" s="52" t="n">
        <v>234</v>
      </c>
      <c r="K360" s="52" t="inlineStr">
        <is>
          <t>18</t>
        </is>
      </c>
      <c r="L360" s="53" t="inlineStr">
        <is>
          <t>СК2</t>
        </is>
      </c>
      <c r="M360" s="52" t="n">
        <v>45</v>
      </c>
      <c r="N360" s="10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63" t="n"/>
      <c r="P360" s="163" t="n"/>
      <c r="Q360" s="163" t="n"/>
      <c r="R360" s="128" t="n"/>
      <c r="S360" s="54" t="n"/>
      <c r="T360" s="54" t="n"/>
      <c r="U360" s="55" t="inlineStr">
        <is>
          <t>кг</t>
        </is>
      </c>
      <c r="V360" s="164" t="n">
        <v>8.399999999999999</v>
      </c>
      <c r="W360" s="165">
        <f>IFERROR(IF(V360="",0,CEILING((V360/$H360),1)*$H360),"")</f>
        <v/>
      </c>
      <c r="X360" s="58">
        <f>IFERROR(IF(W360=0,"",ROUNDUP(W360/H360,0)*0.00502),"")</f>
        <v/>
      </c>
      <c r="Y360" s="59" t="n"/>
      <c r="Z360" s="60" t="n"/>
      <c r="AA360" s="71" t="n"/>
      <c r="AD360" s="61" t="n"/>
      <c r="BA360" s="62" t="inlineStr">
        <is>
          <t>КИ</t>
        </is>
      </c>
    </row>
    <row r="361" ht="27" customHeight="1">
      <c r="A361" s="49" t="inlineStr">
        <is>
          <t>SU003082</t>
        </is>
      </c>
      <c r="B361" s="49" t="inlineStr">
        <is>
          <t>P003644</t>
        </is>
      </c>
      <c r="C361" s="50" t="n">
        <v>4301031255</v>
      </c>
      <c r="D361" s="107" t="n">
        <v>4680115883185</v>
      </c>
      <c r="E361" s="128" t="n"/>
      <c r="F361" s="162" t="n">
        <v>0.28</v>
      </c>
      <c r="G361" s="52" t="n">
        <v>6</v>
      </c>
      <c r="H361" s="162" t="n">
        <v>1.68</v>
      </c>
      <c r="I361" s="162" t="n">
        <v>1.81</v>
      </c>
      <c r="J361" s="52" t="n">
        <v>234</v>
      </c>
      <c r="K361" s="52" t="inlineStr">
        <is>
          <t>18</t>
        </is>
      </c>
      <c r="L361" s="53" t="inlineStr">
        <is>
          <t>СК2</t>
        </is>
      </c>
      <c r="M361" s="52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63" t="n"/>
      <c r="P361" s="163" t="n"/>
      <c r="Q361" s="163" t="n"/>
      <c r="R361" s="128" t="n"/>
      <c r="S361" s="54" t="n"/>
      <c r="T361" s="54" t="n"/>
      <c r="U361" s="55" t="inlineStr">
        <is>
          <t>кг</t>
        </is>
      </c>
      <c r="V361" s="164" t="n">
        <v>0</v>
      </c>
      <c r="W361" s="165">
        <f>IFERROR(IF(V361="",0,CEILING((V361/$H361),1)*$H361),"")</f>
        <v/>
      </c>
      <c r="X361" s="58">
        <f>IFERROR(IF(W361=0,"",ROUNDUP(W361/H361,0)*0.00502),"")</f>
        <v/>
      </c>
      <c r="Y361" s="59" t="n"/>
      <c r="Z361" s="60" t="n"/>
      <c r="AA361" s="71" t="n"/>
      <c r="AD361" s="61" t="n"/>
      <c r="BA361" s="62" t="inlineStr">
        <is>
          <t>КИ</t>
        </is>
      </c>
    </row>
    <row r="362" ht="12.5" customHeight="1">
      <c r="A362" s="10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66" t="n"/>
      <c r="N362" s="110" t="inlineStr">
        <is>
          <t>Итого</t>
        </is>
      </c>
      <c r="O362" s="134" t="n"/>
      <c r="P362" s="134" t="n"/>
      <c r="Q362" s="134" t="n"/>
      <c r="R362" s="134" t="n"/>
      <c r="S362" s="134" t="n"/>
      <c r="T362" s="135" t="n"/>
      <c r="U362" s="63" t="inlineStr">
        <is>
          <t>кор</t>
        </is>
      </c>
      <c r="V362" s="16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16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16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168" t="n"/>
      <c r="Z362" s="168" t="n"/>
      <c r="AA362" s="71" t="n"/>
    </row>
    <row r="363" ht="12.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66" t="n"/>
      <c r="N363" s="110" t="inlineStr">
        <is>
          <t>Итого</t>
        </is>
      </c>
      <c r="O363" s="134" t="n"/>
      <c r="P363" s="134" t="n"/>
      <c r="Q363" s="134" t="n"/>
      <c r="R363" s="134" t="n"/>
      <c r="S363" s="134" t="n"/>
      <c r="T363" s="135" t="n"/>
      <c r="U363" s="63" t="inlineStr">
        <is>
          <t>кг</t>
        </is>
      </c>
      <c r="V363" s="167">
        <f>IFERROR(SUM(V349:V361),"0")</f>
        <v/>
      </c>
      <c r="W363" s="167">
        <f>IFERROR(SUM(W349:W361),"0")</f>
        <v/>
      </c>
      <c r="X363" s="63" t="n"/>
      <c r="Y363" s="168" t="n"/>
      <c r="Z363" s="168" t="n"/>
      <c r="AA363" s="71" t="n"/>
    </row>
    <row r="364" ht="14.25" customHeight="1">
      <c r="A364" s="106" t="inlineStr">
        <is>
          <t>Сосиски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06" t="n"/>
      <c r="Z364" s="106" t="n"/>
      <c r="AA364" s="71" t="n"/>
    </row>
    <row r="365" ht="27" customHeight="1">
      <c r="A365" s="49" t="inlineStr">
        <is>
          <t>SU002448</t>
        </is>
      </c>
      <c r="B365" s="49" t="inlineStr">
        <is>
          <t>P002914</t>
        </is>
      </c>
      <c r="C365" s="50" t="n">
        <v>4301051258</v>
      </c>
      <c r="D365" s="107" t="n">
        <v>4607091389685</v>
      </c>
      <c r="E365" s="128" t="n"/>
      <c r="F365" s="162" t="n">
        <v>1.3</v>
      </c>
      <c r="G365" s="52" t="n">
        <v>6</v>
      </c>
      <c r="H365" s="162" t="n">
        <v>7.8</v>
      </c>
      <c r="I365" s="162" t="n">
        <v>8.346</v>
      </c>
      <c r="J365" s="52" t="n">
        <v>56</v>
      </c>
      <c r="K365" s="52" t="inlineStr">
        <is>
          <t>8</t>
        </is>
      </c>
      <c r="L365" s="53" t="inlineStr">
        <is>
          <t>СК3</t>
        </is>
      </c>
      <c r="M365" s="52" t="n">
        <v>45</v>
      </c>
      <c r="N365" s="1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63" t="n"/>
      <c r="P365" s="163" t="n"/>
      <c r="Q365" s="163" t="n"/>
      <c r="R365" s="128" t="n"/>
      <c r="S365" s="54" t="n"/>
      <c r="T365" s="54" t="n"/>
      <c r="U365" s="55" t="inlineStr">
        <is>
          <t>кг</t>
        </is>
      </c>
      <c r="V365" s="164" t="n">
        <v>0</v>
      </c>
      <c r="W365" s="165">
        <f>IFERROR(IF(V365="",0,CEILING((V365/$H365),1)*$H365),"")</f>
        <v/>
      </c>
      <c r="X365" s="58">
        <f>IFERROR(IF(W365=0,"",ROUNDUP(W365/H365,0)*0.02175),"")</f>
        <v/>
      </c>
      <c r="Y365" s="59" t="n"/>
      <c r="Z365" s="60" t="n"/>
      <c r="AA365" s="71" t="n"/>
      <c r="AD365" s="61" t="n"/>
      <c r="BA365" s="62" t="inlineStr">
        <is>
          <t>КИ</t>
        </is>
      </c>
    </row>
    <row r="366" ht="27" customHeight="1">
      <c r="A366" s="49" t="inlineStr">
        <is>
          <t>SU002557</t>
        </is>
      </c>
      <c r="B366" s="49" t="inlineStr">
        <is>
          <t>P003318</t>
        </is>
      </c>
      <c r="C366" s="50" t="n">
        <v>4301051431</v>
      </c>
      <c r="D366" s="107" t="n">
        <v>4607091389654</v>
      </c>
      <c r="E366" s="128" t="n"/>
      <c r="F366" s="162" t="n">
        <v>0.33</v>
      </c>
      <c r="G366" s="52" t="n">
        <v>6</v>
      </c>
      <c r="H366" s="162" t="n">
        <v>1.98</v>
      </c>
      <c r="I366" s="162" t="n">
        <v>2.258</v>
      </c>
      <c r="J366" s="52" t="n">
        <v>156</v>
      </c>
      <c r="K366" s="52" t="inlineStr">
        <is>
          <t>12</t>
        </is>
      </c>
      <c r="L366" s="53" t="inlineStr">
        <is>
          <t>СК3</t>
        </is>
      </c>
      <c r="M366" s="52" t="n">
        <v>45</v>
      </c>
      <c r="N366" s="10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63" t="n"/>
      <c r="P366" s="163" t="n"/>
      <c r="Q366" s="163" t="n"/>
      <c r="R366" s="128" t="n"/>
      <c r="S366" s="54" t="n"/>
      <c r="T366" s="54" t="n"/>
      <c r="U366" s="55" t="inlineStr">
        <is>
          <t>кг</t>
        </is>
      </c>
      <c r="V366" s="164" t="n">
        <v>7.92</v>
      </c>
      <c r="W366" s="165">
        <f>IFERROR(IF(V366="",0,CEILING((V366/$H366),1)*$H366),"")</f>
        <v/>
      </c>
      <c r="X366" s="58">
        <f>IFERROR(IF(W366=0,"",ROUNDUP(W366/H366,0)*0.00753),"")</f>
        <v/>
      </c>
      <c r="Y366" s="59" t="n"/>
      <c r="Z366" s="60" t="n"/>
      <c r="AA366" s="71" t="n"/>
      <c r="AD366" s="61" t="n"/>
      <c r="BA366" s="62" t="inlineStr">
        <is>
          <t>КИ</t>
        </is>
      </c>
    </row>
    <row r="367" ht="27" customHeight="1">
      <c r="A367" s="49" t="inlineStr">
        <is>
          <t>SU002285</t>
        </is>
      </c>
      <c r="B367" s="49" t="inlineStr">
        <is>
          <t>P002969</t>
        </is>
      </c>
      <c r="C367" s="50" t="n">
        <v>4301051284</v>
      </c>
      <c r="D367" s="107" t="n">
        <v>4607091384352</v>
      </c>
      <c r="E367" s="128" t="n"/>
      <c r="F367" s="162" t="n">
        <v>0.6</v>
      </c>
      <c r="G367" s="52" t="n">
        <v>4</v>
      </c>
      <c r="H367" s="162" t="n">
        <v>2.4</v>
      </c>
      <c r="I367" s="162" t="n">
        <v>2.646</v>
      </c>
      <c r="J367" s="52" t="n">
        <v>120</v>
      </c>
      <c r="K367" s="52" t="inlineStr">
        <is>
          <t>12</t>
        </is>
      </c>
      <c r="L367" s="53" t="inlineStr">
        <is>
          <t>СК3</t>
        </is>
      </c>
      <c r="M367" s="52" t="n">
        <v>45</v>
      </c>
      <c r="N367" s="1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63" t="n"/>
      <c r="P367" s="163" t="n"/>
      <c r="Q367" s="163" t="n"/>
      <c r="R367" s="128" t="n"/>
      <c r="S367" s="54" t="n"/>
      <c r="T367" s="54" t="n"/>
      <c r="U367" s="55" t="inlineStr">
        <is>
          <t>кг</t>
        </is>
      </c>
      <c r="V367" s="164" t="n">
        <v>0</v>
      </c>
      <c r="W367" s="165">
        <f>IFERROR(IF(V367="",0,CEILING((V367/$H367),1)*$H367),"")</f>
        <v/>
      </c>
      <c r="X367" s="58">
        <f>IFERROR(IF(W367=0,"",ROUNDUP(W367/H367,0)*0.00937),"")</f>
        <v/>
      </c>
      <c r="Y367" s="59" t="n"/>
      <c r="Z367" s="60" t="n"/>
      <c r="AA367" s="71" t="n"/>
      <c r="AD367" s="61" t="n"/>
      <c r="BA367" s="62" t="inlineStr">
        <is>
          <t>КИ</t>
        </is>
      </c>
    </row>
    <row r="368" ht="27" customHeight="1">
      <c r="A368" s="49" t="inlineStr">
        <is>
          <t>SU002419</t>
        </is>
      </c>
      <c r="B368" s="49" t="inlineStr">
        <is>
          <t>P002913</t>
        </is>
      </c>
      <c r="C368" s="50" t="n">
        <v>4301051257</v>
      </c>
      <c r="D368" s="107" t="n">
        <v>4607091389661</v>
      </c>
      <c r="E368" s="128" t="n"/>
      <c r="F368" s="162" t="n">
        <v>0.55</v>
      </c>
      <c r="G368" s="52" t="n">
        <v>4</v>
      </c>
      <c r="H368" s="162" t="n">
        <v>2.2</v>
      </c>
      <c r="I368" s="162" t="n">
        <v>2.492</v>
      </c>
      <c r="J368" s="52" t="n">
        <v>120</v>
      </c>
      <c r="K368" s="52" t="inlineStr">
        <is>
          <t>12</t>
        </is>
      </c>
      <c r="L368" s="53" t="inlineStr">
        <is>
          <t>СК3</t>
        </is>
      </c>
      <c r="M368" s="52" t="n">
        <v>45</v>
      </c>
      <c r="N368" s="10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63" t="n"/>
      <c r="P368" s="163" t="n"/>
      <c r="Q368" s="163" t="n"/>
      <c r="R368" s="128" t="n"/>
      <c r="S368" s="54" t="n"/>
      <c r="T368" s="54" t="n"/>
      <c r="U368" s="55" t="inlineStr">
        <is>
          <t>кг</t>
        </is>
      </c>
      <c r="V368" s="164" t="n">
        <v>0</v>
      </c>
      <c r="W368" s="165">
        <f>IFERROR(IF(V368="",0,CEILING((V368/$H368),1)*$H368),"")</f>
        <v/>
      </c>
      <c r="X368" s="58">
        <f>IFERROR(IF(W368=0,"",ROUNDUP(W368/H368,0)*0.00937),"")</f>
        <v/>
      </c>
      <c r="Y368" s="59" t="n"/>
      <c r="Z368" s="60" t="n"/>
      <c r="AA368" s="71" t="n"/>
      <c r="AD368" s="61" t="n"/>
      <c r="BA368" s="62" t="inlineStr">
        <is>
          <t>КИ</t>
        </is>
      </c>
    </row>
    <row r="369" ht="12.5" customHeight="1">
      <c r="A369" s="109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66" t="n"/>
      <c r="N369" s="110" t="inlineStr">
        <is>
          <t>Итого</t>
        </is>
      </c>
      <c r="O369" s="134" t="n"/>
      <c r="P369" s="134" t="n"/>
      <c r="Q369" s="134" t="n"/>
      <c r="R369" s="134" t="n"/>
      <c r="S369" s="134" t="n"/>
      <c r="T369" s="135" t="n"/>
      <c r="U369" s="63" t="inlineStr">
        <is>
          <t>кор</t>
        </is>
      </c>
      <c r="V369" s="167">
        <f>IFERROR(V365/H365,"0")+IFERROR(V366/H366,"0")+IFERROR(V367/H367,"0")+IFERROR(V368/H368,"0")</f>
        <v/>
      </c>
      <c r="W369" s="167">
        <f>IFERROR(W365/H365,"0")+IFERROR(W366/H366,"0")+IFERROR(W367/H367,"0")+IFERROR(W368/H368,"0")</f>
        <v/>
      </c>
      <c r="X369" s="167">
        <f>IFERROR(IF(X365="",0,X365),"0")+IFERROR(IF(X366="",0,X366),"0")+IFERROR(IF(X367="",0,X367),"0")+IFERROR(IF(X368="",0,X368),"0")</f>
        <v/>
      </c>
      <c r="Y369" s="168" t="n"/>
      <c r="Z369" s="168" t="n"/>
      <c r="AA369" s="71" t="n"/>
    </row>
    <row r="370" ht="12.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66" t="n"/>
      <c r="N370" s="110" t="inlineStr">
        <is>
          <t>Итого</t>
        </is>
      </c>
      <c r="O370" s="134" t="n"/>
      <c r="P370" s="134" t="n"/>
      <c r="Q370" s="134" t="n"/>
      <c r="R370" s="134" t="n"/>
      <c r="S370" s="134" t="n"/>
      <c r="T370" s="135" t="n"/>
      <c r="U370" s="63" t="inlineStr">
        <is>
          <t>кг</t>
        </is>
      </c>
      <c r="V370" s="167">
        <f>IFERROR(SUM(V365:V368),"0")</f>
        <v/>
      </c>
      <c r="W370" s="167">
        <f>IFERROR(SUM(W365:W368),"0")</f>
        <v/>
      </c>
      <c r="X370" s="63" t="n"/>
      <c r="Y370" s="168" t="n"/>
      <c r="Z370" s="168" t="n"/>
      <c r="AA370" s="71" t="n"/>
    </row>
    <row r="371" ht="14.25" customHeight="1">
      <c r="A371" s="106" t="inlineStr">
        <is>
          <t>Сардельки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06" t="n"/>
      <c r="Z371" s="106" t="n"/>
      <c r="AA371" s="71" t="n"/>
    </row>
    <row r="372" ht="27" customHeight="1">
      <c r="A372" s="49" t="inlineStr">
        <is>
          <t>SU002846</t>
        </is>
      </c>
      <c r="B372" s="49" t="inlineStr">
        <is>
          <t>P003254</t>
        </is>
      </c>
      <c r="C372" s="50" t="n">
        <v>4301060352</v>
      </c>
      <c r="D372" s="107" t="n">
        <v>4680115881648</v>
      </c>
      <c r="E372" s="128" t="n"/>
      <c r="F372" s="162" t="n">
        <v>1</v>
      </c>
      <c r="G372" s="52" t="n">
        <v>4</v>
      </c>
      <c r="H372" s="162" t="n">
        <v>4</v>
      </c>
      <c r="I372" s="162" t="n">
        <v>4.404</v>
      </c>
      <c r="J372" s="52" t="n">
        <v>104</v>
      </c>
      <c r="K372" s="52" t="inlineStr">
        <is>
          <t>8</t>
        </is>
      </c>
      <c r="L372" s="53" t="inlineStr">
        <is>
          <t>СК2</t>
        </is>
      </c>
      <c r="M372" s="52" t="n">
        <v>35</v>
      </c>
      <c r="N372" s="1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63" t="n"/>
      <c r="P372" s="163" t="n"/>
      <c r="Q372" s="163" t="n"/>
      <c r="R372" s="128" t="n"/>
      <c r="S372" s="54" t="n"/>
      <c r="T372" s="54" t="n"/>
      <c r="U372" s="55" t="inlineStr">
        <is>
          <t>кг</t>
        </is>
      </c>
      <c r="V372" s="164" t="n">
        <v>0</v>
      </c>
      <c r="W372" s="165">
        <f>IFERROR(IF(V372="",0,CEILING((V372/$H372),1)*$H372),"")</f>
        <v/>
      </c>
      <c r="X372" s="58">
        <f>IFERROR(IF(W372=0,"",ROUNDUP(W372/H372,0)*0.01196),"")</f>
        <v/>
      </c>
      <c r="Y372" s="59" t="n"/>
      <c r="Z372" s="60" t="n"/>
      <c r="AA372" s="71" t="n"/>
      <c r="AD372" s="61" t="n"/>
      <c r="BA372" s="62" t="inlineStr">
        <is>
          <t>КИ</t>
        </is>
      </c>
    </row>
    <row r="373" ht="12.5" customHeight="1">
      <c r="A373" s="109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66" t="n"/>
      <c r="N373" s="110" t="inlineStr">
        <is>
          <t>Итого</t>
        </is>
      </c>
      <c r="O373" s="134" t="n"/>
      <c r="P373" s="134" t="n"/>
      <c r="Q373" s="134" t="n"/>
      <c r="R373" s="134" t="n"/>
      <c r="S373" s="134" t="n"/>
      <c r="T373" s="135" t="n"/>
      <c r="U373" s="63" t="inlineStr">
        <is>
          <t>кор</t>
        </is>
      </c>
      <c r="V373" s="167">
        <f>IFERROR(V372/H372,"0")</f>
        <v/>
      </c>
      <c r="W373" s="167">
        <f>IFERROR(W372/H372,"0")</f>
        <v/>
      </c>
      <c r="X373" s="167">
        <f>IFERROR(IF(X372="",0,X372),"0")</f>
        <v/>
      </c>
      <c r="Y373" s="168" t="n"/>
      <c r="Z373" s="168" t="n"/>
      <c r="AA373" s="71" t="n"/>
    </row>
    <row r="374" ht="12.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66" t="n"/>
      <c r="N374" s="110" t="inlineStr">
        <is>
          <t>Итого</t>
        </is>
      </c>
      <c r="O374" s="134" t="n"/>
      <c r="P374" s="134" t="n"/>
      <c r="Q374" s="134" t="n"/>
      <c r="R374" s="134" t="n"/>
      <c r="S374" s="134" t="n"/>
      <c r="T374" s="135" t="n"/>
      <c r="U374" s="63" t="inlineStr">
        <is>
          <t>кг</t>
        </is>
      </c>
      <c r="V374" s="167">
        <f>IFERROR(SUM(V372:V372),"0")</f>
        <v/>
      </c>
      <c r="W374" s="167">
        <f>IFERROR(SUM(W372:W372),"0")</f>
        <v/>
      </c>
      <c r="X374" s="63" t="n"/>
      <c r="Y374" s="168" t="n"/>
      <c r="Z374" s="168" t="n"/>
      <c r="AA374" s="71" t="n"/>
    </row>
    <row r="375" ht="14.25" customHeight="1">
      <c r="A375" s="106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06" t="n"/>
      <c r="Z375" s="106" t="n"/>
      <c r="AA375" s="71" t="n"/>
    </row>
    <row r="376" ht="27" customHeight="1">
      <c r="A376" s="49" t="inlineStr">
        <is>
          <t>SU003060</t>
        </is>
      </c>
      <c r="B376" s="49" t="inlineStr">
        <is>
          <t>P003624</t>
        </is>
      </c>
      <c r="C376" s="50" t="n">
        <v>4301170009</v>
      </c>
      <c r="D376" s="107" t="n">
        <v>4680115882997</v>
      </c>
      <c r="E376" s="128" t="n"/>
      <c r="F376" s="162" t="n">
        <v>0.13</v>
      </c>
      <c r="G376" s="52" t="n">
        <v>10</v>
      </c>
      <c r="H376" s="162" t="n">
        <v>1.3</v>
      </c>
      <c r="I376" s="162" t="n">
        <v>1.46</v>
      </c>
      <c r="J376" s="52" t="n">
        <v>200</v>
      </c>
      <c r="K376" s="52" t="inlineStr">
        <is>
          <t>10</t>
        </is>
      </c>
      <c r="L376" s="53" t="inlineStr">
        <is>
          <t>ДК</t>
        </is>
      </c>
      <c r="M376" s="52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63" t="n"/>
      <c r="P376" s="163" t="n"/>
      <c r="Q376" s="163" t="n"/>
      <c r="R376" s="128" t="n"/>
      <c r="S376" s="54" t="n"/>
      <c r="T376" s="54" t="n"/>
      <c r="U376" s="55" t="inlineStr">
        <is>
          <t>кг</t>
        </is>
      </c>
      <c r="V376" s="164" t="n">
        <v>0</v>
      </c>
      <c r="W376" s="165">
        <f>IFERROR(IF(V376="",0,CEILING((V376/$H376),1)*$H376),"")</f>
        <v/>
      </c>
      <c r="X376" s="58">
        <f>IFERROR(IF(W376=0,"",ROUNDUP(W376/H376,0)*0.00673),"")</f>
        <v/>
      </c>
      <c r="Y376" s="59" t="n"/>
      <c r="Z376" s="60" t="n"/>
      <c r="AA376" s="71" t="n"/>
      <c r="AD376" s="61" t="n"/>
      <c r="BA376" s="62" t="inlineStr">
        <is>
          <t>КИ</t>
        </is>
      </c>
    </row>
    <row r="377" ht="12.5" customHeight="1">
      <c r="A377" s="10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66" t="n"/>
      <c r="N377" s="110" t="inlineStr">
        <is>
          <t>Итого</t>
        </is>
      </c>
      <c r="O377" s="134" t="n"/>
      <c r="P377" s="134" t="n"/>
      <c r="Q377" s="134" t="n"/>
      <c r="R377" s="134" t="n"/>
      <c r="S377" s="134" t="n"/>
      <c r="T377" s="135" t="n"/>
      <c r="U377" s="63" t="inlineStr">
        <is>
          <t>кор</t>
        </is>
      </c>
      <c r="V377" s="167">
        <f>IFERROR(V376/H376,"0")</f>
        <v/>
      </c>
      <c r="W377" s="167">
        <f>IFERROR(W376/H376,"0")</f>
        <v/>
      </c>
      <c r="X377" s="167">
        <f>IFERROR(IF(X376="",0,X376),"0")</f>
        <v/>
      </c>
      <c r="Y377" s="168" t="n"/>
      <c r="Z377" s="168" t="n"/>
      <c r="AA377" s="71" t="n"/>
    </row>
    <row r="378" ht="12.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66" t="n"/>
      <c r="N378" s="110" t="inlineStr">
        <is>
          <t>Итого</t>
        </is>
      </c>
      <c r="O378" s="134" t="n"/>
      <c r="P378" s="134" t="n"/>
      <c r="Q378" s="134" t="n"/>
      <c r="R378" s="134" t="n"/>
      <c r="S378" s="134" t="n"/>
      <c r="T378" s="135" t="n"/>
      <c r="U378" s="63" t="inlineStr">
        <is>
          <t>кг</t>
        </is>
      </c>
      <c r="V378" s="167">
        <f>IFERROR(SUM(V376:V376),"0")</f>
        <v/>
      </c>
      <c r="W378" s="167">
        <f>IFERROR(SUM(W376:W376),"0")</f>
        <v/>
      </c>
      <c r="X378" s="63" t="n"/>
      <c r="Y378" s="168" t="n"/>
      <c r="Z378" s="168" t="n"/>
      <c r="AA378" s="71" t="n"/>
    </row>
    <row r="379" ht="16.5" customHeight="1">
      <c r="A379" s="105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05" t="n"/>
      <c r="Z379" s="105" t="n"/>
      <c r="AA379" s="71" t="n"/>
    </row>
    <row r="380" ht="14.25" customHeight="1">
      <c r="A380" s="106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06" t="n"/>
      <c r="Z380" s="106" t="n"/>
      <c r="AA380" s="71" t="n"/>
    </row>
    <row r="381" ht="27" customHeight="1">
      <c r="A381" s="49" t="inlineStr">
        <is>
          <t>SU002542</t>
        </is>
      </c>
      <c r="B381" s="49" t="inlineStr">
        <is>
          <t>P002847</t>
        </is>
      </c>
      <c r="C381" s="50" t="n">
        <v>4301020196</v>
      </c>
      <c r="D381" s="107" t="n">
        <v>4607091389388</v>
      </c>
      <c r="E381" s="128" t="n"/>
      <c r="F381" s="162" t="n">
        <v>1.3</v>
      </c>
      <c r="G381" s="52" t="n">
        <v>4</v>
      </c>
      <c r="H381" s="162" t="n">
        <v>5.2</v>
      </c>
      <c r="I381" s="162" t="n">
        <v>5.608</v>
      </c>
      <c r="J381" s="52" t="n">
        <v>104</v>
      </c>
      <c r="K381" s="52" t="inlineStr">
        <is>
          <t>8</t>
        </is>
      </c>
      <c r="L381" s="53" t="inlineStr">
        <is>
          <t>СК3</t>
        </is>
      </c>
      <c r="M381" s="52" t="n">
        <v>35</v>
      </c>
      <c r="N381" s="1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63" t="n"/>
      <c r="P381" s="163" t="n"/>
      <c r="Q381" s="163" t="n"/>
      <c r="R381" s="128" t="n"/>
      <c r="S381" s="54" t="n"/>
      <c r="T381" s="54" t="n"/>
      <c r="U381" s="55" t="inlineStr">
        <is>
          <t>кг</t>
        </is>
      </c>
      <c r="V381" s="164" t="n">
        <v>0</v>
      </c>
      <c r="W381" s="165">
        <f>IFERROR(IF(V381="",0,CEILING((V381/$H381),1)*$H381),"")</f>
        <v/>
      </c>
      <c r="X381" s="58">
        <f>IFERROR(IF(W381=0,"",ROUNDUP(W381/H381,0)*0.01196),"")</f>
        <v/>
      </c>
      <c r="Y381" s="59" t="n"/>
      <c r="Z381" s="60" t="n"/>
      <c r="AA381" s="71" t="n"/>
      <c r="AD381" s="61" t="n"/>
      <c r="BA381" s="62" t="inlineStr">
        <is>
          <t>КИ</t>
        </is>
      </c>
    </row>
    <row r="382" ht="27" customHeight="1">
      <c r="A382" s="49" t="inlineStr">
        <is>
          <t>SU002319</t>
        </is>
      </c>
      <c r="B382" s="49" t="inlineStr">
        <is>
          <t>P002597</t>
        </is>
      </c>
      <c r="C382" s="50" t="n">
        <v>4301020185</v>
      </c>
      <c r="D382" s="107" t="n">
        <v>4607091389364</v>
      </c>
      <c r="E382" s="128" t="n"/>
      <c r="F382" s="162" t="n">
        <v>0.42</v>
      </c>
      <c r="G382" s="52" t="n">
        <v>6</v>
      </c>
      <c r="H382" s="162" t="n">
        <v>2.52</v>
      </c>
      <c r="I382" s="162" t="n">
        <v>2.75</v>
      </c>
      <c r="J382" s="52" t="n">
        <v>156</v>
      </c>
      <c r="K382" s="52" t="inlineStr">
        <is>
          <t>12</t>
        </is>
      </c>
      <c r="L382" s="53" t="inlineStr">
        <is>
          <t>СК3</t>
        </is>
      </c>
      <c r="M382" s="52" t="n">
        <v>35</v>
      </c>
      <c r="N382" s="10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63" t="n"/>
      <c r="P382" s="163" t="n"/>
      <c r="Q382" s="163" t="n"/>
      <c r="R382" s="128" t="n"/>
      <c r="S382" s="54" t="n"/>
      <c r="T382" s="54" t="n"/>
      <c r="U382" s="55" t="inlineStr">
        <is>
          <t>кг</t>
        </is>
      </c>
      <c r="V382" s="164" t="n">
        <v>0</v>
      </c>
      <c r="W382" s="165">
        <f>IFERROR(IF(V382="",0,CEILING((V382/$H382),1)*$H382),"")</f>
        <v/>
      </c>
      <c r="X382" s="58">
        <f>IFERROR(IF(W382=0,"",ROUNDUP(W382/H382,0)*0.00753),"")</f>
        <v/>
      </c>
      <c r="Y382" s="59" t="n"/>
      <c r="Z382" s="60" t="n"/>
      <c r="AA382" s="71" t="n"/>
      <c r="AD382" s="61" t="n"/>
      <c r="BA382" s="62" t="inlineStr">
        <is>
          <t>КИ</t>
        </is>
      </c>
    </row>
    <row r="383" ht="12.5" customHeight="1">
      <c r="A383" s="109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66" t="n"/>
      <c r="N383" s="110" t="inlineStr">
        <is>
          <t>Итого</t>
        </is>
      </c>
      <c r="O383" s="134" t="n"/>
      <c r="P383" s="134" t="n"/>
      <c r="Q383" s="134" t="n"/>
      <c r="R383" s="134" t="n"/>
      <c r="S383" s="134" t="n"/>
      <c r="T383" s="135" t="n"/>
      <c r="U383" s="63" t="inlineStr">
        <is>
          <t>кор</t>
        </is>
      </c>
      <c r="V383" s="167">
        <f>IFERROR(V381/H381,"0")+IFERROR(V382/H382,"0")</f>
        <v/>
      </c>
      <c r="W383" s="167">
        <f>IFERROR(W381/H381,"0")+IFERROR(W382/H382,"0")</f>
        <v/>
      </c>
      <c r="X383" s="167">
        <f>IFERROR(IF(X381="",0,X381),"0")+IFERROR(IF(X382="",0,X382),"0")</f>
        <v/>
      </c>
      <c r="Y383" s="168" t="n"/>
      <c r="Z383" s="168" t="n"/>
      <c r="AA383" s="71" t="n"/>
    </row>
    <row r="384" ht="12.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66" t="n"/>
      <c r="N384" s="110" t="inlineStr">
        <is>
          <t>Итого</t>
        </is>
      </c>
      <c r="O384" s="134" t="n"/>
      <c r="P384" s="134" t="n"/>
      <c r="Q384" s="134" t="n"/>
      <c r="R384" s="134" t="n"/>
      <c r="S384" s="134" t="n"/>
      <c r="T384" s="135" t="n"/>
      <c r="U384" s="63" t="inlineStr">
        <is>
          <t>кг</t>
        </is>
      </c>
      <c r="V384" s="167">
        <f>IFERROR(SUM(V381:V382),"0")</f>
        <v/>
      </c>
      <c r="W384" s="167">
        <f>IFERROR(SUM(W381:W382),"0")</f>
        <v/>
      </c>
      <c r="X384" s="63" t="n"/>
      <c r="Y384" s="168" t="n"/>
      <c r="Z384" s="168" t="n"/>
      <c r="AA384" s="71" t="n"/>
    </row>
    <row r="385" ht="14.25" customHeight="1">
      <c r="A385" s="106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06" t="n"/>
      <c r="Z385" s="106" t="n"/>
      <c r="AA385" s="71" t="n"/>
    </row>
    <row r="386" ht="27" customHeight="1">
      <c r="A386" s="49" t="inlineStr">
        <is>
          <t>SU002612</t>
        </is>
      </c>
      <c r="B386" s="49" t="inlineStr">
        <is>
          <t>P003140</t>
        </is>
      </c>
      <c r="C386" s="50" t="n">
        <v>4301031212</v>
      </c>
      <c r="D386" s="107" t="n">
        <v>4607091389739</v>
      </c>
      <c r="E386" s="128" t="n"/>
      <c r="F386" s="162" t="n">
        <v>0.7</v>
      </c>
      <c r="G386" s="52" t="n">
        <v>6</v>
      </c>
      <c r="H386" s="162" t="n">
        <v>4.2</v>
      </c>
      <c r="I386" s="162" t="n">
        <v>4.43</v>
      </c>
      <c r="J386" s="52" t="n">
        <v>156</v>
      </c>
      <c r="K386" s="52" t="inlineStr">
        <is>
          <t>12</t>
        </is>
      </c>
      <c r="L386" s="53" t="inlineStr">
        <is>
          <t>СК1</t>
        </is>
      </c>
      <c r="M386" s="52" t="n">
        <v>45</v>
      </c>
      <c r="N386" s="1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63" t="n"/>
      <c r="P386" s="163" t="n"/>
      <c r="Q386" s="163" t="n"/>
      <c r="R386" s="128" t="n"/>
      <c r="S386" s="54" t="n"/>
      <c r="T386" s="54" t="n"/>
      <c r="U386" s="55" t="inlineStr">
        <is>
          <t>кг</t>
        </is>
      </c>
      <c r="V386" s="164" t="n">
        <v>0</v>
      </c>
      <c r="W386" s="165">
        <f>IFERROR(IF(V386="",0,CEILING((V386/$H386),1)*$H386),"")</f>
        <v/>
      </c>
      <c r="X386" s="58">
        <f>IFERROR(IF(W386=0,"",ROUNDUP(W386/H386,0)*0.00753),"")</f>
        <v/>
      </c>
      <c r="Y386" s="59" t="n"/>
      <c r="Z386" s="60" t="n"/>
      <c r="AA386" s="71" t="n"/>
      <c r="AD386" s="61" t="n"/>
      <c r="BA386" s="62" t="inlineStr">
        <is>
          <t>КИ</t>
        </is>
      </c>
    </row>
    <row r="387" ht="27" customHeight="1">
      <c r="A387" s="49" t="inlineStr">
        <is>
          <t>SU003071</t>
        </is>
      </c>
      <c r="B387" s="49" t="inlineStr">
        <is>
          <t>P003612</t>
        </is>
      </c>
      <c r="C387" s="50" t="n">
        <v>4301031247</v>
      </c>
      <c r="D387" s="107" t="n">
        <v>4680115883048</v>
      </c>
      <c r="E387" s="128" t="n"/>
      <c r="F387" s="162" t="n">
        <v>1</v>
      </c>
      <c r="G387" s="52" t="n">
        <v>4</v>
      </c>
      <c r="H387" s="162" t="n">
        <v>4</v>
      </c>
      <c r="I387" s="162" t="n">
        <v>4.21</v>
      </c>
      <c r="J387" s="52" t="n">
        <v>120</v>
      </c>
      <c r="K387" s="52" t="inlineStr">
        <is>
          <t>12</t>
        </is>
      </c>
      <c r="L387" s="53" t="inlineStr">
        <is>
          <t>СК2</t>
        </is>
      </c>
      <c r="M387" s="52" t="n">
        <v>40</v>
      </c>
      <c r="N387" s="1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63" t="n"/>
      <c r="P387" s="163" t="n"/>
      <c r="Q387" s="163" t="n"/>
      <c r="R387" s="128" t="n"/>
      <c r="S387" s="54" t="n"/>
      <c r="T387" s="54" t="n"/>
      <c r="U387" s="55" t="inlineStr">
        <is>
          <t>кг</t>
        </is>
      </c>
      <c r="V387" s="164" t="n">
        <v>0</v>
      </c>
      <c r="W387" s="165">
        <f>IFERROR(IF(V387="",0,CEILING((V387/$H387),1)*$H387),"")</f>
        <v/>
      </c>
      <c r="X387" s="58">
        <f>IFERROR(IF(W387=0,"",ROUNDUP(W387/H387,0)*0.00937),"")</f>
        <v/>
      </c>
      <c r="Y387" s="59" t="n"/>
      <c r="Z387" s="60" t="n"/>
      <c r="AA387" s="71" t="n"/>
      <c r="AD387" s="61" t="n"/>
      <c r="BA387" s="62" t="inlineStr">
        <is>
          <t>КИ</t>
        </is>
      </c>
    </row>
    <row r="388" ht="27" customHeight="1">
      <c r="A388" s="49" t="inlineStr">
        <is>
          <t>SU002545</t>
        </is>
      </c>
      <c r="B388" s="49" t="inlineStr">
        <is>
          <t>P003137</t>
        </is>
      </c>
      <c r="C388" s="50" t="n">
        <v>4301031176</v>
      </c>
      <c r="D388" s="107" t="n">
        <v>4607091389425</v>
      </c>
      <c r="E388" s="128" t="n"/>
      <c r="F388" s="162" t="n">
        <v>0.35</v>
      </c>
      <c r="G388" s="52" t="n">
        <v>6</v>
      </c>
      <c r="H388" s="162" t="n">
        <v>2.1</v>
      </c>
      <c r="I388" s="162" t="n">
        <v>2.23</v>
      </c>
      <c r="J388" s="52" t="n">
        <v>234</v>
      </c>
      <c r="K388" s="52" t="inlineStr">
        <is>
          <t>18</t>
        </is>
      </c>
      <c r="L388" s="53" t="inlineStr">
        <is>
          <t>СК2</t>
        </is>
      </c>
      <c r="M388" s="52" t="n">
        <v>45</v>
      </c>
      <c r="N388" s="10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63" t="n"/>
      <c r="P388" s="163" t="n"/>
      <c r="Q388" s="163" t="n"/>
      <c r="R388" s="128" t="n"/>
      <c r="S388" s="54" t="n"/>
      <c r="T388" s="54" t="n"/>
      <c r="U388" s="55" t="inlineStr">
        <is>
          <t>кг</t>
        </is>
      </c>
      <c r="V388" s="164" t="n">
        <v>0</v>
      </c>
      <c r="W388" s="165">
        <f>IFERROR(IF(V388="",0,CEILING((V388/$H388),1)*$H388),"")</f>
        <v/>
      </c>
      <c r="X388" s="58">
        <f>IFERROR(IF(W388=0,"",ROUNDUP(W388/H388,0)*0.00502),"")</f>
        <v/>
      </c>
      <c r="Y388" s="59" t="n"/>
      <c r="Z388" s="60" t="n"/>
      <c r="AA388" s="71" t="n"/>
      <c r="AD388" s="61" t="n"/>
      <c r="BA388" s="62" t="inlineStr">
        <is>
          <t>КИ</t>
        </is>
      </c>
    </row>
    <row r="389" ht="27" customHeight="1">
      <c r="A389" s="49" t="inlineStr">
        <is>
          <t>SU002917</t>
        </is>
      </c>
      <c r="B389" s="49" t="inlineStr">
        <is>
          <t>P003343</t>
        </is>
      </c>
      <c r="C389" s="50" t="n">
        <v>4301031215</v>
      </c>
      <c r="D389" s="107" t="n">
        <v>4680115882911</v>
      </c>
      <c r="E389" s="128" t="n"/>
      <c r="F389" s="162" t="n">
        <v>0.4</v>
      </c>
      <c r="G389" s="52" t="n">
        <v>6</v>
      </c>
      <c r="H389" s="162" t="n">
        <v>2.4</v>
      </c>
      <c r="I389" s="162" t="n">
        <v>2.53</v>
      </c>
      <c r="J389" s="52" t="n">
        <v>234</v>
      </c>
      <c r="K389" s="52" t="inlineStr">
        <is>
          <t>18</t>
        </is>
      </c>
      <c r="L389" s="53" t="inlineStr">
        <is>
          <t>СК2</t>
        </is>
      </c>
      <c r="M389" s="52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63" t="n"/>
      <c r="P389" s="163" t="n"/>
      <c r="Q389" s="163" t="n"/>
      <c r="R389" s="128" t="n"/>
      <c r="S389" s="54" t="n"/>
      <c r="T389" s="54" t="n"/>
      <c r="U389" s="55" t="inlineStr">
        <is>
          <t>кг</t>
        </is>
      </c>
      <c r="V389" s="164" t="n">
        <v>0</v>
      </c>
      <c r="W389" s="165">
        <f>IFERROR(IF(V389="",0,CEILING((V389/$H389),1)*$H389),"")</f>
        <v/>
      </c>
      <c r="X389" s="58">
        <f>IFERROR(IF(W389=0,"",ROUNDUP(W389/H389,0)*0.00502),"")</f>
        <v/>
      </c>
      <c r="Y389" s="59" t="n"/>
      <c r="Z389" s="60" t="n"/>
      <c r="AA389" s="71" t="n"/>
      <c r="AD389" s="61" t="n"/>
      <c r="BA389" s="62" t="inlineStr">
        <is>
          <t>КИ</t>
        </is>
      </c>
    </row>
    <row r="390" ht="27" customHeight="1">
      <c r="A390" s="49" t="inlineStr">
        <is>
          <t>SU002726</t>
        </is>
      </c>
      <c r="B390" s="49" t="inlineStr">
        <is>
          <t>P003095</t>
        </is>
      </c>
      <c r="C390" s="50" t="n">
        <v>4301031167</v>
      </c>
      <c r="D390" s="107" t="n">
        <v>4680115880771</v>
      </c>
      <c r="E390" s="128" t="n"/>
      <c r="F390" s="162" t="n">
        <v>0.28</v>
      </c>
      <c r="G390" s="52" t="n">
        <v>6</v>
      </c>
      <c r="H390" s="162" t="n">
        <v>1.68</v>
      </c>
      <c r="I390" s="162" t="n">
        <v>1.81</v>
      </c>
      <c r="J390" s="52" t="n">
        <v>234</v>
      </c>
      <c r="K390" s="52" t="inlineStr">
        <is>
          <t>18</t>
        </is>
      </c>
      <c r="L390" s="53" t="inlineStr">
        <is>
          <t>СК2</t>
        </is>
      </c>
      <c r="M390" s="52" t="n">
        <v>45</v>
      </c>
      <c r="N390" s="10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63" t="n"/>
      <c r="P390" s="163" t="n"/>
      <c r="Q390" s="163" t="n"/>
      <c r="R390" s="128" t="n"/>
      <c r="S390" s="54" t="n"/>
      <c r="T390" s="54" t="n"/>
      <c r="U390" s="55" t="inlineStr">
        <is>
          <t>кг</t>
        </is>
      </c>
      <c r="V390" s="164" t="n">
        <v>0</v>
      </c>
      <c r="W390" s="165">
        <f>IFERROR(IF(V390="",0,CEILING((V390/$H390),1)*$H390),"")</f>
        <v/>
      </c>
      <c r="X390" s="58">
        <f>IFERROR(IF(W390=0,"",ROUNDUP(W390/H390,0)*0.00502),"")</f>
        <v/>
      </c>
      <c r="Y390" s="59" t="n"/>
      <c r="Z390" s="60" t="n"/>
      <c r="AA390" s="71" t="n"/>
      <c r="AD390" s="61" t="n"/>
      <c r="BA390" s="62" t="inlineStr">
        <is>
          <t>КИ</t>
        </is>
      </c>
    </row>
    <row r="391" ht="27" customHeight="1">
      <c r="A391" s="49" t="inlineStr">
        <is>
          <t>SU002604</t>
        </is>
      </c>
      <c r="B391" s="49" t="inlineStr">
        <is>
          <t>P003135</t>
        </is>
      </c>
      <c r="C391" s="50" t="n">
        <v>4301031173</v>
      </c>
      <c r="D391" s="107" t="n">
        <v>4607091389500</v>
      </c>
      <c r="E391" s="128" t="n"/>
      <c r="F391" s="162" t="n">
        <v>0.35</v>
      </c>
      <c r="G391" s="52" t="n">
        <v>6</v>
      </c>
      <c r="H391" s="162" t="n">
        <v>2.1</v>
      </c>
      <c r="I391" s="162" t="n">
        <v>2.23</v>
      </c>
      <c r="J391" s="52" t="n">
        <v>234</v>
      </c>
      <c r="K391" s="52" t="inlineStr">
        <is>
          <t>18</t>
        </is>
      </c>
      <c r="L391" s="53" t="inlineStr">
        <is>
          <t>СК2</t>
        </is>
      </c>
      <c r="M391" s="52" t="n">
        <v>45</v>
      </c>
      <c r="N391" s="1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63" t="n"/>
      <c r="P391" s="163" t="n"/>
      <c r="Q391" s="163" t="n"/>
      <c r="R391" s="128" t="n"/>
      <c r="S391" s="54" t="n"/>
      <c r="T391" s="54" t="n"/>
      <c r="U391" s="55" t="inlineStr">
        <is>
          <t>кг</t>
        </is>
      </c>
      <c r="V391" s="164" t="n">
        <v>0</v>
      </c>
      <c r="W391" s="165">
        <f>IFERROR(IF(V391="",0,CEILING((V391/$H391),1)*$H391),"")</f>
        <v/>
      </c>
      <c r="X391" s="58">
        <f>IFERROR(IF(W391=0,"",ROUNDUP(W391/H391,0)*0.00502),"")</f>
        <v/>
      </c>
      <c r="Y391" s="59" t="n"/>
      <c r="Z391" s="60" t="n"/>
      <c r="AA391" s="71" t="n"/>
      <c r="AD391" s="61" t="n"/>
      <c r="BA391" s="62" t="inlineStr">
        <is>
          <t>КИ</t>
        </is>
      </c>
    </row>
    <row r="392" ht="27" customHeight="1">
      <c r="A392" s="49" t="inlineStr">
        <is>
          <t>SU002358</t>
        </is>
      </c>
      <c r="B392" s="49" t="inlineStr">
        <is>
          <t>P002642</t>
        </is>
      </c>
      <c r="C392" s="50" t="n">
        <v>4301031103</v>
      </c>
      <c r="D392" s="107" t="n">
        <v>4680115881983</v>
      </c>
      <c r="E392" s="128" t="n"/>
      <c r="F392" s="162" t="n">
        <v>0.28</v>
      </c>
      <c r="G392" s="52" t="n">
        <v>4</v>
      </c>
      <c r="H392" s="162" t="n">
        <v>1.12</v>
      </c>
      <c r="I392" s="162" t="n">
        <v>1.252</v>
      </c>
      <c r="J392" s="52" t="n">
        <v>234</v>
      </c>
      <c r="K392" s="52" t="inlineStr">
        <is>
          <t>18</t>
        </is>
      </c>
      <c r="L392" s="53" t="inlineStr">
        <is>
          <t>СК2</t>
        </is>
      </c>
      <c r="M392" s="52" t="n">
        <v>40</v>
      </c>
      <c r="N392" s="1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63" t="n"/>
      <c r="P392" s="163" t="n"/>
      <c r="Q392" s="163" t="n"/>
      <c r="R392" s="128" t="n"/>
      <c r="S392" s="54" t="n"/>
      <c r="T392" s="54" t="n"/>
      <c r="U392" s="55" t="inlineStr">
        <is>
          <t>кг</t>
        </is>
      </c>
      <c r="V392" s="164" t="n">
        <v>0</v>
      </c>
      <c r="W392" s="165">
        <f>IFERROR(IF(V392="",0,CEILING((V392/$H392),1)*$H392),"")</f>
        <v/>
      </c>
      <c r="X392" s="58">
        <f>IFERROR(IF(W392=0,"",ROUNDUP(W392/H392,0)*0.00502),"")</f>
        <v/>
      </c>
      <c r="Y392" s="59" t="n"/>
      <c r="Z392" s="60" t="n"/>
      <c r="AA392" s="71" t="n"/>
      <c r="AD392" s="61" t="n"/>
      <c r="BA392" s="62" t="inlineStr">
        <is>
          <t>КИ</t>
        </is>
      </c>
    </row>
    <row r="393" ht="12.5" customHeight="1">
      <c r="A393" s="109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66" t="n"/>
      <c r="N393" s="110" t="inlineStr">
        <is>
          <t>Итого</t>
        </is>
      </c>
      <c r="O393" s="134" t="n"/>
      <c r="P393" s="134" t="n"/>
      <c r="Q393" s="134" t="n"/>
      <c r="R393" s="134" t="n"/>
      <c r="S393" s="134" t="n"/>
      <c r="T393" s="135" t="n"/>
      <c r="U393" s="63" t="inlineStr">
        <is>
          <t>кор</t>
        </is>
      </c>
      <c r="V393" s="167">
        <f>IFERROR(V386/H386,"0")+IFERROR(V387/H387,"0")+IFERROR(V388/H388,"0")+IFERROR(V389/H389,"0")+IFERROR(V390/H390,"0")+IFERROR(V391/H391,"0")+IFERROR(V392/H392,"0")</f>
        <v/>
      </c>
      <c r="W393" s="167">
        <f>IFERROR(W386/H386,"0")+IFERROR(W387/H387,"0")+IFERROR(W388/H388,"0")+IFERROR(W389/H389,"0")+IFERROR(W390/H390,"0")+IFERROR(W391/H391,"0")+IFERROR(W392/H392,"0")</f>
        <v/>
      </c>
      <c r="X393" s="16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168" t="n"/>
      <c r="Z393" s="168" t="n"/>
      <c r="AA393" s="71" t="n"/>
    </row>
    <row r="394" ht="12.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66" t="n"/>
      <c r="N394" s="110" t="inlineStr">
        <is>
          <t>Итого</t>
        </is>
      </c>
      <c r="O394" s="134" t="n"/>
      <c r="P394" s="134" t="n"/>
      <c r="Q394" s="134" t="n"/>
      <c r="R394" s="134" t="n"/>
      <c r="S394" s="134" t="n"/>
      <c r="T394" s="135" t="n"/>
      <c r="U394" s="63" t="inlineStr">
        <is>
          <t>кг</t>
        </is>
      </c>
      <c r="V394" s="167">
        <f>IFERROR(SUM(V386:V392),"0")</f>
        <v/>
      </c>
      <c r="W394" s="167">
        <f>IFERROR(SUM(W386:W392),"0")</f>
        <v/>
      </c>
      <c r="X394" s="63" t="n"/>
      <c r="Y394" s="168" t="n"/>
      <c r="Z394" s="168" t="n"/>
      <c r="AA394" s="71" t="n"/>
    </row>
    <row r="395" ht="14.25" customHeight="1">
      <c r="A395" s="106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06" t="n"/>
      <c r="Z395" s="106" t="n"/>
      <c r="AA395" s="71" t="n"/>
    </row>
    <row r="396" ht="27" customHeight="1">
      <c r="A396" s="49" t="inlineStr">
        <is>
          <t>SU003056</t>
        </is>
      </c>
      <c r="B396" s="49" t="inlineStr">
        <is>
          <t>P003622</t>
        </is>
      </c>
      <c r="C396" s="50" t="n">
        <v>4301170008</v>
      </c>
      <c r="D396" s="107" t="n">
        <v>4680115882980</v>
      </c>
      <c r="E396" s="128" t="n"/>
      <c r="F396" s="162" t="n">
        <v>0.13</v>
      </c>
      <c r="G396" s="52" t="n">
        <v>10</v>
      </c>
      <c r="H396" s="162" t="n">
        <v>1.3</v>
      </c>
      <c r="I396" s="162" t="n">
        <v>1.46</v>
      </c>
      <c r="J396" s="52" t="n">
        <v>200</v>
      </c>
      <c r="K396" s="52" t="inlineStr">
        <is>
          <t>10</t>
        </is>
      </c>
      <c r="L396" s="53" t="inlineStr">
        <is>
          <t>ДК</t>
        </is>
      </c>
      <c r="M396" s="52" t="n">
        <v>150</v>
      </c>
      <c r="N396" s="1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63" t="n"/>
      <c r="P396" s="163" t="n"/>
      <c r="Q396" s="163" t="n"/>
      <c r="R396" s="128" t="n"/>
      <c r="S396" s="54" t="n"/>
      <c r="T396" s="54" t="n"/>
      <c r="U396" s="55" t="inlineStr">
        <is>
          <t>кг</t>
        </is>
      </c>
      <c r="V396" s="164" t="n">
        <v>0</v>
      </c>
      <c r="W396" s="165">
        <f>IFERROR(IF(V396="",0,CEILING((V396/$H396),1)*$H396),"")</f>
        <v/>
      </c>
      <c r="X396" s="58">
        <f>IFERROR(IF(W396=0,"",ROUNDUP(W396/H396,0)*0.00673),"")</f>
        <v/>
      </c>
      <c r="Y396" s="59" t="n"/>
      <c r="Z396" s="60" t="n"/>
      <c r="AA396" s="71" t="n"/>
      <c r="AD396" s="61" t="n"/>
      <c r="BA396" s="62" t="inlineStr">
        <is>
          <t>КИ</t>
        </is>
      </c>
    </row>
    <row r="397" ht="12.5" customHeight="1">
      <c r="A397" s="109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66" t="n"/>
      <c r="N397" s="110" t="inlineStr">
        <is>
          <t>Итого</t>
        </is>
      </c>
      <c r="O397" s="134" t="n"/>
      <c r="P397" s="134" t="n"/>
      <c r="Q397" s="134" t="n"/>
      <c r="R397" s="134" t="n"/>
      <c r="S397" s="134" t="n"/>
      <c r="T397" s="135" t="n"/>
      <c r="U397" s="63" t="inlineStr">
        <is>
          <t>кор</t>
        </is>
      </c>
      <c r="V397" s="167">
        <f>IFERROR(V396/H396,"0")</f>
        <v/>
      </c>
      <c r="W397" s="167">
        <f>IFERROR(W396/H396,"0")</f>
        <v/>
      </c>
      <c r="X397" s="167">
        <f>IFERROR(IF(X396="",0,X396),"0")</f>
        <v/>
      </c>
      <c r="Y397" s="168" t="n"/>
      <c r="Z397" s="168" t="n"/>
      <c r="AA397" s="71" t="n"/>
    </row>
    <row r="398" ht="12.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66" t="n"/>
      <c r="N398" s="110" t="inlineStr">
        <is>
          <t>Итого</t>
        </is>
      </c>
      <c r="O398" s="134" t="n"/>
      <c r="P398" s="134" t="n"/>
      <c r="Q398" s="134" t="n"/>
      <c r="R398" s="134" t="n"/>
      <c r="S398" s="134" t="n"/>
      <c r="T398" s="135" t="n"/>
      <c r="U398" s="63" t="inlineStr">
        <is>
          <t>кг</t>
        </is>
      </c>
      <c r="V398" s="167">
        <f>IFERROR(SUM(V396:V396),"0")</f>
        <v/>
      </c>
      <c r="W398" s="167">
        <f>IFERROR(SUM(W396:W396),"0")</f>
        <v/>
      </c>
      <c r="X398" s="63" t="n"/>
      <c r="Y398" s="168" t="n"/>
      <c r="Z398" s="168" t="n"/>
      <c r="AA398" s="71" t="n"/>
    </row>
    <row r="399" ht="27.75" customHeight="1">
      <c r="A399" s="104" t="inlineStr">
        <is>
          <t>Дугушка</t>
        </is>
      </c>
      <c r="B399" s="161" t="n"/>
      <c r="C399" s="161" t="n"/>
      <c r="D399" s="161" t="n"/>
      <c r="E399" s="161" t="n"/>
      <c r="F399" s="161" t="n"/>
      <c r="G399" s="161" t="n"/>
      <c r="H399" s="161" t="n"/>
      <c r="I399" s="161" t="n"/>
      <c r="J399" s="161" t="n"/>
      <c r="K399" s="161" t="n"/>
      <c r="L399" s="161" t="n"/>
      <c r="M399" s="161" t="n"/>
      <c r="N399" s="161" t="n"/>
      <c r="O399" s="161" t="n"/>
      <c r="P399" s="161" t="n"/>
      <c r="Q399" s="161" t="n"/>
      <c r="R399" s="161" t="n"/>
      <c r="S399" s="161" t="n"/>
      <c r="T399" s="161" t="n"/>
      <c r="U399" s="161" t="n"/>
      <c r="V399" s="161" t="n"/>
      <c r="W399" s="161" t="n"/>
      <c r="X399" s="161" t="n"/>
      <c r="Y399" s="46" t="n"/>
      <c r="Z399" s="46" t="n"/>
      <c r="AA399" s="71" t="n"/>
    </row>
    <row r="400" ht="16.5" customHeight="1">
      <c r="A400" s="105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05" t="n"/>
      <c r="Z400" s="105" t="n"/>
      <c r="AA400" s="71" t="n"/>
    </row>
    <row r="401" ht="14.25" customHeight="1">
      <c r="A401" s="106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06" t="n"/>
      <c r="Z401" s="106" t="n"/>
      <c r="AA401" s="71" t="n"/>
    </row>
    <row r="402" ht="27" customHeight="1">
      <c r="A402" s="49" t="inlineStr">
        <is>
          <t>SU002011</t>
        </is>
      </c>
      <c r="B402" s="49" t="inlineStr">
        <is>
          <t>P002991</t>
        </is>
      </c>
      <c r="C402" s="50" t="n">
        <v>4301011371</v>
      </c>
      <c r="D402" s="107" t="n">
        <v>4607091389067</v>
      </c>
      <c r="E402" s="128" t="n"/>
      <c r="F402" s="162" t="n">
        <v>0.88</v>
      </c>
      <c r="G402" s="52" t="n">
        <v>6</v>
      </c>
      <c r="H402" s="162" t="n">
        <v>5.28</v>
      </c>
      <c r="I402" s="162" t="n">
        <v>5.64</v>
      </c>
      <c r="J402" s="52" t="n">
        <v>104</v>
      </c>
      <c r="K402" s="52" t="inlineStr">
        <is>
          <t>8</t>
        </is>
      </c>
      <c r="L402" s="53" t="inlineStr">
        <is>
          <t>СК3</t>
        </is>
      </c>
      <c r="M402" s="52" t="n">
        <v>55</v>
      </c>
      <c r="N402" s="1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63" t="n"/>
      <c r="P402" s="163" t="n"/>
      <c r="Q402" s="163" t="n"/>
      <c r="R402" s="128" t="n"/>
      <c r="S402" s="54" t="n"/>
      <c r="T402" s="54" t="n"/>
      <c r="U402" s="55" t="inlineStr">
        <is>
          <t>кг</t>
        </is>
      </c>
      <c r="V402" s="164" t="n">
        <v>0</v>
      </c>
      <c r="W402" s="165">
        <f>IFERROR(IF(V402="",0,CEILING((V402/$H402),1)*$H402),"")</f>
        <v/>
      </c>
      <c r="X402" s="58">
        <f>IFERROR(IF(W402=0,"",ROUNDUP(W402/H402,0)*0.01196),"")</f>
        <v/>
      </c>
      <c r="Y402" s="59" t="n"/>
      <c r="Z402" s="60" t="n"/>
      <c r="AA402" s="71" t="n"/>
      <c r="AD402" s="61" t="n"/>
      <c r="BA402" s="62" t="inlineStr">
        <is>
          <t>КИ</t>
        </is>
      </c>
    </row>
    <row r="403" ht="27" customHeight="1">
      <c r="A403" s="49" t="inlineStr">
        <is>
          <t>SU002094</t>
        </is>
      </c>
      <c r="B403" s="49" t="inlineStr">
        <is>
          <t>P002975</t>
        </is>
      </c>
      <c r="C403" s="50" t="n">
        <v>4301011363</v>
      </c>
      <c r="D403" s="107" t="n">
        <v>4607091383522</v>
      </c>
      <c r="E403" s="128" t="n"/>
      <c r="F403" s="162" t="n">
        <v>0.88</v>
      </c>
      <c r="G403" s="52" t="n">
        <v>6</v>
      </c>
      <c r="H403" s="162" t="n">
        <v>5.28</v>
      </c>
      <c r="I403" s="162" t="n">
        <v>5.64</v>
      </c>
      <c r="J403" s="52" t="n">
        <v>104</v>
      </c>
      <c r="K403" s="52" t="inlineStr">
        <is>
          <t>8</t>
        </is>
      </c>
      <c r="L403" s="53" t="inlineStr">
        <is>
          <t>СК1</t>
        </is>
      </c>
      <c r="M403" s="52" t="n">
        <v>55</v>
      </c>
      <c r="N403" s="10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63" t="n"/>
      <c r="P403" s="163" t="n"/>
      <c r="Q403" s="163" t="n"/>
      <c r="R403" s="128" t="n"/>
      <c r="S403" s="54" t="n"/>
      <c r="T403" s="54" t="n"/>
      <c r="U403" s="55" t="inlineStr">
        <is>
          <t>кг</t>
        </is>
      </c>
      <c r="V403" s="164" t="n">
        <v>0</v>
      </c>
      <c r="W403" s="165">
        <f>IFERROR(IF(V403="",0,CEILING((V403/$H403),1)*$H403),"")</f>
        <v/>
      </c>
      <c r="X403" s="58">
        <f>IFERROR(IF(W403=0,"",ROUNDUP(W403/H403,0)*0.01196),"")</f>
        <v/>
      </c>
      <c r="Y403" s="59" t="n"/>
      <c r="Z403" s="60" t="n"/>
      <c r="AA403" s="71" t="n"/>
      <c r="AD403" s="61" t="n"/>
      <c r="BA403" s="62" t="inlineStr">
        <is>
          <t>КИ</t>
        </is>
      </c>
    </row>
    <row r="404" ht="27" customHeight="1">
      <c r="A404" s="49" t="inlineStr">
        <is>
          <t>SU002182</t>
        </is>
      </c>
      <c r="B404" s="49" t="inlineStr">
        <is>
          <t>P002990</t>
        </is>
      </c>
      <c r="C404" s="50" t="n">
        <v>4301011431</v>
      </c>
      <c r="D404" s="107" t="n">
        <v>4607091384437</v>
      </c>
      <c r="E404" s="128" t="n"/>
      <c r="F404" s="162" t="n">
        <v>0.88</v>
      </c>
      <c r="G404" s="52" t="n">
        <v>6</v>
      </c>
      <c r="H404" s="162" t="n">
        <v>5.28</v>
      </c>
      <c r="I404" s="162" t="n">
        <v>5.64</v>
      </c>
      <c r="J404" s="52" t="n">
        <v>104</v>
      </c>
      <c r="K404" s="52" t="inlineStr">
        <is>
          <t>8</t>
        </is>
      </c>
      <c r="L404" s="53" t="inlineStr">
        <is>
          <t>СК1</t>
        </is>
      </c>
      <c r="M404" s="52" t="n">
        <v>50</v>
      </c>
      <c r="N404" s="10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63" t="n"/>
      <c r="P404" s="163" t="n"/>
      <c r="Q404" s="163" t="n"/>
      <c r="R404" s="128" t="n"/>
      <c r="S404" s="54" t="n"/>
      <c r="T404" s="54" t="n"/>
      <c r="U404" s="55" t="inlineStr">
        <is>
          <t>кг</t>
        </is>
      </c>
      <c r="V404" s="164" t="n">
        <v>0</v>
      </c>
      <c r="W404" s="165">
        <f>IFERROR(IF(V404="",0,CEILING((V404/$H404),1)*$H404),"")</f>
        <v/>
      </c>
      <c r="X404" s="58">
        <f>IFERROR(IF(W404=0,"",ROUNDUP(W404/H404,0)*0.01196),"")</f>
        <v/>
      </c>
      <c r="Y404" s="59" t="n"/>
      <c r="Z404" s="60" t="n"/>
      <c r="AA404" s="71" t="n"/>
      <c r="AD404" s="61" t="n"/>
      <c r="BA404" s="62" t="inlineStr">
        <is>
          <t>КИ</t>
        </is>
      </c>
    </row>
    <row r="405" ht="27" customHeight="1">
      <c r="A405" s="49" t="inlineStr">
        <is>
          <t>SU002010</t>
        </is>
      </c>
      <c r="B405" s="49" t="inlineStr">
        <is>
          <t>P002979</t>
        </is>
      </c>
      <c r="C405" s="50" t="n">
        <v>4301011365</v>
      </c>
      <c r="D405" s="107" t="n">
        <v>4607091389104</v>
      </c>
      <c r="E405" s="128" t="n"/>
      <c r="F405" s="162" t="n">
        <v>0.88</v>
      </c>
      <c r="G405" s="52" t="n">
        <v>6</v>
      </c>
      <c r="H405" s="162" t="n">
        <v>5.28</v>
      </c>
      <c r="I405" s="162" t="n">
        <v>5.64</v>
      </c>
      <c r="J405" s="52" t="n">
        <v>104</v>
      </c>
      <c r="K405" s="52" t="inlineStr">
        <is>
          <t>8</t>
        </is>
      </c>
      <c r="L405" s="53" t="inlineStr">
        <is>
          <t>СК1</t>
        </is>
      </c>
      <c r="M405" s="52" t="n">
        <v>55</v>
      </c>
      <c r="N405" s="10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63" t="n"/>
      <c r="P405" s="163" t="n"/>
      <c r="Q405" s="163" t="n"/>
      <c r="R405" s="128" t="n"/>
      <c r="S405" s="54" t="n"/>
      <c r="T405" s="54" t="n"/>
      <c r="U405" s="55" t="inlineStr">
        <is>
          <t>кг</t>
        </is>
      </c>
      <c r="V405" s="164" t="n">
        <v>0</v>
      </c>
      <c r="W405" s="165">
        <f>IFERROR(IF(V405="",0,CEILING((V405/$H405),1)*$H405),"")</f>
        <v/>
      </c>
      <c r="X405" s="58">
        <f>IFERROR(IF(W405=0,"",ROUNDUP(W405/H405,0)*0.01196),"")</f>
        <v/>
      </c>
      <c r="Y405" s="59" t="n"/>
      <c r="Z405" s="60" t="n"/>
      <c r="AA405" s="71" t="n"/>
      <c r="AD405" s="61" t="n"/>
      <c r="BA405" s="62" t="inlineStr">
        <is>
          <t>КИ</t>
        </is>
      </c>
    </row>
    <row r="406" ht="27" customHeight="1">
      <c r="A406" s="49" t="inlineStr">
        <is>
          <t>SU002632</t>
        </is>
      </c>
      <c r="B406" s="49" t="inlineStr">
        <is>
          <t>P002982</t>
        </is>
      </c>
      <c r="C406" s="50" t="n">
        <v>4301011367</v>
      </c>
      <c r="D406" s="107" t="n">
        <v>4680115880603</v>
      </c>
      <c r="E406" s="128" t="n"/>
      <c r="F406" s="162" t="n">
        <v>0.6</v>
      </c>
      <c r="G406" s="52" t="n">
        <v>6</v>
      </c>
      <c r="H406" s="162" t="n">
        <v>3.6</v>
      </c>
      <c r="I406" s="162" t="n">
        <v>3.84</v>
      </c>
      <c r="J406" s="52" t="n">
        <v>120</v>
      </c>
      <c r="K406" s="52" t="inlineStr">
        <is>
          <t>12</t>
        </is>
      </c>
      <c r="L406" s="53" t="inlineStr">
        <is>
          <t>СК1</t>
        </is>
      </c>
      <c r="M406" s="52" t="n">
        <v>55</v>
      </c>
      <c r="N406" s="10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63" t="n"/>
      <c r="P406" s="163" t="n"/>
      <c r="Q406" s="163" t="n"/>
      <c r="R406" s="128" t="n"/>
      <c r="S406" s="54" t="n"/>
      <c r="T406" s="54" t="n"/>
      <c r="U406" s="55" t="inlineStr">
        <is>
          <t>кг</t>
        </is>
      </c>
      <c r="V406" s="164" t="n">
        <v>0</v>
      </c>
      <c r="W406" s="165">
        <f>IFERROR(IF(V406="",0,CEILING((V406/$H406),1)*$H406),"")</f>
        <v/>
      </c>
      <c r="X406" s="58">
        <f>IFERROR(IF(W406=0,"",ROUNDUP(W406/H406,0)*0.00937),"")</f>
        <v/>
      </c>
      <c r="Y406" s="59" t="n"/>
      <c r="Z406" s="60" t="n"/>
      <c r="AA406" s="71" t="n"/>
      <c r="AD406" s="61" t="n"/>
      <c r="BA406" s="62" t="inlineStr">
        <is>
          <t>КИ</t>
        </is>
      </c>
    </row>
    <row r="407" ht="27" customHeight="1">
      <c r="A407" s="49" t="inlineStr">
        <is>
          <t>SU002220</t>
        </is>
      </c>
      <c r="B407" s="49" t="inlineStr">
        <is>
          <t>P002404</t>
        </is>
      </c>
      <c r="C407" s="50" t="n">
        <v>4301011168</v>
      </c>
      <c r="D407" s="107" t="n">
        <v>4607091389999</v>
      </c>
      <c r="E407" s="128" t="n"/>
      <c r="F407" s="162" t="n">
        <v>0.6</v>
      </c>
      <c r="G407" s="52" t="n">
        <v>6</v>
      </c>
      <c r="H407" s="162" t="n">
        <v>3.6</v>
      </c>
      <c r="I407" s="162" t="n">
        <v>3.84</v>
      </c>
      <c r="J407" s="52" t="n">
        <v>120</v>
      </c>
      <c r="K407" s="52" t="inlineStr">
        <is>
          <t>12</t>
        </is>
      </c>
      <c r="L407" s="53" t="inlineStr">
        <is>
          <t>СК1</t>
        </is>
      </c>
      <c r="M407" s="52" t="n">
        <v>55</v>
      </c>
      <c r="N407" s="1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63" t="n"/>
      <c r="P407" s="163" t="n"/>
      <c r="Q407" s="163" t="n"/>
      <c r="R407" s="128" t="n"/>
      <c r="S407" s="54" t="n"/>
      <c r="T407" s="54" t="n"/>
      <c r="U407" s="55" t="inlineStr">
        <is>
          <t>кг</t>
        </is>
      </c>
      <c r="V407" s="164" t="n">
        <v>0</v>
      </c>
      <c r="W407" s="165">
        <f>IFERROR(IF(V407="",0,CEILING((V407/$H407),1)*$H407),"")</f>
        <v/>
      </c>
      <c r="X407" s="58">
        <f>IFERROR(IF(W407=0,"",ROUNDUP(W407/H407,0)*0.00937),"")</f>
        <v/>
      </c>
      <c r="Y407" s="59" t="n"/>
      <c r="Z407" s="60" t="n"/>
      <c r="AA407" s="71" t="n"/>
      <c r="AD407" s="61" t="n"/>
      <c r="BA407" s="62" t="inlineStr">
        <is>
          <t>КИ</t>
        </is>
      </c>
    </row>
    <row r="408" ht="27" customHeight="1">
      <c r="A408" s="49" t="inlineStr">
        <is>
          <t>SU002635</t>
        </is>
      </c>
      <c r="B408" s="49" t="inlineStr">
        <is>
          <t>P002992</t>
        </is>
      </c>
      <c r="C408" s="50" t="n">
        <v>4301011372</v>
      </c>
      <c r="D408" s="107" t="n">
        <v>4680115882782</v>
      </c>
      <c r="E408" s="128" t="n"/>
      <c r="F408" s="162" t="n">
        <v>0.6</v>
      </c>
      <c r="G408" s="52" t="n">
        <v>6</v>
      </c>
      <c r="H408" s="162" t="n">
        <v>3.6</v>
      </c>
      <c r="I408" s="162" t="n">
        <v>3.84</v>
      </c>
      <c r="J408" s="52" t="n">
        <v>120</v>
      </c>
      <c r="K408" s="52" t="inlineStr">
        <is>
          <t>12</t>
        </is>
      </c>
      <c r="L408" s="53" t="inlineStr">
        <is>
          <t>СК1</t>
        </is>
      </c>
      <c r="M408" s="52" t="n">
        <v>50</v>
      </c>
      <c r="N408" s="10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63" t="n"/>
      <c r="P408" s="163" t="n"/>
      <c r="Q408" s="163" t="n"/>
      <c r="R408" s="128" t="n"/>
      <c r="S408" s="54" t="n"/>
      <c r="T408" s="54" t="n"/>
      <c r="U408" s="55" t="inlineStr">
        <is>
          <t>кг</t>
        </is>
      </c>
      <c r="V408" s="164" t="n">
        <v>0</v>
      </c>
      <c r="W408" s="165">
        <f>IFERROR(IF(V408="",0,CEILING((V408/$H408),1)*$H408),"")</f>
        <v/>
      </c>
      <c r="X408" s="58">
        <f>IFERROR(IF(W408=0,"",ROUNDUP(W408/H408,0)*0.00937),"")</f>
        <v/>
      </c>
      <c r="Y408" s="59" t="n"/>
      <c r="Z408" s="60" t="n"/>
      <c r="AA408" s="71" t="n"/>
      <c r="AD408" s="61" t="n"/>
      <c r="BA408" s="62" t="inlineStr">
        <is>
          <t>КИ</t>
        </is>
      </c>
    </row>
    <row r="409" ht="27" customHeight="1">
      <c r="A409" s="49" t="inlineStr">
        <is>
          <t>SU002020</t>
        </is>
      </c>
      <c r="B409" s="49" t="inlineStr">
        <is>
          <t>P002308</t>
        </is>
      </c>
      <c r="C409" s="50" t="n">
        <v>4301011190</v>
      </c>
      <c r="D409" s="107" t="n">
        <v>4607091389098</v>
      </c>
      <c r="E409" s="128" t="n"/>
      <c r="F409" s="162" t="n">
        <v>0.4</v>
      </c>
      <c r="G409" s="52" t="n">
        <v>6</v>
      </c>
      <c r="H409" s="162" t="n">
        <v>2.4</v>
      </c>
      <c r="I409" s="162" t="n">
        <v>2.6</v>
      </c>
      <c r="J409" s="52" t="n">
        <v>156</v>
      </c>
      <c r="K409" s="52" t="inlineStr">
        <is>
          <t>12</t>
        </is>
      </c>
      <c r="L409" s="53" t="inlineStr">
        <is>
          <t>СК3</t>
        </is>
      </c>
      <c r="M409" s="52" t="n">
        <v>50</v>
      </c>
      <c r="N409" s="10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63" t="n"/>
      <c r="P409" s="163" t="n"/>
      <c r="Q409" s="163" t="n"/>
      <c r="R409" s="128" t="n"/>
      <c r="S409" s="54" t="n"/>
      <c r="T409" s="54" t="n"/>
      <c r="U409" s="55" t="inlineStr">
        <is>
          <t>кг</t>
        </is>
      </c>
      <c r="V409" s="164" t="n">
        <v>0</v>
      </c>
      <c r="W409" s="165">
        <f>IFERROR(IF(V409="",0,CEILING((V409/$H409),1)*$H409),"")</f>
        <v/>
      </c>
      <c r="X409" s="58">
        <f>IFERROR(IF(W409=0,"",ROUNDUP(W409/H409,0)*0.00753),"")</f>
        <v/>
      </c>
      <c r="Y409" s="59" t="n"/>
      <c r="Z409" s="60" t="n"/>
      <c r="AA409" s="71" t="n"/>
      <c r="AD409" s="61" t="n"/>
      <c r="BA409" s="62" t="inlineStr">
        <is>
          <t>КИ</t>
        </is>
      </c>
    </row>
    <row r="410" ht="27" customHeight="1">
      <c r="A410" s="49" t="inlineStr">
        <is>
          <t>SU002631</t>
        </is>
      </c>
      <c r="B410" s="49" t="inlineStr">
        <is>
          <t>P002981</t>
        </is>
      </c>
      <c r="C410" s="50" t="n">
        <v>4301011366</v>
      </c>
      <c r="D410" s="107" t="n">
        <v>4607091389982</v>
      </c>
      <c r="E410" s="128" t="n"/>
      <c r="F410" s="162" t="n">
        <v>0.6</v>
      </c>
      <c r="G410" s="52" t="n">
        <v>6</v>
      </c>
      <c r="H410" s="162" t="n">
        <v>3.6</v>
      </c>
      <c r="I410" s="162" t="n">
        <v>3.84</v>
      </c>
      <c r="J410" s="52" t="n">
        <v>120</v>
      </c>
      <c r="K410" s="52" t="inlineStr">
        <is>
          <t>12</t>
        </is>
      </c>
      <c r="L410" s="53" t="inlineStr">
        <is>
          <t>СК1</t>
        </is>
      </c>
      <c r="M410" s="52" t="n">
        <v>55</v>
      </c>
      <c r="N410" s="10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63" t="n"/>
      <c r="P410" s="163" t="n"/>
      <c r="Q410" s="163" t="n"/>
      <c r="R410" s="128" t="n"/>
      <c r="S410" s="54" t="n"/>
      <c r="T410" s="54" t="n"/>
      <c r="U410" s="55" t="inlineStr">
        <is>
          <t>кг</t>
        </is>
      </c>
      <c r="V410" s="164" t="n">
        <v>0</v>
      </c>
      <c r="W410" s="165">
        <f>IFERROR(IF(V410="",0,CEILING((V410/$H410),1)*$H410),"")</f>
        <v/>
      </c>
      <c r="X410" s="58">
        <f>IFERROR(IF(W410=0,"",ROUNDUP(W410/H410,0)*0.00937),"")</f>
        <v/>
      </c>
      <c r="Y410" s="59" t="n"/>
      <c r="Z410" s="60" t="n"/>
      <c r="AA410" s="71" t="n"/>
      <c r="AD410" s="61" t="n"/>
      <c r="BA410" s="62" t="inlineStr">
        <is>
          <t>КИ</t>
        </is>
      </c>
    </row>
    <row r="411" ht="12.5" customHeight="1">
      <c r="A411" s="109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66" t="n"/>
      <c r="N411" s="110" t="inlineStr">
        <is>
          <t>Итого</t>
        </is>
      </c>
      <c r="O411" s="134" t="n"/>
      <c r="P411" s="134" t="n"/>
      <c r="Q411" s="134" t="n"/>
      <c r="R411" s="134" t="n"/>
      <c r="S411" s="134" t="n"/>
      <c r="T411" s="135" t="n"/>
      <c r="U411" s="63" t="inlineStr">
        <is>
          <t>кор</t>
        </is>
      </c>
      <c r="V411" s="167">
        <f>IFERROR(V402/H402,"0")+IFERROR(V403/H403,"0")+IFERROR(V404/H404,"0")+IFERROR(V405/H405,"0")+IFERROR(V406/H406,"0")+IFERROR(V407/H407,"0")+IFERROR(V408/H408,"0")+IFERROR(V409/H409,"0")+IFERROR(V410/H410,"0")</f>
        <v/>
      </c>
      <c r="W411" s="167">
        <f>IFERROR(W402/H402,"0")+IFERROR(W403/H403,"0")+IFERROR(W404/H404,"0")+IFERROR(W405/H405,"0")+IFERROR(W406/H406,"0")+IFERROR(W407/H407,"0")+IFERROR(W408/H408,"0")+IFERROR(W409/H409,"0")+IFERROR(W410/H410,"0")</f>
        <v/>
      </c>
      <c r="X411" s="16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168" t="n"/>
      <c r="Z411" s="168" t="n"/>
      <c r="AA411" s="71" t="n"/>
    </row>
    <row r="412" ht="12.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66" t="n"/>
      <c r="N412" s="110" t="inlineStr">
        <is>
          <t>Итого</t>
        </is>
      </c>
      <c r="O412" s="134" t="n"/>
      <c r="P412" s="134" t="n"/>
      <c r="Q412" s="134" t="n"/>
      <c r="R412" s="134" t="n"/>
      <c r="S412" s="134" t="n"/>
      <c r="T412" s="135" t="n"/>
      <c r="U412" s="63" t="inlineStr">
        <is>
          <t>кг</t>
        </is>
      </c>
      <c r="V412" s="167">
        <f>IFERROR(SUM(V402:V410),"0")</f>
        <v/>
      </c>
      <c r="W412" s="167">
        <f>IFERROR(SUM(W402:W410),"0")</f>
        <v/>
      </c>
      <c r="X412" s="63" t="n"/>
      <c r="Y412" s="168" t="n"/>
      <c r="Z412" s="168" t="n"/>
      <c r="AA412" s="71" t="n"/>
    </row>
    <row r="413" ht="14.25" customHeight="1">
      <c r="A413" s="106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06" t="n"/>
      <c r="Z413" s="106" t="n"/>
      <c r="AA413" s="71" t="n"/>
    </row>
    <row r="414" ht="16.5" customHeight="1">
      <c r="A414" s="49" t="inlineStr">
        <is>
          <t>SU002035</t>
        </is>
      </c>
      <c r="B414" s="49" t="inlineStr">
        <is>
          <t>P003146</t>
        </is>
      </c>
      <c r="C414" s="50" t="n">
        <v>4301020222</v>
      </c>
      <c r="D414" s="107" t="n">
        <v>4607091388930</v>
      </c>
      <c r="E414" s="128" t="n"/>
      <c r="F414" s="162" t="n">
        <v>0.88</v>
      </c>
      <c r="G414" s="52" t="n">
        <v>6</v>
      </c>
      <c r="H414" s="162" t="n">
        <v>5.28</v>
      </c>
      <c r="I414" s="162" t="n">
        <v>5.64</v>
      </c>
      <c r="J414" s="52" t="n">
        <v>104</v>
      </c>
      <c r="K414" s="52" t="inlineStr">
        <is>
          <t>8</t>
        </is>
      </c>
      <c r="L414" s="53" t="inlineStr">
        <is>
          <t>СК1</t>
        </is>
      </c>
      <c r="M414" s="52" t="n">
        <v>55</v>
      </c>
      <c r="N414" s="108">
        <f>HYPERLINK("https://abi.ru/products/Охлажденные/Дугушка/Дугушка/Ветчины/P003146/","Ветчины Дугушка Дугушка Вес б/о Дугушка")</f>
        <v/>
      </c>
      <c r="O414" s="163" t="n"/>
      <c r="P414" s="163" t="n"/>
      <c r="Q414" s="163" t="n"/>
      <c r="R414" s="128" t="n"/>
      <c r="S414" s="54" t="n"/>
      <c r="T414" s="54" t="n"/>
      <c r="U414" s="55" t="inlineStr">
        <is>
          <t>кг</t>
        </is>
      </c>
      <c r="V414" s="164" t="n">
        <v>0</v>
      </c>
      <c r="W414" s="165">
        <f>IFERROR(IF(V414="",0,CEILING((V414/$H414),1)*$H414),"")</f>
        <v/>
      </c>
      <c r="X414" s="58">
        <f>IFERROR(IF(W414=0,"",ROUNDUP(W414/H414,0)*0.01196),"")</f>
        <v/>
      </c>
      <c r="Y414" s="59" t="n"/>
      <c r="Z414" s="60" t="n"/>
      <c r="AA414" s="71" t="n"/>
      <c r="AD414" s="61" t="n"/>
      <c r="BA414" s="62" t="inlineStr">
        <is>
          <t>КИ</t>
        </is>
      </c>
    </row>
    <row r="415" ht="16.5" customHeight="1">
      <c r="A415" s="49" t="inlineStr">
        <is>
          <t>SU002643</t>
        </is>
      </c>
      <c r="B415" s="49" t="inlineStr">
        <is>
          <t>P002993</t>
        </is>
      </c>
      <c r="C415" s="50" t="n">
        <v>4301020206</v>
      </c>
      <c r="D415" s="107" t="n">
        <v>4680115880054</v>
      </c>
      <c r="E415" s="128" t="n"/>
      <c r="F415" s="162" t="n">
        <v>0.6</v>
      </c>
      <c r="G415" s="52" t="n">
        <v>6</v>
      </c>
      <c r="H415" s="162" t="n">
        <v>3.6</v>
      </c>
      <c r="I415" s="162" t="n">
        <v>3.84</v>
      </c>
      <c r="J415" s="52" t="n">
        <v>120</v>
      </c>
      <c r="K415" s="52" t="inlineStr">
        <is>
          <t>12</t>
        </is>
      </c>
      <c r="L415" s="53" t="inlineStr">
        <is>
          <t>СК1</t>
        </is>
      </c>
      <c r="M415" s="52" t="n">
        <v>55</v>
      </c>
      <c r="N415" s="108">
        <f>HYPERLINK("https://abi.ru/products/Охлажденные/Дугушка/Дугушка/Ветчины/P002993/","Ветчины «Дугушка» Фикс.вес 0,6 П/а ТМ «Дугушка»")</f>
        <v/>
      </c>
      <c r="O415" s="163" t="n"/>
      <c r="P415" s="163" t="n"/>
      <c r="Q415" s="163" t="n"/>
      <c r="R415" s="128" t="n"/>
      <c r="S415" s="54" t="n"/>
      <c r="T415" s="54" t="n"/>
      <c r="U415" s="55" t="inlineStr">
        <is>
          <t>кг</t>
        </is>
      </c>
      <c r="V415" s="164" t="n">
        <v>12</v>
      </c>
      <c r="W415" s="165">
        <f>IFERROR(IF(V415="",0,CEILING((V415/$H415),1)*$H415),"")</f>
        <v/>
      </c>
      <c r="X415" s="58">
        <f>IFERROR(IF(W415=0,"",ROUNDUP(W415/H415,0)*0.00937),"")</f>
        <v/>
      </c>
      <c r="Y415" s="59" t="n"/>
      <c r="Z415" s="60" t="n"/>
      <c r="AA415" s="71" t="n"/>
      <c r="AD415" s="61" t="n"/>
      <c r="BA415" s="62" t="inlineStr">
        <is>
          <t>КИ</t>
        </is>
      </c>
    </row>
    <row r="416" ht="12.5" customHeight="1">
      <c r="A416" s="109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66" t="n"/>
      <c r="N416" s="110" t="inlineStr">
        <is>
          <t>Итого</t>
        </is>
      </c>
      <c r="O416" s="134" t="n"/>
      <c r="P416" s="134" t="n"/>
      <c r="Q416" s="134" t="n"/>
      <c r="R416" s="134" t="n"/>
      <c r="S416" s="134" t="n"/>
      <c r="T416" s="135" t="n"/>
      <c r="U416" s="63" t="inlineStr">
        <is>
          <t>кор</t>
        </is>
      </c>
      <c r="V416" s="167">
        <f>IFERROR(V414/H414,"0")+IFERROR(V415/H415,"0")</f>
        <v/>
      </c>
      <c r="W416" s="167">
        <f>IFERROR(W414/H414,"0")+IFERROR(W415/H415,"0")</f>
        <v/>
      </c>
      <c r="X416" s="167">
        <f>IFERROR(IF(X414="",0,X414),"0")+IFERROR(IF(X415="",0,X415),"0")</f>
        <v/>
      </c>
      <c r="Y416" s="168" t="n"/>
      <c r="Z416" s="168" t="n"/>
      <c r="AA416" s="71" t="n"/>
    </row>
    <row r="417" ht="12.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66" t="n"/>
      <c r="N417" s="110" t="inlineStr">
        <is>
          <t>Итого</t>
        </is>
      </c>
      <c r="O417" s="134" t="n"/>
      <c r="P417" s="134" t="n"/>
      <c r="Q417" s="134" t="n"/>
      <c r="R417" s="134" t="n"/>
      <c r="S417" s="134" t="n"/>
      <c r="T417" s="135" t="n"/>
      <c r="U417" s="63" t="inlineStr">
        <is>
          <t>кг</t>
        </is>
      </c>
      <c r="V417" s="167">
        <f>IFERROR(SUM(V414:V415),"0")</f>
        <v/>
      </c>
      <c r="W417" s="167">
        <f>IFERROR(SUM(W414:W415),"0")</f>
        <v/>
      </c>
      <c r="X417" s="63" t="n"/>
      <c r="Y417" s="168" t="n"/>
      <c r="Z417" s="168" t="n"/>
      <c r="AA417" s="71" t="n"/>
    </row>
    <row r="418" ht="14.25" customHeight="1">
      <c r="A418" s="106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06" t="n"/>
      <c r="Z418" s="106" t="n"/>
      <c r="AA418" s="71" t="n"/>
    </row>
    <row r="419" ht="27" customHeight="1">
      <c r="A419" s="49" t="inlineStr">
        <is>
          <t>SU002150</t>
        </is>
      </c>
      <c r="B419" s="49" t="inlineStr">
        <is>
          <t>P003636</t>
        </is>
      </c>
      <c r="C419" s="50" t="n">
        <v>4301031252</v>
      </c>
      <c r="D419" s="107" t="n">
        <v>4680115883116</v>
      </c>
      <c r="E419" s="128" t="n"/>
      <c r="F419" s="162" t="n">
        <v>0.88</v>
      </c>
      <c r="G419" s="52" t="n">
        <v>6</v>
      </c>
      <c r="H419" s="162" t="n">
        <v>5.28</v>
      </c>
      <c r="I419" s="162" t="n">
        <v>5.64</v>
      </c>
      <c r="J419" s="52" t="n">
        <v>104</v>
      </c>
      <c r="K419" s="52" t="inlineStr">
        <is>
          <t>8</t>
        </is>
      </c>
      <c r="L419" s="53" t="inlineStr">
        <is>
          <t>СК1</t>
        </is>
      </c>
      <c r="M419" s="52" t="n">
        <v>60</v>
      </c>
      <c r="N419" s="1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63" t="n"/>
      <c r="P419" s="163" t="n"/>
      <c r="Q419" s="163" t="n"/>
      <c r="R419" s="128" t="n"/>
      <c r="S419" s="54" t="n"/>
      <c r="T419" s="54" t="n"/>
      <c r="U419" s="55" t="inlineStr">
        <is>
          <t>кг</t>
        </is>
      </c>
      <c r="V419" s="164" t="n">
        <v>0</v>
      </c>
      <c r="W419" s="165">
        <f>IFERROR(IF(V419="",0,CEILING((V419/$H419),1)*$H419),"")</f>
        <v/>
      </c>
      <c r="X419" s="58">
        <f>IFERROR(IF(W419=0,"",ROUNDUP(W419/H419,0)*0.01196),"")</f>
        <v/>
      </c>
      <c r="Y419" s="59" t="n"/>
      <c r="Z419" s="60" t="n"/>
      <c r="AA419" s="71" t="n"/>
      <c r="AD419" s="61" t="n"/>
      <c r="BA419" s="62" t="inlineStr">
        <is>
          <t>КИ</t>
        </is>
      </c>
    </row>
    <row r="420" ht="27" customHeight="1">
      <c r="A420" s="49" t="inlineStr">
        <is>
          <t>SU002158</t>
        </is>
      </c>
      <c r="B420" s="49" t="inlineStr">
        <is>
          <t>P003632</t>
        </is>
      </c>
      <c r="C420" s="50" t="n">
        <v>4301031248</v>
      </c>
      <c r="D420" s="107" t="n">
        <v>4680115883093</v>
      </c>
      <c r="E420" s="128" t="n"/>
      <c r="F420" s="162" t="n">
        <v>0.88</v>
      </c>
      <c r="G420" s="52" t="n">
        <v>6</v>
      </c>
      <c r="H420" s="162" t="n">
        <v>5.28</v>
      </c>
      <c r="I420" s="162" t="n">
        <v>5.64</v>
      </c>
      <c r="J420" s="52" t="n">
        <v>104</v>
      </c>
      <c r="K420" s="52" t="inlineStr">
        <is>
          <t>8</t>
        </is>
      </c>
      <c r="L420" s="53" t="inlineStr">
        <is>
          <t>СК2</t>
        </is>
      </c>
      <c r="M420" s="52" t="n">
        <v>60</v>
      </c>
      <c r="N420" s="10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63" t="n"/>
      <c r="P420" s="163" t="n"/>
      <c r="Q420" s="163" t="n"/>
      <c r="R420" s="128" t="n"/>
      <c r="S420" s="54" t="n"/>
      <c r="T420" s="54" t="n"/>
      <c r="U420" s="55" t="inlineStr">
        <is>
          <t>кг</t>
        </is>
      </c>
      <c r="V420" s="164" t="n">
        <v>0</v>
      </c>
      <c r="W420" s="165">
        <f>IFERROR(IF(V420="",0,CEILING((V420/$H420),1)*$H420),"")</f>
        <v/>
      </c>
      <c r="X420" s="58">
        <f>IFERROR(IF(W420=0,"",ROUNDUP(W420/H420,0)*0.01196),"")</f>
        <v/>
      </c>
      <c r="Y420" s="59" t="n"/>
      <c r="Z420" s="60" t="n"/>
      <c r="AA420" s="71" t="n"/>
      <c r="AD420" s="61" t="n"/>
      <c r="BA420" s="62" t="inlineStr">
        <is>
          <t>КИ</t>
        </is>
      </c>
    </row>
    <row r="421" ht="27" customHeight="1">
      <c r="A421" s="49" t="inlineStr">
        <is>
          <t>SU002151</t>
        </is>
      </c>
      <c r="B421" s="49" t="inlineStr">
        <is>
          <t>P003634</t>
        </is>
      </c>
      <c r="C421" s="50" t="n">
        <v>4301031250</v>
      </c>
      <c r="D421" s="107" t="n">
        <v>4680115883109</v>
      </c>
      <c r="E421" s="128" t="n"/>
      <c r="F421" s="162" t="n">
        <v>0.88</v>
      </c>
      <c r="G421" s="52" t="n">
        <v>6</v>
      </c>
      <c r="H421" s="162" t="n">
        <v>5.28</v>
      </c>
      <c r="I421" s="162" t="n">
        <v>5.64</v>
      </c>
      <c r="J421" s="52" t="n">
        <v>104</v>
      </c>
      <c r="K421" s="52" t="inlineStr">
        <is>
          <t>8</t>
        </is>
      </c>
      <c r="L421" s="53" t="inlineStr">
        <is>
          <t>СК2</t>
        </is>
      </c>
      <c r="M421" s="52" t="n">
        <v>60</v>
      </c>
      <c r="N421" s="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63" t="n"/>
      <c r="P421" s="163" t="n"/>
      <c r="Q421" s="163" t="n"/>
      <c r="R421" s="128" t="n"/>
      <c r="S421" s="54" t="n"/>
      <c r="T421" s="54" t="n"/>
      <c r="U421" s="55" t="inlineStr">
        <is>
          <t>кг</t>
        </is>
      </c>
      <c r="V421" s="164" t="n">
        <v>0</v>
      </c>
      <c r="W421" s="165">
        <f>IFERROR(IF(V421="",0,CEILING((V421/$H421),1)*$H421),"")</f>
        <v/>
      </c>
      <c r="X421" s="58">
        <f>IFERROR(IF(W421=0,"",ROUNDUP(W421/H421,0)*0.01196),"")</f>
        <v/>
      </c>
      <c r="Y421" s="59" t="n"/>
      <c r="Z421" s="60" t="n"/>
      <c r="AA421" s="71" t="n"/>
      <c r="AD421" s="61" t="n"/>
      <c r="BA421" s="62" t="inlineStr">
        <is>
          <t>КИ</t>
        </is>
      </c>
    </row>
    <row r="422" ht="27" customHeight="1">
      <c r="A422" s="49" t="inlineStr">
        <is>
          <t>SU002916</t>
        </is>
      </c>
      <c r="B422" s="49" t="inlineStr">
        <is>
          <t>P003633</t>
        </is>
      </c>
      <c r="C422" s="50" t="n">
        <v>4301031249</v>
      </c>
      <c r="D422" s="107" t="n">
        <v>4680115882072</v>
      </c>
      <c r="E422" s="128" t="n"/>
      <c r="F422" s="162" t="n">
        <v>0.6</v>
      </c>
      <c r="G422" s="52" t="n">
        <v>6</v>
      </c>
      <c r="H422" s="162" t="n">
        <v>3.6</v>
      </c>
      <c r="I422" s="162" t="n">
        <v>3.81</v>
      </c>
      <c r="J422" s="52" t="n">
        <v>120</v>
      </c>
      <c r="K422" s="52" t="inlineStr">
        <is>
          <t>12</t>
        </is>
      </c>
      <c r="L422" s="53" t="inlineStr">
        <is>
          <t>СК1</t>
        </is>
      </c>
      <c r="M422" s="52" t="n">
        <v>60</v>
      </c>
      <c r="N422" s="115" t="inlineStr">
        <is>
          <t>В/к колбасы «Рубленая Запеченная» Фикс.вес 0,6 Вектор ТМ «Дугушка»</t>
        </is>
      </c>
      <c r="O422" s="163" t="n"/>
      <c r="P422" s="163" t="n"/>
      <c r="Q422" s="163" t="n"/>
      <c r="R422" s="128" t="n"/>
      <c r="S422" s="54" t="n"/>
      <c r="T422" s="54" t="n"/>
      <c r="U422" s="55" t="inlineStr">
        <is>
          <t>кг</t>
        </is>
      </c>
      <c r="V422" s="164" t="n">
        <v>0</v>
      </c>
      <c r="W422" s="165">
        <f>IFERROR(IF(V422="",0,CEILING((V422/$H422),1)*$H422),"")</f>
        <v/>
      </c>
      <c r="X422" s="58">
        <f>IFERROR(IF(W422=0,"",ROUNDUP(W422/H422,0)*0.00937),"")</f>
        <v/>
      </c>
      <c r="Y422" s="59" t="n"/>
      <c r="Z422" s="60" t="n"/>
      <c r="AA422" s="71" t="n"/>
      <c r="AD422" s="61" t="n"/>
      <c r="BA422" s="62" t="inlineStr">
        <is>
          <t>КИ</t>
        </is>
      </c>
    </row>
    <row r="423" ht="27" customHeight="1">
      <c r="A423" s="49" t="inlineStr">
        <is>
          <t>SU002919</t>
        </is>
      </c>
      <c r="B423" s="49" t="inlineStr">
        <is>
          <t>P003635</t>
        </is>
      </c>
      <c r="C423" s="50" t="n">
        <v>4301031251</v>
      </c>
      <c r="D423" s="107" t="n">
        <v>4680115882102</v>
      </c>
      <c r="E423" s="128" t="n"/>
      <c r="F423" s="162" t="n">
        <v>0.6</v>
      </c>
      <c r="G423" s="52" t="n">
        <v>6</v>
      </c>
      <c r="H423" s="162" t="n">
        <v>3.6</v>
      </c>
      <c r="I423" s="162" t="n">
        <v>3.81</v>
      </c>
      <c r="J423" s="52" t="n">
        <v>120</v>
      </c>
      <c r="K423" s="52" t="inlineStr">
        <is>
          <t>12</t>
        </is>
      </c>
      <c r="L423" s="53" t="inlineStr">
        <is>
          <t>СК2</t>
        </is>
      </c>
      <c r="M423" s="52" t="n">
        <v>60</v>
      </c>
      <c r="N423" s="115" t="inlineStr">
        <is>
          <t>В/к колбасы «Салями Запеченая» Фикс.вес 0,6 Вектор ТМ «Дугушка»</t>
        </is>
      </c>
      <c r="O423" s="163" t="n"/>
      <c r="P423" s="163" t="n"/>
      <c r="Q423" s="163" t="n"/>
      <c r="R423" s="128" t="n"/>
      <c r="S423" s="54" t="n"/>
      <c r="T423" s="54" t="n"/>
      <c r="U423" s="55" t="inlineStr">
        <is>
          <t>кг</t>
        </is>
      </c>
      <c r="V423" s="164" t="n">
        <v>0</v>
      </c>
      <c r="W423" s="165">
        <f>IFERROR(IF(V423="",0,CEILING((V423/$H423),1)*$H423),"")</f>
        <v/>
      </c>
      <c r="X423" s="58">
        <f>IFERROR(IF(W423=0,"",ROUNDUP(W423/H423,0)*0.00937),"")</f>
        <v/>
      </c>
      <c r="Y423" s="59" t="n"/>
      <c r="Z423" s="60" t="n"/>
      <c r="AA423" s="71" t="n"/>
      <c r="AD423" s="61" t="n"/>
      <c r="BA423" s="62" t="inlineStr">
        <is>
          <t>КИ</t>
        </is>
      </c>
    </row>
    <row r="424" ht="27" customHeight="1">
      <c r="A424" s="49" t="inlineStr">
        <is>
          <t>SU002918</t>
        </is>
      </c>
      <c r="B424" s="49" t="inlineStr">
        <is>
          <t>P003637</t>
        </is>
      </c>
      <c r="C424" s="50" t="n">
        <v>4301031253</v>
      </c>
      <c r="D424" s="107" t="n">
        <v>4680115882096</v>
      </c>
      <c r="E424" s="128" t="n"/>
      <c r="F424" s="162" t="n">
        <v>0.6</v>
      </c>
      <c r="G424" s="52" t="n">
        <v>6</v>
      </c>
      <c r="H424" s="162" t="n">
        <v>3.6</v>
      </c>
      <c r="I424" s="162" t="n">
        <v>3.81</v>
      </c>
      <c r="J424" s="52" t="n">
        <v>120</v>
      </c>
      <c r="K424" s="52" t="inlineStr">
        <is>
          <t>12</t>
        </is>
      </c>
      <c r="L424" s="53" t="inlineStr">
        <is>
          <t>СК2</t>
        </is>
      </c>
      <c r="M424" s="52" t="n">
        <v>60</v>
      </c>
      <c r="N424" s="115" t="inlineStr">
        <is>
          <t>В/к колбасы «Сервелат Запеченный» Фикс.вес 0,6 Вектор ТМ «Дугушка»</t>
        </is>
      </c>
      <c r="O424" s="163" t="n"/>
      <c r="P424" s="163" t="n"/>
      <c r="Q424" s="163" t="n"/>
      <c r="R424" s="128" t="n"/>
      <c r="S424" s="54" t="n"/>
      <c r="T424" s="54" t="n"/>
      <c r="U424" s="55" t="inlineStr">
        <is>
          <t>кг</t>
        </is>
      </c>
      <c r="V424" s="164" t="n">
        <v>0</v>
      </c>
      <c r="W424" s="165">
        <f>IFERROR(IF(V424="",0,CEILING((V424/$H424),1)*$H424),"")</f>
        <v/>
      </c>
      <c r="X424" s="58">
        <f>IFERROR(IF(W424=0,"",ROUNDUP(W424/H424,0)*0.00937),"")</f>
        <v/>
      </c>
      <c r="Y424" s="59" t="n"/>
      <c r="Z424" s="60" t="n"/>
      <c r="AA424" s="71" t="n"/>
      <c r="AD424" s="61" t="n"/>
      <c r="BA424" s="62" t="inlineStr">
        <is>
          <t>КИ</t>
        </is>
      </c>
    </row>
    <row r="425" ht="12.5" customHeight="1">
      <c r="A425" s="109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66" t="n"/>
      <c r="N425" s="110" t="inlineStr">
        <is>
          <t>Итого</t>
        </is>
      </c>
      <c r="O425" s="134" t="n"/>
      <c r="P425" s="134" t="n"/>
      <c r="Q425" s="134" t="n"/>
      <c r="R425" s="134" t="n"/>
      <c r="S425" s="134" t="n"/>
      <c r="T425" s="135" t="n"/>
      <c r="U425" s="63" t="inlineStr">
        <is>
          <t>кор</t>
        </is>
      </c>
      <c r="V425" s="167">
        <f>IFERROR(V419/H419,"0")+IFERROR(V420/H420,"0")+IFERROR(V421/H421,"0")+IFERROR(V422/H422,"0")+IFERROR(V423/H423,"0")+IFERROR(V424/H424,"0")</f>
        <v/>
      </c>
      <c r="W425" s="167">
        <f>IFERROR(W419/H419,"0")+IFERROR(W420/H420,"0")+IFERROR(W421/H421,"0")+IFERROR(W422/H422,"0")+IFERROR(W423/H423,"0")+IFERROR(W424/H424,"0")</f>
        <v/>
      </c>
      <c r="X425" s="167">
        <f>IFERROR(IF(X419="",0,X419),"0")+IFERROR(IF(X420="",0,X420),"0")+IFERROR(IF(X421="",0,X421),"0")+IFERROR(IF(X422="",0,X422),"0")+IFERROR(IF(X423="",0,X423),"0")+IFERROR(IF(X424="",0,X424),"0")</f>
        <v/>
      </c>
      <c r="Y425" s="168" t="n"/>
      <c r="Z425" s="168" t="n"/>
      <c r="AA425" s="71" t="n"/>
    </row>
    <row r="426" ht="12.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66" t="n"/>
      <c r="N426" s="110" t="inlineStr">
        <is>
          <t>Итого</t>
        </is>
      </c>
      <c r="O426" s="134" t="n"/>
      <c r="P426" s="134" t="n"/>
      <c r="Q426" s="134" t="n"/>
      <c r="R426" s="134" t="n"/>
      <c r="S426" s="134" t="n"/>
      <c r="T426" s="135" t="n"/>
      <c r="U426" s="63" t="inlineStr">
        <is>
          <t>кг</t>
        </is>
      </c>
      <c r="V426" s="167">
        <f>IFERROR(SUM(V419:V424),"0")</f>
        <v/>
      </c>
      <c r="W426" s="167">
        <f>IFERROR(SUM(W419:W424),"0")</f>
        <v/>
      </c>
      <c r="X426" s="63" t="n"/>
      <c r="Y426" s="168" t="n"/>
      <c r="Z426" s="168" t="n"/>
      <c r="AA426" s="71" t="n"/>
    </row>
    <row r="427" ht="14.25" customHeight="1">
      <c r="A427" s="106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06" t="n"/>
      <c r="Z427" s="106" t="n"/>
      <c r="AA427" s="71" t="n"/>
    </row>
    <row r="428" ht="16.5" customHeight="1">
      <c r="A428" s="49" t="inlineStr">
        <is>
          <t>SU002218</t>
        </is>
      </c>
      <c r="B428" s="49" t="inlineStr">
        <is>
          <t>P002854</t>
        </is>
      </c>
      <c r="C428" s="50" t="n">
        <v>4301051230</v>
      </c>
      <c r="D428" s="107" t="n">
        <v>4607091383409</v>
      </c>
      <c r="E428" s="128" t="n"/>
      <c r="F428" s="162" t="n">
        <v>1.3</v>
      </c>
      <c r="G428" s="52" t="n">
        <v>6</v>
      </c>
      <c r="H428" s="162" t="n">
        <v>7.8</v>
      </c>
      <c r="I428" s="162" t="n">
        <v>8.346</v>
      </c>
      <c r="J428" s="52" t="n">
        <v>56</v>
      </c>
      <c r="K428" s="52" t="inlineStr">
        <is>
          <t>8</t>
        </is>
      </c>
      <c r="L428" s="53" t="inlineStr">
        <is>
          <t>СК2</t>
        </is>
      </c>
      <c r="M428" s="52" t="n">
        <v>45</v>
      </c>
      <c r="N428" s="1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63" t="n"/>
      <c r="P428" s="163" t="n"/>
      <c r="Q428" s="163" t="n"/>
      <c r="R428" s="128" t="n"/>
      <c r="S428" s="54" t="n"/>
      <c r="T428" s="54" t="n"/>
      <c r="U428" s="55" t="inlineStr">
        <is>
          <t>кг</t>
        </is>
      </c>
      <c r="V428" s="164" t="n">
        <v>15.6</v>
      </c>
      <c r="W428" s="165">
        <f>IFERROR(IF(V428="",0,CEILING((V428/$H428),1)*$H428),"")</f>
        <v/>
      </c>
      <c r="X428" s="58">
        <f>IFERROR(IF(W428=0,"",ROUNDUP(W428/H428,0)*0.02175),"")</f>
        <v/>
      </c>
      <c r="Y428" s="59" t="n"/>
      <c r="Z428" s="60" t="n"/>
      <c r="AA428" s="71" t="n"/>
      <c r="AD428" s="61" t="n"/>
      <c r="BA428" s="62" t="inlineStr">
        <is>
          <t>КИ</t>
        </is>
      </c>
    </row>
    <row r="429" ht="16.5" customHeight="1">
      <c r="A429" s="49" t="inlineStr">
        <is>
          <t>SU002219</t>
        </is>
      </c>
      <c r="B429" s="49" t="inlineStr">
        <is>
          <t>P002855</t>
        </is>
      </c>
      <c r="C429" s="50" t="n">
        <v>4301051231</v>
      </c>
      <c r="D429" s="107" t="n">
        <v>4607091383416</v>
      </c>
      <c r="E429" s="128" t="n"/>
      <c r="F429" s="162" t="n">
        <v>1.3</v>
      </c>
      <c r="G429" s="52" t="n">
        <v>6</v>
      </c>
      <c r="H429" s="162" t="n">
        <v>7.8</v>
      </c>
      <c r="I429" s="162" t="n">
        <v>8.346</v>
      </c>
      <c r="J429" s="52" t="n">
        <v>56</v>
      </c>
      <c r="K429" s="52" t="inlineStr">
        <is>
          <t>8</t>
        </is>
      </c>
      <c r="L429" s="53" t="inlineStr">
        <is>
          <t>СК2</t>
        </is>
      </c>
      <c r="M429" s="52" t="n">
        <v>45</v>
      </c>
      <c r="N429" s="1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63" t="n"/>
      <c r="P429" s="163" t="n"/>
      <c r="Q429" s="163" t="n"/>
      <c r="R429" s="128" t="n"/>
      <c r="S429" s="54" t="n"/>
      <c r="T429" s="54" t="n"/>
      <c r="U429" s="55" t="inlineStr">
        <is>
          <t>кг</t>
        </is>
      </c>
      <c r="V429" s="164" t="n">
        <v>0</v>
      </c>
      <c r="W429" s="165">
        <f>IFERROR(IF(V429="",0,CEILING((V429/$H429),1)*$H429),"")</f>
        <v/>
      </c>
      <c r="X429" s="58">
        <f>IFERROR(IF(W429=0,"",ROUNDUP(W429/H429,0)*0.02175),"")</f>
        <v/>
      </c>
      <c r="Y429" s="59" t="n"/>
      <c r="Z429" s="60" t="n"/>
      <c r="AA429" s="71" t="n"/>
      <c r="AD429" s="61" t="n"/>
      <c r="BA429" s="62" t="inlineStr">
        <is>
          <t>КИ</t>
        </is>
      </c>
    </row>
    <row r="430" ht="12.5" customHeight="1">
      <c r="A430" s="109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66" t="n"/>
      <c r="N430" s="110" t="inlineStr">
        <is>
          <t>Итого</t>
        </is>
      </c>
      <c r="O430" s="134" t="n"/>
      <c r="P430" s="134" t="n"/>
      <c r="Q430" s="134" t="n"/>
      <c r="R430" s="134" t="n"/>
      <c r="S430" s="134" t="n"/>
      <c r="T430" s="135" t="n"/>
      <c r="U430" s="63" t="inlineStr">
        <is>
          <t>кор</t>
        </is>
      </c>
      <c r="V430" s="167">
        <f>IFERROR(V428/H428,"0")+IFERROR(V429/H429,"0")</f>
        <v/>
      </c>
      <c r="W430" s="167">
        <f>IFERROR(W428/H428,"0")+IFERROR(W429/H429,"0")</f>
        <v/>
      </c>
      <c r="X430" s="167">
        <f>IFERROR(IF(X428="",0,X428),"0")+IFERROR(IF(X429="",0,X429),"0")</f>
        <v/>
      </c>
      <c r="Y430" s="168" t="n"/>
      <c r="Z430" s="168" t="n"/>
      <c r="AA430" s="71" t="n"/>
    </row>
    <row r="431" ht="12.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66" t="n"/>
      <c r="N431" s="110" t="inlineStr">
        <is>
          <t>Итого</t>
        </is>
      </c>
      <c r="O431" s="134" t="n"/>
      <c r="P431" s="134" t="n"/>
      <c r="Q431" s="134" t="n"/>
      <c r="R431" s="134" t="n"/>
      <c r="S431" s="134" t="n"/>
      <c r="T431" s="135" t="n"/>
      <c r="U431" s="63" t="inlineStr">
        <is>
          <t>кг</t>
        </is>
      </c>
      <c r="V431" s="167">
        <f>IFERROR(SUM(V428:V429),"0")</f>
        <v/>
      </c>
      <c r="W431" s="167">
        <f>IFERROR(SUM(W428:W429),"0")</f>
        <v/>
      </c>
      <c r="X431" s="63" t="n"/>
      <c r="Y431" s="168" t="n"/>
      <c r="Z431" s="168" t="n"/>
      <c r="AA431" s="71" t="n"/>
    </row>
    <row r="432" ht="27.75" customHeight="1">
      <c r="A432" s="104" t="inlineStr">
        <is>
          <t>Зареченские</t>
        </is>
      </c>
      <c r="B432" s="161" t="n"/>
      <c r="C432" s="161" t="n"/>
      <c r="D432" s="161" t="n"/>
      <c r="E432" s="161" t="n"/>
      <c r="F432" s="161" t="n"/>
      <c r="G432" s="161" t="n"/>
      <c r="H432" s="161" t="n"/>
      <c r="I432" s="161" t="n"/>
      <c r="J432" s="161" t="n"/>
      <c r="K432" s="161" t="n"/>
      <c r="L432" s="161" t="n"/>
      <c r="M432" s="161" t="n"/>
      <c r="N432" s="161" t="n"/>
      <c r="O432" s="161" t="n"/>
      <c r="P432" s="161" t="n"/>
      <c r="Q432" s="161" t="n"/>
      <c r="R432" s="161" t="n"/>
      <c r="S432" s="161" t="n"/>
      <c r="T432" s="161" t="n"/>
      <c r="U432" s="161" t="n"/>
      <c r="V432" s="161" t="n"/>
      <c r="W432" s="161" t="n"/>
      <c r="X432" s="161" t="n"/>
      <c r="Y432" s="46" t="n"/>
      <c r="Z432" s="46" t="n"/>
      <c r="AA432" s="71" t="n"/>
    </row>
    <row r="433" ht="16.5" customHeight="1">
      <c r="A433" s="105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05" t="n"/>
      <c r="Z433" s="105" t="n"/>
      <c r="AA433" s="71" t="n"/>
    </row>
    <row r="434" ht="14.25" customHeight="1">
      <c r="A434" s="106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06" t="n"/>
      <c r="Z434" s="106" t="n"/>
      <c r="AA434" s="71" t="n"/>
    </row>
    <row r="435" ht="27" customHeight="1">
      <c r="A435" s="49" t="inlineStr">
        <is>
          <t>SU002807</t>
        </is>
      </c>
      <c r="B435" s="49" t="inlineStr">
        <is>
          <t>P003583</t>
        </is>
      </c>
      <c r="C435" s="50" t="n">
        <v>4301011585</v>
      </c>
      <c r="D435" s="107" t="n">
        <v>4640242180441</v>
      </c>
      <c r="E435" s="128" t="n"/>
      <c r="F435" s="162" t="n">
        <v>1.5</v>
      </c>
      <c r="G435" s="52" t="n">
        <v>8</v>
      </c>
      <c r="H435" s="162" t="n">
        <v>12</v>
      </c>
      <c r="I435" s="162" t="n">
        <v>12.48</v>
      </c>
      <c r="J435" s="52" t="n">
        <v>56</v>
      </c>
      <c r="K435" s="52" t="inlineStr">
        <is>
          <t>8</t>
        </is>
      </c>
      <c r="L435" s="53" t="inlineStr">
        <is>
          <t>СК1</t>
        </is>
      </c>
      <c r="M435" s="52" t="n">
        <v>50</v>
      </c>
      <c r="N435" s="115" t="inlineStr">
        <is>
          <t>Вареные колбасы «Муромская» Весовой п/а ТМ «Зареченские»</t>
        </is>
      </c>
      <c r="O435" s="163" t="n"/>
      <c r="P435" s="163" t="n"/>
      <c r="Q435" s="163" t="n"/>
      <c r="R435" s="128" t="n"/>
      <c r="S435" s="54" t="n"/>
      <c r="T435" s="54" t="n"/>
      <c r="U435" s="55" t="inlineStr">
        <is>
          <t>кг</t>
        </is>
      </c>
      <c r="V435" s="164" t="n">
        <v>0</v>
      </c>
      <c r="W435" s="165">
        <f>IFERROR(IF(V435="",0,CEILING((V435/$H435),1)*$H435),"")</f>
        <v/>
      </c>
      <c r="X435" s="58">
        <f>IFERROR(IF(W435=0,"",ROUNDUP(W435/H435,0)*0.02175),"")</f>
        <v/>
      </c>
      <c r="Y435" s="59" t="n"/>
      <c r="Z435" s="60" t="n"/>
      <c r="AA435" s="71" t="n"/>
      <c r="AD435" s="61" t="n"/>
      <c r="BA435" s="62" t="inlineStr">
        <is>
          <t>КИ</t>
        </is>
      </c>
    </row>
    <row r="436" ht="27" customHeight="1">
      <c r="A436" s="49" t="inlineStr">
        <is>
          <t>SU002808</t>
        </is>
      </c>
      <c r="B436" s="49" t="inlineStr">
        <is>
          <t>P003582</t>
        </is>
      </c>
      <c r="C436" s="50" t="n">
        <v>4301011584</v>
      </c>
      <c r="D436" s="107" t="n">
        <v>4640242180564</v>
      </c>
      <c r="E436" s="128" t="n"/>
      <c r="F436" s="162" t="n">
        <v>1.5</v>
      </c>
      <c r="G436" s="52" t="n">
        <v>8</v>
      </c>
      <c r="H436" s="162" t="n">
        <v>12</v>
      </c>
      <c r="I436" s="162" t="n">
        <v>12.48</v>
      </c>
      <c r="J436" s="52" t="n">
        <v>56</v>
      </c>
      <c r="K436" s="52" t="inlineStr">
        <is>
          <t>8</t>
        </is>
      </c>
      <c r="L436" s="53" t="inlineStr">
        <is>
          <t>СК1</t>
        </is>
      </c>
      <c r="M436" s="52" t="n">
        <v>50</v>
      </c>
      <c r="N436" s="115" t="inlineStr">
        <is>
          <t>Вареные колбасы «Нежная» НТУ Весовые П/а ТМ «Зареченские»</t>
        </is>
      </c>
      <c r="O436" s="163" t="n"/>
      <c r="P436" s="163" t="n"/>
      <c r="Q436" s="163" t="n"/>
      <c r="R436" s="128" t="n"/>
      <c r="S436" s="54" t="n"/>
      <c r="T436" s="54" t="n"/>
      <c r="U436" s="55" t="inlineStr">
        <is>
          <t>кг</t>
        </is>
      </c>
      <c r="V436" s="164" t="n">
        <v>0</v>
      </c>
      <c r="W436" s="165">
        <f>IFERROR(IF(V436="",0,CEILING((V436/$H436),1)*$H436),"")</f>
        <v/>
      </c>
      <c r="X436" s="58">
        <f>IFERROR(IF(W436=0,"",ROUNDUP(W436/H436,0)*0.02175),"")</f>
        <v/>
      </c>
      <c r="Y436" s="59" t="n"/>
      <c r="Z436" s="60" t="n"/>
      <c r="AA436" s="71" t="n"/>
      <c r="AD436" s="61" t="n"/>
      <c r="BA436" s="62" t="inlineStr">
        <is>
          <t>КИ</t>
        </is>
      </c>
    </row>
    <row r="437" ht="12.5" customHeight="1">
      <c r="A437" s="109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66" t="n"/>
      <c r="N437" s="110" t="inlineStr">
        <is>
          <t>Итого</t>
        </is>
      </c>
      <c r="O437" s="134" t="n"/>
      <c r="P437" s="134" t="n"/>
      <c r="Q437" s="134" t="n"/>
      <c r="R437" s="134" t="n"/>
      <c r="S437" s="134" t="n"/>
      <c r="T437" s="135" t="n"/>
      <c r="U437" s="63" t="inlineStr">
        <is>
          <t>кор</t>
        </is>
      </c>
      <c r="V437" s="167">
        <f>IFERROR(V435/H435,"0")+IFERROR(V436/H436,"0")</f>
        <v/>
      </c>
      <c r="W437" s="167">
        <f>IFERROR(W435/H435,"0")+IFERROR(W436/H436,"0")</f>
        <v/>
      </c>
      <c r="X437" s="167">
        <f>IFERROR(IF(X435="",0,X435),"0")+IFERROR(IF(X436="",0,X436),"0")</f>
        <v/>
      </c>
      <c r="Y437" s="168" t="n"/>
      <c r="Z437" s="168" t="n"/>
      <c r="AA437" s="71" t="n"/>
    </row>
    <row r="438" ht="12.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66" t="n"/>
      <c r="N438" s="110" t="inlineStr">
        <is>
          <t>Итого</t>
        </is>
      </c>
      <c r="O438" s="134" t="n"/>
      <c r="P438" s="134" t="n"/>
      <c r="Q438" s="134" t="n"/>
      <c r="R438" s="134" t="n"/>
      <c r="S438" s="134" t="n"/>
      <c r="T438" s="135" t="n"/>
      <c r="U438" s="63" t="inlineStr">
        <is>
          <t>кг</t>
        </is>
      </c>
      <c r="V438" s="167">
        <f>IFERROR(SUM(V435:V436),"0")</f>
        <v/>
      </c>
      <c r="W438" s="167">
        <f>IFERROR(SUM(W435:W436),"0")</f>
        <v/>
      </c>
      <c r="X438" s="63" t="n"/>
      <c r="Y438" s="168" t="n"/>
      <c r="Z438" s="168" t="n"/>
      <c r="AA438" s="71" t="n"/>
    </row>
    <row r="439" ht="14.25" customHeight="1">
      <c r="A439" s="106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06" t="n"/>
      <c r="Z439" s="106" t="n"/>
      <c r="AA439" s="71" t="n"/>
    </row>
    <row r="440" ht="27" customHeight="1">
      <c r="A440" s="49" t="inlineStr">
        <is>
          <t>SU002811</t>
        </is>
      </c>
      <c r="B440" s="49" t="inlineStr">
        <is>
          <t>P003588</t>
        </is>
      </c>
      <c r="C440" s="50" t="n">
        <v>4301020260</v>
      </c>
      <c r="D440" s="107" t="n">
        <v>4640242180526</v>
      </c>
      <c r="E440" s="128" t="n"/>
      <c r="F440" s="162" t="n">
        <v>1.8</v>
      </c>
      <c r="G440" s="52" t="n">
        <v>6</v>
      </c>
      <c r="H440" s="162" t="n">
        <v>10.8</v>
      </c>
      <c r="I440" s="162" t="n">
        <v>11.28</v>
      </c>
      <c r="J440" s="52" t="n">
        <v>56</v>
      </c>
      <c r="K440" s="52" t="inlineStr">
        <is>
          <t>8</t>
        </is>
      </c>
      <c r="L440" s="53" t="inlineStr">
        <is>
          <t>СК1</t>
        </is>
      </c>
      <c r="M440" s="52" t="n">
        <v>50</v>
      </c>
      <c r="N440" s="115" t="inlineStr">
        <is>
          <t>Ветчины «Нежная» Весовой п/а ТМ «Зареченские» большой батон</t>
        </is>
      </c>
      <c r="O440" s="163" t="n"/>
      <c r="P440" s="163" t="n"/>
      <c r="Q440" s="163" t="n"/>
      <c r="R440" s="128" t="n"/>
      <c r="S440" s="54" t="n"/>
      <c r="T440" s="54" t="n"/>
      <c r="U440" s="55" t="inlineStr">
        <is>
          <t>кг</t>
        </is>
      </c>
      <c r="V440" s="164" t="n">
        <v>0</v>
      </c>
      <c r="W440" s="165">
        <f>IFERROR(IF(V440="",0,CEILING((V440/$H440),1)*$H440),"")</f>
        <v/>
      </c>
      <c r="X440" s="58">
        <f>IFERROR(IF(W440=0,"",ROUNDUP(W440/H440,0)*0.02175),"")</f>
        <v/>
      </c>
      <c r="Y440" s="59" t="n"/>
      <c r="Z440" s="60" t="n"/>
      <c r="AA440" s="71" t="n"/>
      <c r="AD440" s="61" t="n"/>
      <c r="BA440" s="62" t="inlineStr">
        <is>
          <t>КИ</t>
        </is>
      </c>
    </row>
    <row r="441" ht="16.5" customHeight="1">
      <c r="A441" s="49" t="inlineStr">
        <is>
          <t>SU002806</t>
        </is>
      </c>
      <c r="B441" s="49" t="inlineStr">
        <is>
          <t>P003591</t>
        </is>
      </c>
      <c r="C441" s="50" t="n">
        <v>4301020269</v>
      </c>
      <c r="D441" s="107" t="n">
        <v>4640242180519</v>
      </c>
      <c r="E441" s="128" t="n"/>
      <c r="F441" s="162" t="n">
        <v>1.35</v>
      </c>
      <c r="G441" s="52" t="n">
        <v>8</v>
      </c>
      <c r="H441" s="162" t="n">
        <v>10.8</v>
      </c>
      <c r="I441" s="162" t="n">
        <v>11.28</v>
      </c>
      <c r="J441" s="52" t="n">
        <v>56</v>
      </c>
      <c r="K441" s="52" t="inlineStr">
        <is>
          <t>8</t>
        </is>
      </c>
      <c r="L441" s="53" t="inlineStr">
        <is>
          <t>СК3</t>
        </is>
      </c>
      <c r="M441" s="52" t="n">
        <v>50</v>
      </c>
      <c r="N441" s="115" t="inlineStr">
        <is>
          <t>Ветчины «Нежная» Весовой п/а ТМ «Зареченские»</t>
        </is>
      </c>
      <c r="O441" s="163" t="n"/>
      <c r="P441" s="163" t="n"/>
      <c r="Q441" s="163" t="n"/>
      <c r="R441" s="128" t="n"/>
      <c r="S441" s="54" t="n"/>
      <c r="T441" s="54" t="n"/>
      <c r="U441" s="55" t="inlineStr">
        <is>
          <t>кг</t>
        </is>
      </c>
      <c r="V441" s="164" t="n">
        <v>0</v>
      </c>
      <c r="W441" s="165">
        <f>IFERROR(IF(V441="",0,CEILING((V441/$H441),1)*$H441),"")</f>
        <v/>
      </c>
      <c r="X441" s="58">
        <f>IFERROR(IF(W441=0,"",ROUNDUP(W441/H441,0)*0.02175),"")</f>
        <v/>
      </c>
      <c r="Y441" s="59" t="n"/>
      <c r="Z441" s="60" t="n"/>
      <c r="AA441" s="71" t="n"/>
      <c r="AD441" s="61" t="n"/>
      <c r="BA441" s="62" t="inlineStr">
        <is>
          <t>КИ</t>
        </is>
      </c>
    </row>
    <row r="442" ht="12.5" customHeight="1">
      <c r="A442" s="109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66" t="n"/>
      <c r="N442" s="110" t="inlineStr">
        <is>
          <t>Итого</t>
        </is>
      </c>
      <c r="O442" s="134" t="n"/>
      <c r="P442" s="134" t="n"/>
      <c r="Q442" s="134" t="n"/>
      <c r="R442" s="134" t="n"/>
      <c r="S442" s="134" t="n"/>
      <c r="T442" s="135" t="n"/>
      <c r="U442" s="63" t="inlineStr">
        <is>
          <t>кор</t>
        </is>
      </c>
      <c r="V442" s="167">
        <f>IFERROR(V440/H440,"0")+IFERROR(V441/H441,"0")</f>
        <v/>
      </c>
      <c r="W442" s="167">
        <f>IFERROR(W440/H440,"0")+IFERROR(W441/H441,"0")</f>
        <v/>
      </c>
      <c r="X442" s="167">
        <f>IFERROR(IF(X440="",0,X440),"0")+IFERROR(IF(X441="",0,X441),"0")</f>
        <v/>
      </c>
      <c r="Y442" s="168" t="n"/>
      <c r="Z442" s="168" t="n"/>
      <c r="AA442" s="71" t="n"/>
    </row>
    <row r="443" ht="12.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66" t="n"/>
      <c r="N443" s="110" t="inlineStr">
        <is>
          <t>Итого</t>
        </is>
      </c>
      <c r="O443" s="134" t="n"/>
      <c r="P443" s="134" t="n"/>
      <c r="Q443" s="134" t="n"/>
      <c r="R443" s="134" t="n"/>
      <c r="S443" s="134" t="n"/>
      <c r="T443" s="135" t="n"/>
      <c r="U443" s="63" t="inlineStr">
        <is>
          <t>кг</t>
        </is>
      </c>
      <c r="V443" s="167">
        <f>IFERROR(SUM(V440:V441),"0")</f>
        <v/>
      </c>
      <c r="W443" s="167">
        <f>IFERROR(SUM(W440:W441),"0")</f>
        <v/>
      </c>
      <c r="X443" s="63" t="n"/>
      <c r="Y443" s="168" t="n"/>
      <c r="Z443" s="168" t="n"/>
      <c r="AA443" s="71" t="n"/>
    </row>
    <row r="444" ht="14.25" customHeight="1">
      <c r="A444" s="106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06" t="n"/>
      <c r="Z444" s="106" t="n"/>
      <c r="AA444" s="71" t="n"/>
    </row>
    <row r="445" ht="27" customHeight="1">
      <c r="A445" s="49" t="inlineStr">
        <is>
          <t>SU002805</t>
        </is>
      </c>
      <c r="B445" s="49" t="inlineStr">
        <is>
          <t>P003584</t>
        </is>
      </c>
      <c r="C445" s="50" t="n">
        <v>4301031280</v>
      </c>
      <c r="D445" s="107" t="n">
        <v>4640242180816</v>
      </c>
      <c r="E445" s="128" t="n"/>
      <c r="F445" s="162" t="n">
        <v>0.7</v>
      </c>
      <c r="G445" s="52" t="n">
        <v>6</v>
      </c>
      <c r="H445" s="162" t="n">
        <v>4.2</v>
      </c>
      <c r="I445" s="162" t="n">
        <v>4.46</v>
      </c>
      <c r="J445" s="52" t="n">
        <v>156</v>
      </c>
      <c r="K445" s="52" t="inlineStr">
        <is>
          <t>12</t>
        </is>
      </c>
      <c r="L445" s="53" t="inlineStr">
        <is>
          <t>СК2</t>
        </is>
      </c>
      <c r="M445" s="52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63" t="n"/>
      <c r="P445" s="163" t="n"/>
      <c r="Q445" s="163" t="n"/>
      <c r="R445" s="128" t="n"/>
      <c r="S445" s="54" t="n"/>
      <c r="T445" s="54" t="n"/>
      <c r="U445" s="55" t="inlineStr">
        <is>
          <t>кг</t>
        </is>
      </c>
      <c r="V445" s="164" t="n">
        <v>0</v>
      </c>
      <c r="W445" s="165">
        <f>IFERROR(IF(V445="",0,CEILING((V445/$H445),1)*$H445),"")</f>
        <v/>
      </c>
      <c r="X445" s="58">
        <f>IFERROR(IF(W445=0,"",ROUNDUP(W445/H445,0)*0.00753),"")</f>
        <v/>
      </c>
      <c r="Y445" s="59" t="n"/>
      <c r="Z445" s="60" t="n"/>
      <c r="AA445" s="71" t="n"/>
      <c r="AD445" s="61" t="n"/>
      <c r="BA445" s="62" t="inlineStr">
        <is>
          <t>КИ</t>
        </is>
      </c>
    </row>
    <row r="446" ht="27" customHeight="1">
      <c r="A446" s="49" t="inlineStr">
        <is>
          <t>SU002809</t>
        </is>
      </c>
      <c r="B446" s="49" t="inlineStr">
        <is>
          <t>P003586</t>
        </is>
      </c>
      <c r="C446" s="50" t="n">
        <v>4301031244</v>
      </c>
      <c r="D446" s="107" t="n">
        <v>4640242180595</v>
      </c>
      <c r="E446" s="128" t="n"/>
      <c r="F446" s="162" t="n">
        <v>0.7</v>
      </c>
      <c r="G446" s="52" t="n">
        <v>6</v>
      </c>
      <c r="H446" s="162" t="n">
        <v>4.2</v>
      </c>
      <c r="I446" s="162" t="n">
        <v>4.46</v>
      </c>
      <c r="J446" s="52" t="n">
        <v>156</v>
      </c>
      <c r="K446" s="52" t="inlineStr">
        <is>
          <t>12</t>
        </is>
      </c>
      <c r="L446" s="53" t="inlineStr">
        <is>
          <t>СК2</t>
        </is>
      </c>
      <c r="M446" s="52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63" t="n"/>
      <c r="P446" s="163" t="n"/>
      <c r="Q446" s="163" t="n"/>
      <c r="R446" s="128" t="n"/>
      <c r="S446" s="54" t="n"/>
      <c r="T446" s="54" t="n"/>
      <c r="U446" s="55" t="inlineStr">
        <is>
          <t>кг</t>
        </is>
      </c>
      <c r="V446" s="164" t="n">
        <v>0</v>
      </c>
      <c r="W446" s="165">
        <f>IFERROR(IF(V446="",0,CEILING((V446/$H446),1)*$H446),"")</f>
        <v/>
      </c>
      <c r="X446" s="58">
        <f>IFERROR(IF(W446=0,"",ROUNDUP(W446/H446,0)*0.00753),"")</f>
        <v/>
      </c>
      <c r="Y446" s="59" t="n"/>
      <c r="Z446" s="60" t="n"/>
      <c r="AA446" s="71" t="n"/>
      <c r="AD446" s="61" t="n"/>
      <c r="BA446" s="62" t="inlineStr">
        <is>
          <t>КИ</t>
        </is>
      </c>
    </row>
    <row r="447" ht="12.5" customHeight="1">
      <c r="A447" s="109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66" t="n"/>
      <c r="N447" s="110" t="inlineStr">
        <is>
          <t>Итого</t>
        </is>
      </c>
      <c r="O447" s="134" t="n"/>
      <c r="P447" s="134" t="n"/>
      <c r="Q447" s="134" t="n"/>
      <c r="R447" s="134" t="n"/>
      <c r="S447" s="134" t="n"/>
      <c r="T447" s="135" t="n"/>
      <c r="U447" s="63" t="inlineStr">
        <is>
          <t>кор</t>
        </is>
      </c>
      <c r="V447" s="167">
        <f>IFERROR(V445/H445,"0")+IFERROR(V446/H446,"0")</f>
        <v/>
      </c>
      <c r="W447" s="167">
        <f>IFERROR(W445/H445,"0")+IFERROR(W446/H446,"0")</f>
        <v/>
      </c>
      <c r="X447" s="167">
        <f>IFERROR(IF(X445="",0,X445),"0")+IFERROR(IF(X446="",0,X446),"0")</f>
        <v/>
      </c>
      <c r="Y447" s="168" t="n"/>
      <c r="Z447" s="168" t="n"/>
      <c r="AA447" s="71" t="n"/>
    </row>
    <row r="448" ht="12.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66" t="n"/>
      <c r="N448" s="110" t="inlineStr">
        <is>
          <t>Итого</t>
        </is>
      </c>
      <c r="O448" s="134" t="n"/>
      <c r="P448" s="134" t="n"/>
      <c r="Q448" s="134" t="n"/>
      <c r="R448" s="134" t="n"/>
      <c r="S448" s="134" t="n"/>
      <c r="T448" s="135" t="n"/>
      <c r="U448" s="63" t="inlineStr">
        <is>
          <t>кг</t>
        </is>
      </c>
      <c r="V448" s="167">
        <f>IFERROR(SUM(V445:V446),"0")</f>
        <v/>
      </c>
      <c r="W448" s="167">
        <f>IFERROR(SUM(W445:W446),"0")</f>
        <v/>
      </c>
      <c r="X448" s="63" t="n"/>
      <c r="Y448" s="168" t="n"/>
      <c r="Z448" s="168" t="n"/>
      <c r="AA448" s="71" t="n"/>
    </row>
    <row r="449" ht="14.25" customHeight="1">
      <c r="A449" s="106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06" t="n"/>
      <c r="Z449" s="106" t="n"/>
      <c r="AA449" s="71" t="n"/>
    </row>
    <row r="450" ht="27" customHeight="1">
      <c r="A450" s="49" t="inlineStr">
        <is>
          <t>SU002803</t>
        </is>
      </c>
      <c r="B450" s="49" t="inlineStr">
        <is>
          <t>P003590</t>
        </is>
      </c>
      <c r="C450" s="50" t="n">
        <v>4301051510</v>
      </c>
      <c r="D450" s="107" t="n">
        <v>4640242180540</v>
      </c>
      <c r="E450" s="128" t="n"/>
      <c r="F450" s="162" t="n">
        <v>1.3</v>
      </c>
      <c r="G450" s="52" t="n">
        <v>6</v>
      </c>
      <c r="H450" s="162" t="n">
        <v>7.8</v>
      </c>
      <c r="I450" s="162" t="n">
        <v>8.364000000000001</v>
      </c>
      <c r="J450" s="52" t="n">
        <v>56</v>
      </c>
      <c r="K450" s="52" t="inlineStr">
        <is>
          <t>8</t>
        </is>
      </c>
      <c r="L450" s="53" t="inlineStr">
        <is>
          <t>СК2</t>
        </is>
      </c>
      <c r="M450" s="52" t="n">
        <v>30</v>
      </c>
      <c r="N450" s="115" t="inlineStr">
        <is>
          <t>Сосиски «Сочные» Весовой п/а ТМ «Зареченские»</t>
        </is>
      </c>
      <c r="O450" s="163" t="n"/>
      <c r="P450" s="163" t="n"/>
      <c r="Q450" s="163" t="n"/>
      <c r="R450" s="128" t="n"/>
      <c r="S450" s="54" t="n"/>
      <c r="T450" s="54" t="n"/>
      <c r="U450" s="55" t="inlineStr">
        <is>
          <t>кг</t>
        </is>
      </c>
      <c r="V450" s="164" t="n">
        <v>0</v>
      </c>
      <c r="W450" s="165">
        <f>IFERROR(IF(V450="",0,CEILING((V450/$H450),1)*$H450),"")</f>
        <v/>
      </c>
      <c r="X450" s="58">
        <f>IFERROR(IF(W450=0,"",ROUNDUP(W450/H450,0)*0.02175),"")</f>
        <v/>
      </c>
      <c r="Y450" s="59" t="n"/>
      <c r="Z450" s="60" t="n"/>
      <c r="AA450" s="71" t="n"/>
      <c r="AD450" s="61" t="n"/>
      <c r="BA450" s="62" t="inlineStr">
        <is>
          <t>КИ</t>
        </is>
      </c>
    </row>
    <row r="451" ht="27" customHeight="1">
      <c r="A451" s="49" t="inlineStr">
        <is>
          <t>SU002804</t>
        </is>
      </c>
      <c r="B451" s="49" t="inlineStr">
        <is>
          <t>P003585</t>
        </is>
      </c>
      <c r="C451" s="50" t="n">
        <v>4301051508</v>
      </c>
      <c r="D451" s="107" t="n">
        <v>4640242180557</v>
      </c>
      <c r="E451" s="128" t="n"/>
      <c r="F451" s="162" t="n">
        <v>0.5</v>
      </c>
      <c r="G451" s="52" t="n">
        <v>6</v>
      </c>
      <c r="H451" s="162" t="n">
        <v>3</v>
      </c>
      <c r="I451" s="162" t="n">
        <v>3.284</v>
      </c>
      <c r="J451" s="52" t="n">
        <v>156</v>
      </c>
      <c r="K451" s="52" t="inlineStr">
        <is>
          <t>12</t>
        </is>
      </c>
      <c r="L451" s="53" t="inlineStr">
        <is>
          <t>СК2</t>
        </is>
      </c>
      <c r="M451" s="52" t="n">
        <v>30</v>
      </c>
      <c r="N451" s="115" t="inlineStr">
        <is>
          <t>Сосиски «Сочные» Фикс.вес 0,5 п/а ТМ «Зареченские»</t>
        </is>
      </c>
      <c r="O451" s="163" t="n"/>
      <c r="P451" s="163" t="n"/>
      <c r="Q451" s="163" t="n"/>
      <c r="R451" s="128" t="n"/>
      <c r="S451" s="54" t="n"/>
      <c r="T451" s="54" t="n"/>
      <c r="U451" s="55" t="inlineStr">
        <is>
          <t>кг</t>
        </is>
      </c>
      <c r="V451" s="164" t="n">
        <v>0</v>
      </c>
      <c r="W451" s="165">
        <f>IFERROR(IF(V451="",0,CEILING((V451/$H451),1)*$H451),"")</f>
        <v/>
      </c>
      <c r="X451" s="58">
        <f>IFERROR(IF(W451=0,"",ROUNDUP(W451/H451,0)*0.00753),"")</f>
        <v/>
      </c>
      <c r="Y451" s="59" t="n"/>
      <c r="Z451" s="60" t="n"/>
      <c r="AA451" s="71" t="n"/>
      <c r="AD451" s="61" t="n"/>
      <c r="BA451" s="62" t="inlineStr">
        <is>
          <t>КИ</t>
        </is>
      </c>
    </row>
    <row r="452" ht="12.5" customHeight="1">
      <c r="A452" s="109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66" t="n"/>
      <c r="N452" s="110" t="inlineStr">
        <is>
          <t>Итого</t>
        </is>
      </c>
      <c r="O452" s="134" t="n"/>
      <c r="P452" s="134" t="n"/>
      <c r="Q452" s="134" t="n"/>
      <c r="R452" s="134" t="n"/>
      <c r="S452" s="134" t="n"/>
      <c r="T452" s="135" t="n"/>
      <c r="U452" s="63" t="inlineStr">
        <is>
          <t>кор</t>
        </is>
      </c>
      <c r="V452" s="167">
        <f>IFERROR(V450/H450,"0")+IFERROR(V451/H451,"0")</f>
        <v/>
      </c>
      <c r="W452" s="167">
        <f>IFERROR(W450/H450,"0")+IFERROR(W451/H451,"0")</f>
        <v/>
      </c>
      <c r="X452" s="167">
        <f>IFERROR(IF(X450="",0,X450),"0")+IFERROR(IF(X451="",0,X451),"0")</f>
        <v/>
      </c>
      <c r="Y452" s="168" t="n"/>
      <c r="Z452" s="168" t="n"/>
      <c r="AA452" s="71" t="n"/>
    </row>
    <row r="453" ht="12.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66" t="n"/>
      <c r="N453" s="110" t="inlineStr">
        <is>
          <t>Итого</t>
        </is>
      </c>
      <c r="O453" s="134" t="n"/>
      <c r="P453" s="134" t="n"/>
      <c r="Q453" s="134" t="n"/>
      <c r="R453" s="134" t="n"/>
      <c r="S453" s="134" t="n"/>
      <c r="T453" s="135" t="n"/>
      <c r="U453" s="63" t="inlineStr">
        <is>
          <t>кг</t>
        </is>
      </c>
      <c r="V453" s="167">
        <f>IFERROR(SUM(V450:V451),"0")</f>
        <v/>
      </c>
      <c r="W453" s="167">
        <f>IFERROR(SUM(W450:W451),"0")</f>
        <v/>
      </c>
      <c r="X453" s="63" t="n"/>
      <c r="Y453" s="168" t="n"/>
      <c r="Z453" s="168" t="n"/>
      <c r="AA453" s="71" t="n"/>
    </row>
    <row r="454" ht="16.5" customHeight="1">
      <c r="A454" s="105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05" t="n"/>
      <c r="Z454" s="105" t="n"/>
      <c r="AA454" s="71" t="n"/>
    </row>
    <row r="455" ht="14.25" customHeight="1">
      <c r="A455" s="106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06" t="n"/>
      <c r="Z455" s="106" t="n"/>
      <c r="AA455" s="71" t="n"/>
    </row>
    <row r="456" ht="16.5" customHeight="1">
      <c r="A456" s="49" t="inlineStr">
        <is>
          <t>SU002655</t>
        </is>
      </c>
      <c r="B456" s="49" t="inlineStr">
        <is>
          <t>P003022</t>
        </is>
      </c>
      <c r="C456" s="50" t="n">
        <v>4301051310</v>
      </c>
      <c r="D456" s="107" t="n">
        <v>4680115880870</v>
      </c>
      <c r="E456" s="128" t="n"/>
      <c r="F456" s="162" t="n">
        <v>1.3</v>
      </c>
      <c r="G456" s="52" t="n">
        <v>6</v>
      </c>
      <c r="H456" s="162" t="n">
        <v>7.8</v>
      </c>
      <c r="I456" s="162" t="n">
        <v>8.364000000000001</v>
      </c>
      <c r="J456" s="52" t="n">
        <v>56</v>
      </c>
      <c r="K456" s="52" t="inlineStr">
        <is>
          <t>8</t>
        </is>
      </c>
      <c r="L456" s="53" t="inlineStr">
        <is>
          <t>СК3</t>
        </is>
      </c>
      <c r="M456" s="52" t="n">
        <v>40</v>
      </c>
      <c r="N456" s="1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6" s="163" t="n"/>
      <c r="P456" s="163" t="n"/>
      <c r="Q456" s="163" t="n"/>
      <c r="R456" s="128" t="n"/>
      <c r="S456" s="54" t="n"/>
      <c r="T456" s="54" t="n"/>
      <c r="U456" s="55" t="inlineStr">
        <is>
          <t>кг</t>
        </is>
      </c>
      <c r="V456" s="164" t="n">
        <v>0</v>
      </c>
      <c r="W456" s="165">
        <f>IFERROR(IF(V456="",0,CEILING((V456/$H456),1)*$H456),"")</f>
        <v/>
      </c>
      <c r="X456" s="58">
        <f>IFERROR(IF(W456=0,"",ROUNDUP(W456/H456,0)*0.02175),"")</f>
        <v/>
      </c>
      <c r="Y456" s="59" t="n"/>
      <c r="Z456" s="60" t="n"/>
      <c r="AA456" s="71" t="n"/>
      <c r="AD456" s="61" t="n"/>
      <c r="BA456" s="62" t="inlineStr">
        <is>
          <t>КИ</t>
        </is>
      </c>
    </row>
    <row r="457" ht="12.5" customHeight="1">
      <c r="A457" s="109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66" t="n"/>
      <c r="N457" s="110" t="inlineStr">
        <is>
          <t>Итого</t>
        </is>
      </c>
      <c r="O457" s="134" t="n"/>
      <c r="P457" s="134" t="n"/>
      <c r="Q457" s="134" t="n"/>
      <c r="R457" s="134" t="n"/>
      <c r="S457" s="134" t="n"/>
      <c r="T457" s="135" t="n"/>
      <c r="U457" s="63" t="inlineStr">
        <is>
          <t>кор</t>
        </is>
      </c>
      <c r="V457" s="167">
        <f>IFERROR(V456/H456,"0")</f>
        <v/>
      </c>
      <c r="W457" s="167">
        <f>IFERROR(W456/H456,"0")</f>
        <v/>
      </c>
      <c r="X457" s="167">
        <f>IFERROR(IF(X456="",0,X456),"0")</f>
        <v/>
      </c>
      <c r="Y457" s="168" t="n"/>
      <c r="Z457" s="168" t="n"/>
    </row>
    <row r="458" ht="12.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66" t="n"/>
      <c r="N458" s="110" t="inlineStr">
        <is>
          <t>Итого</t>
        </is>
      </c>
      <c r="O458" s="134" t="n"/>
      <c r="P458" s="134" t="n"/>
      <c r="Q458" s="134" t="n"/>
      <c r="R458" s="134" t="n"/>
      <c r="S458" s="134" t="n"/>
      <c r="T458" s="135" t="n"/>
      <c r="U458" s="63" t="inlineStr">
        <is>
          <t>кг</t>
        </is>
      </c>
      <c r="V458" s="167">
        <f>IFERROR(SUM(V456:V456),"0")</f>
        <v/>
      </c>
      <c r="W458" s="167">
        <f>IFERROR(SUM(W456:W456),"0")</f>
        <v/>
      </c>
      <c r="X458" s="63" t="n"/>
      <c r="Y458" s="168" t="n"/>
      <c r="Z458" s="168" t="n"/>
    </row>
    <row r="459" ht="15" customHeight="1">
      <c r="A459" s="11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26" t="n"/>
      <c r="N459" s="117" t="inlineStr">
        <is>
          <t>ИТОГО НЕТТО</t>
        </is>
      </c>
      <c r="O459" s="120" t="n"/>
      <c r="P459" s="120" t="n"/>
      <c r="Q459" s="120" t="n"/>
      <c r="R459" s="120" t="n"/>
      <c r="S459" s="120" t="n"/>
      <c r="T459" s="121" t="n"/>
      <c r="U459" s="63" t="inlineStr">
        <is>
          <t>кг</t>
        </is>
      </c>
      <c r="V459" s="16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,"0")</f>
        <v/>
      </c>
      <c r="W459" s="16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,"0")</f>
        <v/>
      </c>
      <c r="X459" s="63" t="n"/>
      <c r="Y459" s="168" t="n"/>
      <c r="Z459" s="168" t="n"/>
    </row>
    <row r="460" ht="12.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26" t="n"/>
      <c r="N460" s="117" t="inlineStr">
        <is>
          <t>ИТОГО БРУТТО</t>
        </is>
      </c>
      <c r="O460" s="120" t="n"/>
      <c r="P460" s="120" t="n"/>
      <c r="Q460" s="120" t="n"/>
      <c r="R460" s="120" t="n"/>
      <c r="S460" s="120" t="n"/>
      <c r="T460" s="121" t="n"/>
      <c r="U460" s="63" t="inlineStr">
        <is>
          <t>кг</t>
        </is>
      </c>
      <c r="V460" s="16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16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,"0")</f>
        <v/>
      </c>
      <c r="X460" s="63" t="n"/>
      <c r="Y460" s="168" t="n"/>
      <c r="Z460" s="168" t="n"/>
    </row>
    <row r="461" ht="12.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26" t="n"/>
      <c r="N461" s="117" t="inlineStr">
        <is>
          <t>Кол-во паллет</t>
        </is>
      </c>
      <c r="O461" s="120" t="n"/>
      <c r="P461" s="120" t="n"/>
      <c r="Q461" s="120" t="n"/>
      <c r="R461" s="120" t="n"/>
      <c r="S461" s="120" t="n"/>
      <c r="T461" s="121" t="n"/>
      <c r="U461" s="63" t="inlineStr">
        <is>
          <t>шт</t>
        </is>
      </c>
      <c r="V461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,0)</f>
        <v/>
      </c>
      <c r="X461" s="63" t="n"/>
      <c r="Y461" s="168" t="n"/>
      <c r="Z461" s="168" t="n"/>
    </row>
    <row r="462" ht="12.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26" t="n"/>
      <c r="N462" s="117" t="inlineStr">
        <is>
          <t>Вес брутто  с паллетами</t>
        </is>
      </c>
      <c r="O462" s="120" t="n"/>
      <c r="P462" s="120" t="n"/>
      <c r="Q462" s="120" t="n"/>
      <c r="R462" s="120" t="n"/>
      <c r="S462" s="120" t="n"/>
      <c r="T462" s="121" t="n"/>
      <c r="U462" s="63" t="inlineStr">
        <is>
          <t>кг</t>
        </is>
      </c>
      <c r="V462" s="167">
        <f>GrossWeightTotal+PalletQtyTotal*25</f>
        <v/>
      </c>
      <c r="W462" s="167">
        <f>GrossWeightTotalR+PalletQtyTotalR*25</f>
        <v/>
      </c>
      <c r="X462" s="63" t="n"/>
      <c r="Y462" s="168" t="n"/>
      <c r="Z462" s="168" t="n"/>
    </row>
    <row r="463" ht="12.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26" t="n"/>
      <c r="N463" s="117" t="inlineStr">
        <is>
          <t>Кол-во коробок</t>
        </is>
      </c>
      <c r="O463" s="120" t="n"/>
      <c r="P463" s="120" t="n"/>
      <c r="Q463" s="120" t="n"/>
      <c r="R463" s="120" t="n"/>
      <c r="S463" s="120" t="n"/>
      <c r="T463" s="121" t="n"/>
      <c r="U463" s="63" t="inlineStr">
        <is>
          <t>шт</t>
        </is>
      </c>
      <c r="V463" s="16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,"0")</f>
        <v/>
      </c>
      <c r="W463" s="16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,"0")</f>
        <v/>
      </c>
      <c r="X463" s="63" t="n"/>
      <c r="Y463" s="168" t="n"/>
      <c r="Z463" s="168" t="n"/>
    </row>
    <row r="464" ht="14.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26" t="n"/>
      <c r="N464" s="117" t="inlineStr">
        <is>
          <t>Объем заказа</t>
        </is>
      </c>
      <c r="O464" s="120" t="n"/>
      <c r="P464" s="120" t="n"/>
      <c r="Q464" s="120" t="n"/>
      <c r="R464" s="120" t="n"/>
      <c r="S464" s="120" t="n"/>
      <c r="T464" s="121" t="n"/>
      <c r="U464" s="67" t="inlineStr">
        <is>
          <t>м3</t>
        </is>
      </c>
      <c r="V464" s="63" t="n"/>
      <c r="W464" s="63" t="n"/>
      <c r="X464" s="63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,"0")</f>
        <v/>
      </c>
      <c r="Y464" s="168" t="n"/>
      <c r="Z464" s="168" t="n"/>
    </row>
    <row r="465"/>
    <row r="466" ht="27" customHeight="1">
      <c r="A466" s="68" t="inlineStr">
        <is>
          <t>ТОРГОВАЯ МАРКА</t>
        </is>
      </c>
      <c r="B466" s="118" t="inlineStr">
        <is>
          <t>Ядрена копоть</t>
        </is>
      </c>
      <c r="C466" s="118" t="inlineStr">
        <is>
          <t>Вязанка</t>
        </is>
      </c>
      <c r="D466" s="169" t="n"/>
      <c r="E466" s="169" t="n"/>
      <c r="F466" s="170" t="n"/>
      <c r="G466" s="118" t="inlineStr">
        <is>
          <t>Стародворье</t>
        </is>
      </c>
      <c r="H466" s="169" t="n"/>
      <c r="I466" s="169" t="n"/>
      <c r="J466" s="169" t="n"/>
      <c r="K466" s="169" t="n"/>
      <c r="L466" s="169" t="n"/>
      <c r="M466" s="170" t="n"/>
      <c r="N466" s="118" t="inlineStr">
        <is>
          <t>Особый рецепт</t>
        </is>
      </c>
      <c r="O466" s="170" t="n"/>
      <c r="P466" s="118" t="inlineStr">
        <is>
          <t>Баварушка</t>
        </is>
      </c>
      <c r="Q466" s="170" t="n"/>
      <c r="R466" s="118" t="inlineStr">
        <is>
          <t>Дугушка</t>
        </is>
      </c>
      <c r="S466" s="118" t="inlineStr">
        <is>
          <t>Зареченские</t>
        </is>
      </c>
      <c r="T466" s="170" t="n"/>
      <c r="U466" s="1" t="n"/>
      <c r="Z466" s="71" t="n"/>
      <c r="AC466" s="1" t="n"/>
    </row>
    <row r="467" ht="14.25" customFormat="1" customHeight="1" s="1">
      <c r="A467" s="119" t="inlineStr">
        <is>
          <t>СЕРИЯ</t>
        </is>
      </c>
      <c r="B467" s="118" t="inlineStr">
        <is>
          <t>Ядрена копоть</t>
        </is>
      </c>
      <c r="C467" s="118" t="inlineStr">
        <is>
          <t>Столичная</t>
        </is>
      </c>
      <c r="D467" s="118" t="inlineStr">
        <is>
          <t>Классическая</t>
        </is>
      </c>
      <c r="E467" s="118" t="inlineStr">
        <is>
          <t>Вязанка</t>
        </is>
      </c>
      <c r="F467" s="118" t="inlineStr">
        <is>
          <t>Сливушки</t>
        </is>
      </c>
      <c r="G467" s="118" t="inlineStr">
        <is>
          <t>Золоченная в печи</t>
        </is>
      </c>
      <c r="H467" s="118" t="inlineStr">
        <is>
          <t>Мясорубская</t>
        </is>
      </c>
      <c r="I467" s="118" t="inlineStr">
        <is>
          <t>Сочинка</t>
        </is>
      </c>
      <c r="J467" s="118" t="inlineStr">
        <is>
          <t>Бордо</t>
        </is>
      </c>
      <c r="L467" s="118" t="inlineStr">
        <is>
          <t>Фирменная</t>
        </is>
      </c>
      <c r="M467" s="118" t="inlineStr">
        <is>
          <t>Бавария</t>
        </is>
      </c>
      <c r="N467" s="118" t="inlineStr">
        <is>
          <t>Особая</t>
        </is>
      </c>
      <c r="O467" s="118" t="inlineStr">
        <is>
          <t>Особая Без свинины</t>
        </is>
      </c>
      <c r="P467" s="118" t="inlineStr">
        <is>
          <t>Филейбургская</t>
        </is>
      </c>
      <c r="Q467" s="118" t="inlineStr">
        <is>
          <t>Балыкбургская</t>
        </is>
      </c>
      <c r="R467" s="118" t="inlineStr">
        <is>
          <t>Дугушка</t>
        </is>
      </c>
      <c r="S467" s="118" t="inlineStr">
        <is>
          <t>Зареченские продукты</t>
        </is>
      </c>
      <c r="T467" s="118" t="inlineStr">
        <is>
          <t>Выгодная цена</t>
        </is>
      </c>
      <c r="Z467" s="71" t="n"/>
      <c r="AA467" s="71" t="n"/>
      <c r="AB467" s="71" t="n"/>
    </row>
    <row r="468" ht="12.5" customFormat="1" customHeight="1" s="1">
      <c r="A468" s="171" t="n"/>
      <c r="B468" s="172" t="n"/>
      <c r="C468" s="172" t="n"/>
      <c r="D468" s="172" t="n"/>
      <c r="E468" s="172" t="n"/>
      <c r="F468" s="172" t="n"/>
      <c r="G468" s="172" t="n"/>
      <c r="H468" s="172" t="n"/>
      <c r="I468" s="172" t="n"/>
      <c r="J468" s="172" t="n"/>
      <c r="L468" s="172" t="n"/>
      <c r="M468" s="172" t="n"/>
      <c r="N468" s="172" t="n"/>
      <c r="O468" s="172" t="n"/>
      <c r="P468" s="172" t="n"/>
      <c r="Q468" s="172" t="n"/>
      <c r="R468" s="172" t="n"/>
      <c r="S468" s="172" t="n"/>
      <c r="T468" s="172" t="n"/>
      <c r="Z468" s="71" t="n"/>
      <c r="AA468" s="71" t="n"/>
      <c r="AB468" s="71" t="n"/>
    </row>
    <row r="469" ht="14" customFormat="1" customHeight="1" s="1">
      <c r="A469" s="68" t="inlineStr">
        <is>
          <t>ИТОГО, кг</t>
        </is>
      </c>
      <c r="B469" s="70">
        <f>IFERROR(W22*1,"0")+IFERROR(W26*1,"0")+IFERROR(W27*1,"0")+IFERROR(W28*1,"0")+IFERROR(W29*1,"0")+IFERROR(W30*1,"0")+IFERROR(W31*1,"0")+IFERROR(W35*1,"0")+IFERROR(W39*1,"0")+IFERROR(W43*1,"0")</f>
        <v/>
      </c>
      <c r="C469" s="70">
        <f>IFERROR(W49*1,"0")+IFERROR(W50*1,"0")</f>
        <v/>
      </c>
      <c r="D469" s="70">
        <f>IFERROR(W55*1,"0")+IFERROR(W56*1,"0")+IFERROR(W57*1,"0")+IFERROR(W58*1,"0")</f>
        <v/>
      </c>
      <c r="E469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9" s="70">
        <f>IFERROR(W128*1,"0")+IFERROR(W129*1,"0")+IFERROR(W130*1,"0")</f>
        <v/>
      </c>
      <c r="G469" s="70">
        <f>IFERROR(W136*1,"0")+IFERROR(W137*1,"0")+IFERROR(W138*1,"0")</f>
        <v/>
      </c>
      <c r="H469" s="70">
        <f>IFERROR(W143*1,"0")+IFERROR(W144*1,"0")+IFERROR(W145*1,"0")+IFERROR(W146*1,"0")+IFERROR(W147*1,"0")+IFERROR(W148*1,"0")+IFERROR(W149*1,"0")+IFERROR(W150*1,"0")</f>
        <v/>
      </c>
      <c r="I469" s="70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9" s="70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69" s="70">
        <f>IFERROR(W257*1,"0")+IFERROR(W258*1,"0")+IFERROR(W259*1,"0")+IFERROR(W260*1,"0")+IFERROR(W261*1,"0")+IFERROR(W262*1,"0")+IFERROR(W263*1,"0")+IFERROR(W267*1,"0")+IFERROR(W268*1,"0")</f>
        <v/>
      </c>
      <c r="M469" s="70">
        <f>IFERROR(W273*1,"0")+IFERROR(W277*1,"0")+IFERROR(W278*1,"0")+IFERROR(W279*1,"0")+IFERROR(W283*1,"0")+IFERROR(W287*1,"0")</f>
        <v/>
      </c>
      <c r="N469" s="70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69" s="70">
        <f>IFERROR(W319*1,"0")+IFERROR(W320*1,"0")+IFERROR(W321*1,"0")+IFERROR(W322*1,"0")+IFERROR(W326*1,"0")+IFERROR(W327*1,"0")+IFERROR(W331*1,"0")+IFERROR(W332*1,"0")+IFERROR(W333*1,"0")+IFERROR(W334*1,"0")+IFERROR(W338*1,"0")</f>
        <v/>
      </c>
      <c r="P469" s="70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69" s="70">
        <f>IFERROR(W381*1,"0")+IFERROR(W382*1,"0")+IFERROR(W386*1,"0")+IFERROR(W387*1,"0")+IFERROR(W388*1,"0")+IFERROR(W389*1,"0")+IFERROR(W390*1,"0")+IFERROR(W391*1,"0")+IFERROR(W392*1,"0")+IFERROR(W396*1,"0")</f>
        <v/>
      </c>
      <c r="R469" s="70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69" s="70">
        <f>IFERROR(W435*1,"0")+IFERROR(W436*1,"0")+IFERROR(W440*1,"0")+IFERROR(W441*1,"0")+IFERROR(W445*1,"0")+IFERROR(W446*1,"0")+IFERROR(W450*1,"0")+IFERROR(W451*1,"0")</f>
        <v/>
      </c>
      <c r="T469" s="70">
        <f>IFERROR(W456*1,"0")</f>
        <v/>
      </c>
      <c r="Z469" s="71" t="n"/>
      <c r="AA469" s="71" t="n"/>
      <c r="AB469" s="7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3u2sfh1w7vHJcj5YEKXQw==" formatRows="1" sort="0" spinCount="100000" hashValue="qIcmQCjUMRdp6HahZQNLdFj3hU0GuciQFg288gR2a7As+q5uhaKYqI/AbSfKQI/yQ9Xe+QYdp8KbL7d0nkqq6A=="/>
  <autoFilter ref="B18:X464"/>
  <mergeCells count="835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M467:M468"/>
    <mergeCell ref="N24:T24"/>
    <mergeCell ref="N195:T195"/>
    <mergeCell ref="H9:I9"/>
    <mergeCell ref="A418:X418"/>
    <mergeCell ref="N453:T453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459:T459"/>
    <mergeCell ref="N466:O466"/>
    <mergeCell ref="P466:Q466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L467:L468"/>
    <mergeCell ref="D365:E365"/>
    <mergeCell ref="A437:M438"/>
    <mergeCell ref="N207:R207"/>
    <mergeCell ref="N2:U3"/>
    <mergeCell ref="N334:R334"/>
    <mergeCell ref="D79:E79"/>
    <mergeCell ref="A61:X61"/>
    <mergeCell ref="BA17:BA18"/>
    <mergeCell ref="D144:E144"/>
    <mergeCell ref="A459:M46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O467:O468"/>
    <mergeCell ref="N124:T124"/>
    <mergeCell ref="A154:X154"/>
    <mergeCell ref="D406:E406"/>
    <mergeCell ref="N45:T45"/>
    <mergeCell ref="A341:X341"/>
    <mergeCell ref="N281:T281"/>
    <mergeCell ref="B467:B468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A103:M104"/>
    <mergeCell ref="N357:R357"/>
    <mergeCell ref="D31:E31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T467:T468"/>
    <mergeCell ref="N214:T214"/>
    <mergeCell ref="D421:E421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A467:A468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G467:G4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327:E327"/>
    <mergeCell ref="N377:T37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I467:I468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H467:H468"/>
    <mergeCell ref="D185:E185"/>
    <mergeCell ref="N91:T91"/>
    <mergeCell ref="D277:E277"/>
    <mergeCell ref="N263:R263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N274:T274"/>
    <mergeCell ref="D295:E295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J467:J468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N460:T460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A449:X449"/>
    <mergeCell ref="N346:T346"/>
    <mergeCell ref="D296:E29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D128:E128"/>
    <mergeCell ref="P467:P468"/>
    <mergeCell ref="D199:E199"/>
    <mergeCell ref="N109:R109"/>
    <mergeCell ref="R467:R468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Q467:Q468"/>
    <mergeCell ref="N211:R211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S466:T466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A159:X159"/>
    <mergeCell ref="D150:E150"/>
    <mergeCell ref="A219:X219"/>
    <mergeCell ref="D386:E386"/>
    <mergeCell ref="A290:X290"/>
    <mergeCell ref="A395:X395"/>
    <mergeCell ref="M17:M18"/>
    <mergeCell ref="N131:T131"/>
    <mergeCell ref="N236:T236"/>
    <mergeCell ref="A235:M236"/>
    <mergeCell ref="N67:R67"/>
    <mergeCell ref="N230:R230"/>
    <mergeCell ref="A253:M254"/>
    <mergeCell ref="S467:S468"/>
    <mergeCell ref="N69:R69"/>
    <mergeCell ref="A274:M275"/>
    <mergeCell ref="O8:P8"/>
    <mergeCell ref="N367:R367"/>
    <mergeCell ref="D177:E177"/>
    <mergeCell ref="N354:R354"/>
    <mergeCell ref="D467:D468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A425:M426"/>
    <mergeCell ref="N251:R251"/>
    <mergeCell ref="N411:T411"/>
    <mergeCell ref="N322:R322"/>
    <mergeCell ref="A47:X47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F467:F468"/>
    <mergeCell ref="N33:T33"/>
    <mergeCell ref="G466:M466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C467:C468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A379:X379"/>
    <mergeCell ref="A325:X325"/>
    <mergeCell ref="N397:T397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E467:E468"/>
    <mergeCell ref="A269:M270"/>
    <mergeCell ref="N311:T311"/>
    <mergeCell ref="N140:T140"/>
    <mergeCell ref="N467:N468"/>
    <mergeCell ref="N182:R182"/>
    <mergeCell ref="D184:E184"/>
    <mergeCell ref="A377:M378"/>
    <mergeCell ref="N84:R84"/>
    <mergeCell ref="C466:F466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MSDAX_КИ</t>
        </is>
      </c>
      <c r="H1" s="71" t="n"/>
    </row>
    <row r="3">
      <c r="B3" s="72" t="inlineStr">
        <is>
          <t>Доставка</t>
        </is>
      </c>
      <c r="C3" s="72" t="n"/>
      <c r="D3" s="72" t="n"/>
      <c r="E3" s="72" t="n"/>
    </row>
    <row r="4">
      <c r="B4" s="72" t="inlineStr">
        <is>
          <t>Самовывоз</t>
        </is>
      </c>
      <c r="C4" s="72" t="n"/>
      <c r="D4" s="72" t="n"/>
      <c r="E4" s="72" t="n"/>
    </row>
    <row r="6">
      <c r="B6" s="72" t="inlineStr">
        <is>
          <t>ЛП, ООО, Крым Респ, Симферополь г, Данилова ул, д. 43В, лит В, офис 4</t>
        </is>
      </c>
      <c r="C6" s="72" t="inlineStr">
        <is>
          <t>590704_5</t>
        </is>
      </c>
      <c r="D6" s="72" t="inlineStr">
        <is>
          <t>1</t>
        </is>
      </c>
      <c r="E6" s="72" t="n"/>
    </row>
    <row r="7">
      <c r="B7" s="72" t="inlineStr">
        <is>
          <t>ЛП, ООО, 73009, Херсон г, Некрасова ул, 2,</t>
        </is>
      </c>
      <c r="C7" s="72" t="inlineStr">
        <is>
          <t>590704_4</t>
        </is>
      </c>
      <c r="D7" s="72" t="inlineStr">
        <is>
          <t>2</t>
        </is>
      </c>
      <c r="E7" s="72" t="n"/>
    </row>
    <row r="9">
      <c r="B9" s="72" t="inlineStr">
        <is>
          <t>295021Российская Федерация, Крым Респ, Симферополь г, Данилова ул, д. 43В, лит В, офис 4</t>
        </is>
      </c>
      <c r="C9" s="72" t="inlineStr">
        <is>
          <t>590704_5</t>
        </is>
      </c>
      <c r="D9" s="72" t="n"/>
      <c r="E9" s="72" t="n"/>
    </row>
    <row r="11">
      <c r="B11" s="72" t="inlineStr">
        <is>
          <t>Российская Федерация, Херсонская обл, Херсон г, Некрасова ул, д. 2,</t>
        </is>
      </c>
      <c r="C11" s="72" t="inlineStr">
        <is>
          <t>590704_4</t>
        </is>
      </c>
      <c r="D11" s="72" t="n"/>
      <c r="E11" s="72" t="n"/>
    </row>
    <row r="13">
      <c r="B13" s="72" t="inlineStr">
        <is>
          <t>CFR</t>
        </is>
      </c>
      <c r="C13" s="72" t="n"/>
      <c r="D13" s="72" t="n"/>
      <c r="E13" s="72" t="n"/>
    </row>
    <row r="14">
      <c r="B14" s="72" t="inlineStr">
        <is>
          <t>CIF</t>
        </is>
      </c>
      <c r="C14" s="72" t="n"/>
      <c r="D14" s="72" t="n"/>
      <c r="E14" s="72" t="n"/>
    </row>
    <row r="15">
      <c r="B15" s="72" t="inlineStr">
        <is>
          <t>CIP</t>
        </is>
      </c>
      <c r="C15" s="72" t="n"/>
      <c r="D15" s="72" t="n"/>
      <c r="E15" s="72" t="n"/>
    </row>
    <row r="16">
      <c r="B16" s="72" t="inlineStr">
        <is>
          <t>CPT</t>
        </is>
      </c>
      <c r="C16" s="72" t="n"/>
      <c r="D16" s="72" t="n"/>
      <c r="E16" s="72" t="n"/>
    </row>
    <row r="17">
      <c r="B17" s="72" t="inlineStr">
        <is>
          <t>DAP</t>
        </is>
      </c>
      <c r="C17" s="72" t="n"/>
      <c r="D17" s="72" t="n"/>
      <c r="E17" s="72" t="n"/>
    </row>
    <row r="18">
      <c r="B18" s="72" t="inlineStr">
        <is>
          <t>DAT</t>
        </is>
      </c>
      <c r="C18" s="72" t="n"/>
      <c r="D18" s="72" t="n"/>
      <c r="E18" s="72" t="n"/>
    </row>
    <row r="19">
      <c r="B19" s="72" t="inlineStr">
        <is>
          <t>DDP</t>
        </is>
      </c>
      <c r="C19" s="72" t="n"/>
      <c r="D19" s="72" t="n"/>
      <c r="E19" s="72" t="n"/>
    </row>
    <row r="20">
      <c r="B20" s="72" t="inlineStr">
        <is>
          <t>EXW</t>
        </is>
      </c>
      <c r="C20" s="72" t="n"/>
      <c r="D20" s="72" t="n"/>
      <c r="E20" s="72" t="n"/>
    </row>
    <row r="21">
      <c r="B21" s="72" t="inlineStr">
        <is>
          <t>FAS</t>
        </is>
      </c>
      <c r="C21" s="72" t="n"/>
      <c r="D21" s="72" t="n"/>
      <c r="E21" s="72" t="n"/>
    </row>
    <row r="22">
      <c r="B22" s="72" t="inlineStr">
        <is>
          <t>FCA</t>
        </is>
      </c>
      <c r="C22" s="72" t="n"/>
      <c r="D22" s="72" t="n"/>
      <c r="E22" s="72" t="n"/>
    </row>
    <row r="23">
      <c r="B23" s="72" t="inlineStr">
        <is>
          <t>FOB</t>
        </is>
      </c>
      <c r="C23" s="72" t="n"/>
      <c r="D23" s="72" t="n"/>
      <c r="E23" s="7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Lxo5sSll/tHoBs9XZXFfg==" formatRows="1" sort="0" spinCount="100000" hashValue="ufqJlk9paj6AQlvAOqj3WidMVnWUi2341oYOEwif/AFHKuLw+Y6EVfQ2ZNuPGkEmjP5eK1Rqjmu5I8Ayocao3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2023-11-23T08:56:09Z</dcterms:modified>
  <cp:lastModifiedBy>Users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