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28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44" pivotButton="0" quotePrefix="0" xfId="0"/>
    <xf numFmtId="0" fontId="0" fillId="0" borderId="3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31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7"/>
  <sheetViews>
    <sheetView showGridLines="0" tabSelected="1" topLeftCell="F452" zoomScaleNormal="100" workbookViewId="0">
      <selection activeCell="V294" sqref="V294"/>
    </sheetView>
  </sheetViews>
  <sheetFormatPr baseColWidth="8" defaultColWidth="9.140625" defaultRowHeight="12.75"/>
  <cols>
    <col width="9.140625" customWidth="1" style="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hidden="1" width="13.85546875" customWidth="1" style="3" min="11" max="11"/>
    <col width="9.42578125" customWidth="1" style="3" min="12" max="12"/>
    <col width="10.42578125" customWidth="1" style="2" min="13" max="13"/>
    <col width="7.42578125" customWidth="1" style="4" min="14" max="14"/>
    <col width="15.5703125" customWidth="1" style="4" min="15" max="15"/>
    <col width="8.140625" customWidth="1" style="1" min="16" max="16"/>
    <col width="6.140625" customWidth="1" style="1" min="17" max="17"/>
    <col width="10.85546875" customWidth="1" style="5" min="18" max="18"/>
    <col width="10.42578125" customWidth="1" style="5" min="19" max="19"/>
    <col width="9.42578125" customWidth="1" style="5" min="20" max="20"/>
    <col width="8.42578125" customWidth="1" style="5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customWidth="1" style="71" min="27" max="27"/>
    <col width="9.140625" customWidth="1" style="71" min="28" max="28"/>
    <col width="8.85546875" customWidth="1" style="71" min="29" max="29"/>
    <col width="13.5703125" customWidth="1" style="1" min="30" max="30"/>
    <col width="9.140625" customWidth="1" style="1" min="31" max="1025"/>
  </cols>
  <sheetData>
    <row r="1" ht="45" customFormat="1" customHeight="1" s="98">
      <c r="A1" s="7" t="n"/>
      <c r="B1" s="7" t="n"/>
      <c r="C1" s="7" t="n"/>
      <c r="D1" s="73" t="inlineStr">
        <is>
          <t xml:space="preserve">  БЛАНК ЗАКАЗА </t>
        </is>
      </c>
      <c r="G1" s="8" t="inlineStr">
        <is>
          <t>КИ</t>
        </is>
      </c>
      <c r="H1" s="73" t="inlineStr">
        <is>
          <t>на отгрузку продукции с ООО Трейд-Сервис с</t>
        </is>
      </c>
      <c r="P1" s="7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98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7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98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98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45" customFormat="1" customHeight="1" s="98">
      <c r="A5" s="76" t="inlineStr">
        <is>
          <t xml:space="preserve">Ваш контактный телефон и имя: </t>
        </is>
      </c>
      <c r="B5" s="120" t="n"/>
      <c r="C5" s="121" t="n"/>
      <c r="D5" s="77" t="n"/>
      <c r="E5" s="122" t="n"/>
      <c r="F5" s="78" t="inlineStr">
        <is>
          <t>Комментарий к заказу:</t>
        </is>
      </c>
      <c r="G5" s="121" t="n"/>
      <c r="H5" s="77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80" t="inlineStr">
        <is>
          <t>Способ доставки (доставка/самовывоз)</t>
        </is>
      </c>
      <c r="S5" s="126" t="n"/>
      <c r="T5" s="81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98">
      <c r="A6" s="76" t="inlineStr">
        <is>
          <t>Адрес доставки:</t>
        </is>
      </c>
      <c r="B6" s="120" t="n"/>
      <c r="C6" s="121" t="n"/>
      <c r="D6" s="82" t="inlineStr">
        <is>
          <t>ЛП, ООО, Краснодарский край, Сочи г, Строительный пер, д. 10А,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83">
        <f>IF(O5=0," ",CHOOSE(WEEKDAY(O5,2),"Понедельник","Вторник","Среда","Четверг","Пятница","Суббота","Воскресенье"))</f>
        <v/>
      </c>
      <c r="P6" s="128" t="n"/>
      <c r="R6" s="84" t="inlineStr">
        <is>
          <t>Наименование клиента</t>
        </is>
      </c>
      <c r="S6" s="126" t="n"/>
      <c r="T6" s="85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98">
      <c r="A7" s="28" t="n"/>
      <c r="B7" s="28" t="n"/>
      <c r="C7" s="28" t="n"/>
      <c r="D7" s="86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98">
      <c r="A8" s="87" t="inlineStr">
        <is>
          <t>Адрес сдачи груза:</t>
        </is>
      </c>
      <c r="B8" s="134" t="n"/>
      <c r="C8" s="135" t="n"/>
      <c r="D8" s="88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1" t="n"/>
      <c r="E9" s="5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1" t="n"/>
      <c r="E10" s="5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3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94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5.95" customFormat="1" customHeight="1" s="98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98" t="n"/>
      <c r="U12" s="1" t="n"/>
      <c r="Z12" s="17" t="n"/>
      <c r="AA12" s="17" t="n"/>
      <c r="AB12" s="17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7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8" t="n"/>
      <c r="P17" s="148" t="n"/>
      <c r="Q17" s="148" t="n"/>
      <c r="R17" s="147" t="n"/>
      <c r="S17" s="111" t="inlineStr">
        <is>
          <t>Доступно к отгрузке</t>
        </is>
      </c>
      <c r="T17" s="121" t="n"/>
      <c r="U17" s="101" t="inlineStr">
        <is>
          <t>Ед. изм.</t>
        </is>
      </c>
      <c r="V17" s="101" t="inlineStr">
        <is>
          <t>Заказ</t>
        </is>
      </c>
      <c r="W17" s="112" t="inlineStr">
        <is>
          <t>Заказ с округлением до короба</t>
        </is>
      </c>
      <c r="X17" s="101" t="inlineStr">
        <is>
          <t>Объём заказа, м3</t>
        </is>
      </c>
      <c r="Y17" s="113" t="inlineStr">
        <is>
          <t>Примечание по продуктку</t>
        </is>
      </c>
      <c r="Z17" s="113" t="inlineStr">
        <is>
          <t>Признак "НОВИНКА"</t>
        </is>
      </c>
      <c r="AA17" s="113" t="inlineStr">
        <is>
          <t>Для формул</t>
        </is>
      </c>
      <c r="AB17" s="149" t="n"/>
      <c r="AC17" s="150" t="n"/>
      <c r="AD17" s="114" t="n"/>
      <c r="BA17" s="103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111" t="inlineStr">
        <is>
          <t>начиная с</t>
        </is>
      </c>
      <c r="T18" s="111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10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1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05" t="n"/>
      <c r="Z20" s="105" t="n"/>
    </row>
    <row r="21" ht="14.25" customHeight="1">
      <c r="A21" s="10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06" t="n"/>
      <c r="Z21" s="106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107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10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>
      <c r="A23" s="10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110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110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</row>
    <row r="25" ht="14.25" customHeight="1">
      <c r="A25" s="10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06" t="n"/>
      <c r="Z25" s="106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107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1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107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10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107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1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107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10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107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10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107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1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0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D31" s="61" t="n"/>
      <c r="BA31" s="62" t="inlineStr">
        <is>
          <t>КИ</t>
        </is>
      </c>
    </row>
    <row r="32">
      <c r="A32" s="10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110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110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</row>
    <row r="34" ht="14.25" customHeight="1">
      <c r="A34" s="10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06" t="n"/>
      <c r="Z34" s="106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107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10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D35" s="61" t="n"/>
      <c r="BA35" s="62" t="inlineStr">
        <is>
          <t>СНК</t>
        </is>
      </c>
    </row>
    <row r="36">
      <c r="A36" s="109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110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110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</row>
    <row r="38" ht="14.25" customHeight="1">
      <c r="A38" s="10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06" t="n"/>
      <c r="Z38" s="106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107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10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D39" s="61" t="n"/>
      <c r="BA39" s="62" t="inlineStr">
        <is>
          <t>КИ</t>
        </is>
      </c>
    </row>
    <row r="40">
      <c r="A40" s="10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110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110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</row>
    <row r="42" ht="14.25" customHeight="1">
      <c r="A42" s="10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06" t="n"/>
      <c r="Z42" s="106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107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10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D43" s="61" t="n"/>
      <c r="BA43" s="62" t="inlineStr">
        <is>
          <t>СНК</t>
        </is>
      </c>
    </row>
    <row r="44">
      <c r="A44" s="109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110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110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</row>
    <row r="46" ht="27.75" customHeight="1">
      <c r="A46" s="10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</row>
    <row r="47" ht="16.5" customHeight="1">
      <c r="A47" s="10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05" t="n"/>
      <c r="Z47" s="105" t="n"/>
    </row>
    <row r="48" ht="14.25" customHeight="1">
      <c r="A48" s="10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06" t="n"/>
      <c r="Z48" s="106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107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108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20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107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1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0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D50" s="61" t="n"/>
      <c r="BA50" s="62" t="inlineStr">
        <is>
          <t>КИ</t>
        </is>
      </c>
    </row>
    <row r="51">
      <c r="A51" s="10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110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110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</row>
    <row r="53" ht="16.5" customHeight="1">
      <c r="A53" s="10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05" t="n"/>
      <c r="Z53" s="105" t="n"/>
    </row>
    <row r="54" ht="14.25" customHeight="1">
      <c r="A54" s="10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06" t="n"/>
      <c r="Z54" s="106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107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115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70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107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10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107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10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0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107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0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D58" s="61" t="n"/>
      <c r="BA58" s="62" t="inlineStr">
        <is>
          <t>КИ</t>
        </is>
      </c>
    </row>
    <row r="59">
      <c r="A59" s="10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110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110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</row>
    <row r="61" ht="16.5" customHeight="1">
      <c r="A61" s="10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05" t="n"/>
      <c r="Z61" s="105" t="n"/>
    </row>
    <row r="62" ht="14.25" customHeight="1">
      <c r="A62" s="10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06" t="n"/>
      <c r="Z62" s="106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107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107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10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0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107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108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107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10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107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1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107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1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0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107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1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107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10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107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1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107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1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107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1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0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D73" s="61" t="n"/>
      <c r="BA73" s="62" t="inlineStr">
        <is>
          <t>КИ</t>
        </is>
      </c>
    </row>
    <row r="74" ht="27" customHeight="1">
      <c r="A74" s="49" t="inlineStr">
        <is>
          <t>SU002785</t>
        </is>
      </c>
      <c r="B74" s="49" t="inlineStr">
        <is>
          <t>P003187</t>
        </is>
      </c>
      <c r="C74" s="50" t="n">
        <v>4301011432</v>
      </c>
      <c r="D74" s="107" t="n">
        <v>4680115882720</v>
      </c>
      <c r="E74" s="128" t="n"/>
      <c r="F74" s="162" t="n">
        <v>0.45</v>
      </c>
      <c r="G74" s="52" t="n">
        <v>10</v>
      </c>
      <c r="H74" s="162" t="n">
        <v>4.5</v>
      </c>
      <c r="I74" s="162" t="n">
        <v>4.74</v>
      </c>
      <c r="J74" s="52" t="n">
        <v>120</v>
      </c>
      <c r="K74" s="52" t="inlineStr">
        <is>
          <t>12</t>
        </is>
      </c>
      <c r="L74" s="53" t="inlineStr">
        <is>
          <t>СК1</t>
        </is>
      </c>
      <c r="M74" s="52" t="n">
        <v>90</v>
      </c>
      <c r="N74" s="115" t="inlineStr">
        <is>
          <t>Вареные колбасы «Филейская #Живой_пар» ф/в 0,45 п/а ТМ «Вязанка»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IFERROR(IF(W74=0,"",ROUNDUP(W74/H74,0)*0.00937),"")</f>
        <v/>
      </c>
      <c r="Y74" s="59" t="n"/>
      <c r="Z74" s="60" t="n"/>
      <c r="AD74" s="61" t="n"/>
      <c r="BA74" s="62" t="inlineStr">
        <is>
          <t>КИ</t>
        </is>
      </c>
    </row>
    <row r="75" ht="27" customHeight="1">
      <c r="A75" s="49" t="inlineStr">
        <is>
          <t>SU001905</t>
        </is>
      </c>
      <c r="B75" s="49" t="inlineStr">
        <is>
          <t>P001685</t>
        </is>
      </c>
      <c r="C75" s="50" t="n">
        <v>4301011352</v>
      </c>
      <c r="D75" s="107" t="n">
        <v>4607091388466</v>
      </c>
      <c r="E75" s="128" t="n"/>
      <c r="F75" s="162" t="n">
        <v>0.45</v>
      </c>
      <c r="G75" s="52" t="n">
        <v>6</v>
      </c>
      <c r="H75" s="162" t="n">
        <v>2.7</v>
      </c>
      <c r="I75" s="162" t="n">
        <v>2.9</v>
      </c>
      <c r="J75" s="52" t="n">
        <v>156</v>
      </c>
      <c r="K75" s="52" t="inlineStr">
        <is>
          <t>12</t>
        </is>
      </c>
      <c r="L75" s="53" t="inlineStr">
        <is>
          <t>СК3</t>
        </is>
      </c>
      <c r="M75" s="52" t="n">
        <v>45</v>
      </c>
      <c r="N75" s="1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5</v>
      </c>
      <c r="W75" s="165">
        <f>IFERROR(IF(V75="",0,CEILING((V75/$H75),1)*$H75),"")</f>
        <v/>
      </c>
      <c r="X75" s="58">
        <f>IFERROR(IF(W75=0,"",ROUNDUP(W75/H75,0)*0.00753),"")</f>
        <v/>
      </c>
      <c r="Y75" s="59" t="n"/>
      <c r="Z75" s="60" t="n"/>
      <c r="AD75" s="61" t="n"/>
      <c r="BA75" s="62" t="inlineStr">
        <is>
          <t>КИ</t>
        </is>
      </c>
    </row>
    <row r="76" ht="27" customHeight="1">
      <c r="A76" s="49" t="inlineStr">
        <is>
          <t>SU002733</t>
        </is>
      </c>
      <c r="B76" s="49" t="inlineStr">
        <is>
          <t>P003102</t>
        </is>
      </c>
      <c r="C76" s="50" t="n">
        <v>4301011417</v>
      </c>
      <c r="D76" s="107" t="n">
        <v>4680115880269</v>
      </c>
      <c r="E76" s="128" t="n"/>
      <c r="F76" s="162" t="n">
        <v>0.375</v>
      </c>
      <c r="G76" s="52" t="n">
        <v>10</v>
      </c>
      <c r="H76" s="162" t="n">
        <v>3.75</v>
      </c>
      <c r="I76" s="162" t="n">
        <v>3.99</v>
      </c>
      <c r="J76" s="52" t="n">
        <v>120</v>
      </c>
      <c r="K76" s="52" t="inlineStr">
        <is>
          <t>12</t>
        </is>
      </c>
      <c r="L76" s="53" t="inlineStr">
        <is>
          <t>СК3</t>
        </is>
      </c>
      <c r="M76" s="52" t="n">
        <v>50</v>
      </c>
      <c r="N76" s="1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IFERROR(IF(W76=0,"",ROUNDUP(W76/H76,0)*0.00937),"")</f>
        <v/>
      </c>
      <c r="Y76" s="59" t="n"/>
      <c r="Z76" s="60" t="n"/>
      <c r="AD76" s="61" t="n"/>
      <c r="BA76" s="62" t="inlineStr">
        <is>
          <t>КИ</t>
        </is>
      </c>
    </row>
    <row r="77" ht="16.5" customHeight="1">
      <c r="A77" s="49" t="inlineStr">
        <is>
          <t>SU002734</t>
        </is>
      </c>
      <c r="B77" s="49" t="inlineStr">
        <is>
          <t>P003103</t>
        </is>
      </c>
      <c r="C77" s="50" t="n">
        <v>4301011415</v>
      </c>
      <c r="D77" s="107" t="n">
        <v>4680115880429</v>
      </c>
      <c r="E77" s="128" t="n"/>
      <c r="F77" s="162" t="n">
        <v>0.45</v>
      </c>
      <c r="G77" s="52" t="n">
        <v>10</v>
      </c>
      <c r="H77" s="162" t="n">
        <v>4.5</v>
      </c>
      <c r="I77" s="162" t="n">
        <v>4.74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1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D77" s="61" t="n"/>
      <c r="BA77" s="62" t="inlineStr">
        <is>
          <t>КИ</t>
        </is>
      </c>
    </row>
    <row r="78" ht="16.5" customHeight="1">
      <c r="A78" s="49" t="inlineStr">
        <is>
          <t>SU002827</t>
        </is>
      </c>
      <c r="B78" s="49" t="inlineStr">
        <is>
          <t>P003233</t>
        </is>
      </c>
      <c r="C78" s="50" t="n">
        <v>4301011462</v>
      </c>
      <c r="D78" s="107" t="n">
        <v>4680115881457</v>
      </c>
      <c r="E78" s="128" t="n"/>
      <c r="F78" s="162" t="n">
        <v>0.75</v>
      </c>
      <c r="G78" s="52" t="n">
        <v>6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1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0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D78" s="61" t="n"/>
      <c r="BA78" s="62" t="inlineStr">
        <is>
          <t>КИ</t>
        </is>
      </c>
    </row>
    <row r="79">
      <c r="A79" s="10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66" t="n"/>
      <c r="N79" s="110" t="inlineStr">
        <is>
          <t>Итого</t>
        </is>
      </c>
      <c r="O79" s="134" t="n"/>
      <c r="P79" s="134" t="n"/>
      <c r="Q79" s="134" t="n"/>
      <c r="R79" s="134" t="n"/>
      <c r="S79" s="134" t="n"/>
      <c r="T79" s="135" t="n"/>
      <c r="U79" s="63" t="inlineStr">
        <is>
          <t>кор</t>
        </is>
      </c>
      <c r="V79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168" t="n"/>
      <c r="Z79" s="16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110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кг</t>
        </is>
      </c>
      <c r="V80" s="167">
        <f>IFERROR(SUM(V63:V78),"0")</f>
        <v/>
      </c>
      <c r="W80" s="167">
        <f>IFERROR(SUM(W63:W78),"0")</f>
        <v/>
      </c>
      <c r="X80" s="63" t="n"/>
      <c r="Y80" s="168" t="n"/>
      <c r="Z80" s="168" t="n"/>
    </row>
    <row r="81" ht="14.25" customHeight="1">
      <c r="A81" s="106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06" t="n"/>
      <c r="Z81" s="106" t="n"/>
    </row>
    <row r="82" ht="27" customHeight="1">
      <c r="A82" s="49" t="inlineStr">
        <is>
          <t>SU002488</t>
        </is>
      </c>
      <c r="B82" s="49" t="inlineStr">
        <is>
          <t>P002800</t>
        </is>
      </c>
      <c r="C82" s="50" t="n">
        <v>4301020189</v>
      </c>
      <c r="D82" s="107" t="n">
        <v>4607091384789</v>
      </c>
      <c r="E82" s="128" t="n"/>
      <c r="F82" s="162" t="n">
        <v>1</v>
      </c>
      <c r="G82" s="52" t="n">
        <v>6</v>
      </c>
      <c r="H82" s="162" t="n">
        <v>6</v>
      </c>
      <c r="I82" s="162" t="n">
        <v>6.36</v>
      </c>
      <c r="J82" s="52" t="n">
        <v>104</v>
      </c>
      <c r="K82" s="52" t="inlineStr">
        <is>
          <t>8</t>
        </is>
      </c>
      <c r="L82" s="53" t="inlineStr">
        <is>
          <t>СК1</t>
        </is>
      </c>
      <c r="M82" s="52" t="n">
        <v>45</v>
      </c>
      <c r="N82" s="115" t="inlineStr">
        <is>
          <t>Ветчины Запекуша с сочным окороком Вязанка Весовые П/а Вязанка</t>
        </is>
      </c>
      <c r="O82" s="163" t="n"/>
      <c r="P82" s="163" t="n"/>
      <c r="Q82" s="163" t="n"/>
      <c r="R82" s="128" t="n"/>
      <c r="S82" s="54" t="n"/>
      <c r="T82" s="54" t="n"/>
      <c r="U82" s="55" t="inlineStr">
        <is>
          <t>кг</t>
        </is>
      </c>
      <c r="V82" s="164" t="n">
        <v>0</v>
      </c>
      <c r="W82" s="165">
        <f>IFERROR(IF(V82="",0,CEILING((V82/$H82),1)*$H82),"")</f>
        <v/>
      </c>
      <c r="X82" s="58">
        <f>IFERROR(IF(W82=0,"",ROUNDUP(W82/H82,0)*0.01196),"")</f>
        <v/>
      </c>
      <c r="Y82" s="59" t="n"/>
      <c r="Z82" s="60" t="n"/>
      <c r="AD82" s="61" t="n"/>
      <c r="BA82" s="62" t="inlineStr">
        <is>
          <t>КИ</t>
        </is>
      </c>
    </row>
    <row r="83" ht="16.5" customHeight="1">
      <c r="A83" s="49" t="inlineStr">
        <is>
          <t>SU002833</t>
        </is>
      </c>
      <c r="B83" s="49" t="inlineStr">
        <is>
          <t>P003236</t>
        </is>
      </c>
      <c r="C83" s="50" t="n">
        <v>4301020235</v>
      </c>
      <c r="D83" s="107" t="n">
        <v>4680115881488</v>
      </c>
      <c r="E83" s="128" t="n"/>
      <c r="F83" s="162" t="n">
        <v>1.35</v>
      </c>
      <c r="G83" s="52" t="n">
        <v>8</v>
      </c>
      <c r="H83" s="162" t="n">
        <v>10.8</v>
      </c>
      <c r="I83" s="162" t="n">
        <v>11.28</v>
      </c>
      <c r="J83" s="52" t="n">
        <v>48</v>
      </c>
      <c r="K83" s="52" t="inlineStr">
        <is>
          <t>8</t>
        </is>
      </c>
      <c r="L83" s="53" t="inlineStr">
        <is>
          <t>СК1</t>
        </is>
      </c>
      <c r="M83" s="52" t="n">
        <v>50</v>
      </c>
      <c r="N83" s="108">
        <f>HYPERLINK("https://abi.ru/products/Охлажденные/Вязанка/Вязанка/Ветчины/P003236/","Ветчины Сливушка с индейкой Вязанка вес П/а Вязанка")</f>
        <v/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20</v>
      </c>
      <c r="W83" s="165">
        <f>IFERROR(IF(V83="",0,CEILING((V83/$H83),1)*$H83),"")</f>
        <v/>
      </c>
      <c r="X83" s="58">
        <f>IFERROR(IF(W83=0,"",ROUNDUP(W83/H83,0)*0.02175),"")</f>
        <v/>
      </c>
      <c r="Y83" s="59" t="n"/>
      <c r="Z83" s="60" t="n"/>
      <c r="AD83" s="61" t="n"/>
      <c r="BA83" s="62" t="inlineStr">
        <is>
          <t>КИ</t>
        </is>
      </c>
    </row>
    <row r="84" ht="27" customHeight="1">
      <c r="A84" s="49" t="inlineStr">
        <is>
          <t>SU002313</t>
        </is>
      </c>
      <c r="B84" s="49" t="inlineStr">
        <is>
          <t>P002583</t>
        </is>
      </c>
      <c r="C84" s="50" t="n">
        <v>4301020183</v>
      </c>
      <c r="D84" s="107" t="n">
        <v>4607091384765</v>
      </c>
      <c r="E84" s="128" t="n"/>
      <c r="F84" s="162" t="n">
        <v>0.42</v>
      </c>
      <c r="G84" s="52" t="n">
        <v>6</v>
      </c>
      <c r="H84" s="162" t="n">
        <v>2.52</v>
      </c>
      <c r="I84" s="162" t="n">
        <v>2.72</v>
      </c>
      <c r="J84" s="52" t="n">
        <v>156</v>
      </c>
      <c r="K84" s="52" t="inlineStr">
        <is>
          <t>12</t>
        </is>
      </c>
      <c r="L84" s="53" t="inlineStr">
        <is>
          <t>СК1</t>
        </is>
      </c>
      <c r="M84" s="52" t="n">
        <v>45</v>
      </c>
      <c r="N84" s="115" t="inlineStr">
        <is>
          <t>Ветчины Запекуша с сочным окороком Вязанка Фикс.вес 0,42 п/а Вязанка</t>
        </is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IFERROR(IF(W84=0,"",ROUNDUP(W84/H84,0)*0.00753),"")</f>
        <v/>
      </c>
      <c r="Y84" s="59" t="n"/>
      <c r="Z84" s="60" t="n"/>
      <c r="AD84" s="61" t="n"/>
      <c r="BA84" s="62" t="inlineStr">
        <is>
          <t>КИ</t>
        </is>
      </c>
    </row>
    <row r="85" ht="27" customHeight="1">
      <c r="A85" s="49" t="inlineStr">
        <is>
          <t>SU002786</t>
        </is>
      </c>
      <c r="B85" s="49" t="inlineStr">
        <is>
          <t>P003188</t>
        </is>
      </c>
      <c r="C85" s="50" t="n">
        <v>4301020228</v>
      </c>
      <c r="D85" s="107" t="n">
        <v>4680115882751</v>
      </c>
      <c r="E85" s="128" t="n"/>
      <c r="F85" s="162" t="n">
        <v>0.45</v>
      </c>
      <c r="G85" s="52" t="n">
        <v>10</v>
      </c>
      <c r="H85" s="162" t="n">
        <v>4.5</v>
      </c>
      <c r="I85" s="162" t="n">
        <v>4.74</v>
      </c>
      <c r="J85" s="52" t="n">
        <v>120</v>
      </c>
      <c r="K85" s="52" t="inlineStr">
        <is>
          <t>12</t>
        </is>
      </c>
      <c r="L85" s="53" t="inlineStr">
        <is>
          <t>СК1</t>
        </is>
      </c>
      <c r="M85" s="52" t="n">
        <v>90</v>
      </c>
      <c r="N85" s="115" t="inlineStr">
        <is>
          <t>Ветчины «Филейская #Живой_пар» ф/в 0,45 п/а ТМ «Вязанка»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0</v>
      </c>
      <c r="W85" s="165">
        <f>IFERROR(IF(V85="",0,CEILING((V85/$H85),1)*$H85),"")</f>
        <v/>
      </c>
      <c r="X85" s="58">
        <f>IFERROR(IF(W85=0,"",ROUNDUP(W85/H85,0)*0.00937),"")</f>
        <v/>
      </c>
      <c r="Y85" s="59" t="n"/>
      <c r="Z85" s="60" t="n"/>
      <c r="AD85" s="61" t="n"/>
      <c r="BA85" s="62" t="inlineStr">
        <is>
          <t>КИ</t>
        </is>
      </c>
    </row>
    <row r="86" ht="27" customHeight="1">
      <c r="A86" s="49" t="inlineStr">
        <is>
          <t>SU003037</t>
        </is>
      </c>
      <c r="B86" s="49" t="inlineStr">
        <is>
          <t>P003575</t>
        </is>
      </c>
      <c r="C86" s="50" t="n">
        <v>4301020258</v>
      </c>
      <c r="D86" s="107" t="n">
        <v>4680115882775</v>
      </c>
      <c r="E86" s="128" t="n"/>
      <c r="F86" s="162" t="n">
        <v>0.3</v>
      </c>
      <c r="G86" s="52" t="n">
        <v>8</v>
      </c>
      <c r="H86" s="162" t="n">
        <v>2.4</v>
      </c>
      <c r="I86" s="162" t="n">
        <v>2.5</v>
      </c>
      <c r="J86" s="52" t="n">
        <v>234</v>
      </c>
      <c r="K86" s="52" t="inlineStr">
        <is>
          <t>18</t>
        </is>
      </c>
      <c r="L86" s="53" t="inlineStr">
        <is>
          <t>СК3</t>
        </is>
      </c>
      <c r="M86" s="52" t="n">
        <v>50</v>
      </c>
      <c r="N86" s="115" t="inlineStr">
        <is>
          <t>Ветчины «Сливушка с индейкой» Фикс.вес 0,3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IFERROR(IF(W86=0,"",ROUNDUP(W86/H86,0)*0.00502),"")</f>
        <v/>
      </c>
      <c r="Y86" s="59" t="n"/>
      <c r="Z86" s="60" t="n"/>
      <c r="AD86" s="61" t="n"/>
      <c r="BA86" s="62" t="inlineStr">
        <is>
          <t>КИ</t>
        </is>
      </c>
    </row>
    <row r="87" ht="27" customHeight="1">
      <c r="A87" s="49" t="inlineStr">
        <is>
          <t>SU002735</t>
        </is>
      </c>
      <c r="B87" s="49" t="inlineStr">
        <is>
          <t>P003107</t>
        </is>
      </c>
      <c r="C87" s="50" t="n">
        <v>4301020217</v>
      </c>
      <c r="D87" s="107" t="n">
        <v>4680115880658</v>
      </c>
      <c r="E87" s="128" t="n"/>
      <c r="F87" s="162" t="n">
        <v>0.4</v>
      </c>
      <c r="G87" s="52" t="n">
        <v>6</v>
      </c>
      <c r="H87" s="162" t="n">
        <v>2.4</v>
      </c>
      <c r="I87" s="162" t="n">
        <v>2.6</v>
      </c>
      <c r="J87" s="52" t="n">
        <v>156</v>
      </c>
      <c r="K87" s="52" t="inlineStr">
        <is>
          <t>12</t>
        </is>
      </c>
      <c r="L87" s="53" t="inlineStr">
        <is>
          <t>СК1</t>
        </is>
      </c>
      <c r="M87" s="52" t="n">
        <v>50</v>
      </c>
      <c r="N87" s="1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IFERROR(IF(W87=0,"",ROUNDUP(W87/H87,0)*0.00753),"")</f>
        <v/>
      </c>
      <c r="Y87" s="59" t="n"/>
      <c r="Z87" s="60" t="n"/>
      <c r="AD87" s="61" t="n"/>
      <c r="BA87" s="62" t="inlineStr">
        <is>
          <t>КИ</t>
        </is>
      </c>
    </row>
    <row r="88" ht="27" customHeight="1">
      <c r="A88" s="49" t="inlineStr">
        <is>
          <t>SU000082</t>
        </is>
      </c>
      <c r="B88" s="49" t="inlineStr">
        <is>
          <t>P003164</t>
        </is>
      </c>
      <c r="C88" s="50" t="n">
        <v>4301020223</v>
      </c>
      <c r="D88" s="107" t="n">
        <v>4607091381962</v>
      </c>
      <c r="E88" s="128" t="n"/>
      <c r="F88" s="162" t="n">
        <v>0.5</v>
      </c>
      <c r="G88" s="52" t="n">
        <v>6</v>
      </c>
      <c r="H88" s="162" t="n">
        <v>3</v>
      </c>
      <c r="I88" s="162" t="n">
        <v>3.2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108">
        <f>HYPERLINK("https://abi.ru/products/Охлажденные/Вязанка/Вязанка/Ветчины/P003164/","Ветчины Столичная Вязанка Фикс.вес 0,5 Вектор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0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D88" s="61" t="n"/>
      <c r="BA88" s="62" t="inlineStr">
        <is>
          <t>КИ</t>
        </is>
      </c>
    </row>
    <row r="89">
      <c r="A89" s="109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66" t="n"/>
      <c r="N89" s="110" t="inlineStr">
        <is>
          <t>Итого</t>
        </is>
      </c>
      <c r="O89" s="134" t="n"/>
      <c r="P89" s="134" t="n"/>
      <c r="Q89" s="134" t="n"/>
      <c r="R89" s="134" t="n"/>
      <c r="S89" s="134" t="n"/>
      <c r="T89" s="135" t="n"/>
      <c r="U89" s="63" t="inlineStr">
        <is>
          <t>кор</t>
        </is>
      </c>
      <c r="V89" s="167">
        <f>IFERROR(V82/H82,"0")+IFERROR(V83/H83,"0")+IFERROR(V84/H84,"0")+IFERROR(V85/H85,"0")+IFERROR(V86/H86,"0")+IFERROR(V87/H87,"0")+IFERROR(V88/H88,"0")</f>
        <v/>
      </c>
      <c r="W89" s="167">
        <f>IFERROR(W82/H82,"0")+IFERROR(W83/H83,"0")+IFERROR(W84/H84,"0")+IFERROR(W85/H85,"0")+IFERROR(W86/H86,"0")+IFERROR(W87/H87,"0")+IFERROR(W88/H88,"0")</f>
        <v/>
      </c>
      <c r="X89" s="167">
        <f>IFERROR(IF(X82="",0,X82),"0")+IFERROR(IF(X83="",0,X83),"0")+IFERROR(IF(X84="",0,X84),"0")+IFERROR(IF(X85="",0,X85),"0")+IFERROR(IF(X86="",0,X86),"0")+IFERROR(IF(X87="",0,X87),"0")+IFERROR(IF(X88="",0,X88),"0")</f>
        <v/>
      </c>
      <c r="Y89" s="168" t="n"/>
      <c r="Z89" s="16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110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кг</t>
        </is>
      </c>
      <c r="V90" s="167">
        <f>IFERROR(SUM(V82:V88),"0")</f>
        <v/>
      </c>
      <c r="W90" s="167">
        <f>IFERROR(SUM(W82:W88),"0")</f>
        <v/>
      </c>
      <c r="X90" s="63" t="n"/>
      <c r="Y90" s="168" t="n"/>
      <c r="Z90" s="168" t="n"/>
    </row>
    <row r="91" ht="14.25" customHeight="1">
      <c r="A91" s="106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06" t="n"/>
      <c r="Z91" s="106" t="n"/>
    </row>
    <row r="92" ht="16.5" customHeight="1">
      <c r="A92" s="49" t="inlineStr">
        <is>
          <t>SU000064</t>
        </is>
      </c>
      <c r="B92" s="49" t="inlineStr">
        <is>
          <t>P001841</t>
        </is>
      </c>
      <c r="C92" s="50" t="n">
        <v>4301030895</v>
      </c>
      <c r="D92" s="107" t="n">
        <v>4607091387667</v>
      </c>
      <c r="E92" s="128" t="n"/>
      <c r="F92" s="162" t="n">
        <v>0.9</v>
      </c>
      <c r="G92" s="52" t="n">
        <v>10</v>
      </c>
      <c r="H92" s="162" t="n">
        <v>9</v>
      </c>
      <c r="I92" s="162" t="n">
        <v>9.630000000000001</v>
      </c>
      <c r="J92" s="52" t="n">
        <v>56</v>
      </c>
      <c r="K92" s="52" t="inlineStr">
        <is>
          <t>8</t>
        </is>
      </c>
      <c r="L92" s="53" t="inlineStr">
        <is>
          <t>СК1</t>
        </is>
      </c>
      <c r="M92" s="52" t="n">
        <v>40</v>
      </c>
      <c r="N92" s="10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163" t="n"/>
      <c r="P92" s="163" t="n"/>
      <c r="Q92" s="163" t="n"/>
      <c r="R92" s="128" t="n"/>
      <c r="S92" s="54" t="n"/>
      <c r="T92" s="54" t="n"/>
      <c r="U92" s="55" t="inlineStr">
        <is>
          <t>кг</t>
        </is>
      </c>
      <c r="V92" s="164" t="n">
        <v>0</v>
      </c>
      <c r="W92" s="165">
        <f>IFERROR(IF(V92="",0,CEILING((V92/$H92),1)*$H92),"")</f>
        <v/>
      </c>
      <c r="X92" s="58">
        <f>IFERROR(IF(W92=0,"",ROUNDUP(W92/H92,0)*0.02175),"")</f>
        <v/>
      </c>
      <c r="Y92" s="59" t="n"/>
      <c r="Z92" s="60" t="n"/>
      <c r="AD92" s="61" t="n"/>
      <c r="BA92" s="62" t="inlineStr">
        <is>
          <t>КИ</t>
        </is>
      </c>
    </row>
    <row r="93" ht="27" customHeight="1">
      <c r="A93" s="49" t="inlineStr">
        <is>
          <t>SU000664</t>
        </is>
      </c>
      <c r="B93" s="49" t="inlineStr">
        <is>
          <t>P002177</t>
        </is>
      </c>
      <c r="C93" s="50" t="n">
        <v>4301030961</v>
      </c>
      <c r="D93" s="107" t="n">
        <v>4607091387636</v>
      </c>
      <c r="E93" s="128" t="n"/>
      <c r="F93" s="162" t="n">
        <v>0.7</v>
      </c>
      <c r="G93" s="52" t="n">
        <v>6</v>
      </c>
      <c r="H93" s="162" t="n">
        <v>4.2</v>
      </c>
      <c r="I93" s="162" t="n">
        <v>4.5</v>
      </c>
      <c r="J93" s="52" t="n">
        <v>120</v>
      </c>
      <c r="K93" s="52" t="inlineStr">
        <is>
          <t>12</t>
        </is>
      </c>
      <c r="L93" s="53" t="inlineStr">
        <is>
          <t>СК2</t>
        </is>
      </c>
      <c r="M93" s="52" t="n">
        <v>40</v>
      </c>
      <c r="N93" s="1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IFERROR(IF(W93=0,"",ROUNDUP(W93/H93,0)*0.00937),"")</f>
        <v/>
      </c>
      <c r="Y93" s="59" t="n"/>
      <c r="Z93" s="60" t="n"/>
      <c r="AD93" s="61" t="n"/>
      <c r="BA93" s="62" t="inlineStr">
        <is>
          <t>КИ</t>
        </is>
      </c>
    </row>
    <row r="94" ht="27" customHeight="1">
      <c r="A94" s="49" t="inlineStr">
        <is>
          <t>SU002308</t>
        </is>
      </c>
      <c r="B94" s="49" t="inlineStr">
        <is>
          <t>P002572</t>
        </is>
      </c>
      <c r="C94" s="50" t="n">
        <v>4301031078</v>
      </c>
      <c r="D94" s="107" t="n">
        <v>4607091384727</v>
      </c>
      <c r="E94" s="128" t="n"/>
      <c r="F94" s="162" t="n">
        <v>0.8</v>
      </c>
      <c r="G94" s="52" t="n">
        <v>6</v>
      </c>
      <c r="H94" s="162" t="n">
        <v>4.8</v>
      </c>
      <c r="I94" s="162" t="n">
        <v>5.16</v>
      </c>
      <c r="J94" s="52" t="n">
        <v>104</v>
      </c>
      <c r="K94" s="52" t="inlineStr">
        <is>
          <t>8</t>
        </is>
      </c>
      <c r="L94" s="53" t="inlineStr">
        <is>
          <t>СК2</t>
        </is>
      </c>
      <c r="M94" s="52" t="n">
        <v>45</v>
      </c>
      <c r="N94" s="10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IFERROR(IF(W94=0,"",ROUNDUP(W94/H94,0)*0.01196),"")</f>
        <v/>
      </c>
      <c r="Y94" s="59" t="n"/>
      <c r="Z94" s="60" t="n"/>
      <c r="AD94" s="61" t="n"/>
      <c r="BA94" s="62" t="inlineStr">
        <is>
          <t>КИ</t>
        </is>
      </c>
    </row>
    <row r="95" ht="27" customHeight="1">
      <c r="A95" s="49" t="inlineStr">
        <is>
          <t>SU002310</t>
        </is>
      </c>
      <c r="B95" s="49" t="inlineStr">
        <is>
          <t>P002574</t>
        </is>
      </c>
      <c r="C95" s="50" t="n">
        <v>4301031080</v>
      </c>
      <c r="D95" s="107" t="n">
        <v>4607091386745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10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D95" s="61" t="n"/>
      <c r="BA95" s="62" t="inlineStr">
        <is>
          <t>КИ</t>
        </is>
      </c>
    </row>
    <row r="96" ht="16.5" customHeight="1">
      <c r="A96" s="49" t="inlineStr">
        <is>
          <t>SU000097</t>
        </is>
      </c>
      <c r="B96" s="49" t="inlineStr">
        <is>
          <t>P002179</t>
        </is>
      </c>
      <c r="C96" s="50" t="n">
        <v>4301030963</v>
      </c>
      <c r="D96" s="107" t="n">
        <v>4607091382426</v>
      </c>
      <c r="E96" s="128" t="n"/>
      <c r="F96" s="162" t="n">
        <v>0.9</v>
      </c>
      <c r="G96" s="52" t="n">
        <v>10</v>
      </c>
      <c r="H96" s="162" t="n">
        <v>9</v>
      </c>
      <c r="I96" s="162" t="n">
        <v>9.630000000000001</v>
      </c>
      <c r="J96" s="52" t="n">
        <v>56</v>
      </c>
      <c r="K96" s="52" t="inlineStr">
        <is>
          <t>8</t>
        </is>
      </c>
      <c r="L96" s="53" t="inlineStr">
        <is>
          <t>СК2</t>
        </is>
      </c>
      <c r="M96" s="52" t="n">
        <v>40</v>
      </c>
      <c r="N96" s="1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IFERROR(IF(W96=0,"",ROUNDUP(W96/H96,0)*0.02175),"")</f>
        <v/>
      </c>
      <c r="Y96" s="59" t="n"/>
      <c r="Z96" s="60" t="n"/>
      <c r="AD96" s="61" t="n"/>
      <c r="BA96" s="62" t="inlineStr">
        <is>
          <t>КИ</t>
        </is>
      </c>
    </row>
    <row r="97" ht="27" customHeight="1">
      <c r="A97" s="49" t="inlineStr">
        <is>
          <t>SU000665</t>
        </is>
      </c>
      <c r="B97" s="49" t="inlineStr">
        <is>
          <t>P002178</t>
        </is>
      </c>
      <c r="C97" s="50" t="n">
        <v>4301030962</v>
      </c>
      <c r="D97" s="107" t="n">
        <v>4607091386547</v>
      </c>
      <c r="E97" s="128" t="n"/>
      <c r="F97" s="162" t="n">
        <v>0.35</v>
      </c>
      <c r="G97" s="52" t="n">
        <v>8</v>
      </c>
      <c r="H97" s="162" t="n">
        <v>2.8</v>
      </c>
      <c r="I97" s="162" t="n">
        <v>2.94</v>
      </c>
      <c r="J97" s="52" t="n">
        <v>234</v>
      </c>
      <c r="K97" s="52" t="inlineStr">
        <is>
          <t>18</t>
        </is>
      </c>
      <c r="L97" s="53" t="inlineStr">
        <is>
          <t>СК2</t>
        </is>
      </c>
      <c r="M97" s="52" t="n">
        <v>40</v>
      </c>
      <c r="N97" s="10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IFERROR(IF(W97=0,"",ROUNDUP(W97/H97,0)*0.00502),"")</f>
        <v/>
      </c>
      <c r="Y97" s="59" t="n"/>
      <c r="Z97" s="60" t="n"/>
      <c r="AD97" s="61" t="n"/>
      <c r="BA97" s="62" t="inlineStr">
        <is>
          <t>КИ</t>
        </is>
      </c>
    </row>
    <row r="98" ht="27" customHeight="1">
      <c r="A98" s="49" t="inlineStr">
        <is>
          <t>SU002309</t>
        </is>
      </c>
      <c r="B98" s="49" t="inlineStr">
        <is>
          <t>P002573</t>
        </is>
      </c>
      <c r="C98" s="50" t="n">
        <v>4301031079</v>
      </c>
      <c r="D98" s="107" t="n">
        <v>4607091384734</v>
      </c>
      <c r="E98" s="128" t="n"/>
      <c r="F98" s="162" t="n">
        <v>0.35</v>
      </c>
      <c r="G98" s="52" t="n">
        <v>6</v>
      </c>
      <c r="H98" s="162" t="n">
        <v>2.1</v>
      </c>
      <c r="I98" s="162" t="n">
        <v>2.2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45</v>
      </c>
      <c r="N98" s="10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0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D98" s="61" t="n"/>
      <c r="BA98" s="62" t="inlineStr">
        <is>
          <t>КИ</t>
        </is>
      </c>
    </row>
    <row r="99" ht="27" customHeight="1">
      <c r="A99" s="49" t="inlineStr">
        <is>
          <t>SU001605</t>
        </is>
      </c>
      <c r="B99" s="49" t="inlineStr">
        <is>
          <t>P002180</t>
        </is>
      </c>
      <c r="C99" s="50" t="n">
        <v>4301030964</v>
      </c>
      <c r="D99" s="107" t="n">
        <v>4607091382464</v>
      </c>
      <c r="E99" s="128" t="n"/>
      <c r="F99" s="162" t="n">
        <v>0.35</v>
      </c>
      <c r="G99" s="52" t="n">
        <v>8</v>
      </c>
      <c r="H99" s="162" t="n">
        <v>2.8</v>
      </c>
      <c r="I99" s="162" t="n">
        <v>2.964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40</v>
      </c>
      <c r="N99" s="1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D99" s="61" t="n"/>
      <c r="BA99" s="62" t="inlineStr">
        <is>
          <t>КИ</t>
        </is>
      </c>
    </row>
    <row r="100" ht="27" customHeight="1">
      <c r="A100" s="49" t="inlineStr">
        <is>
          <t>SU002985</t>
        </is>
      </c>
      <c r="B100" s="49" t="inlineStr">
        <is>
          <t>P003439</t>
        </is>
      </c>
      <c r="C100" s="50" t="n">
        <v>4301031234</v>
      </c>
      <c r="D100" s="107" t="n">
        <v>4680115883444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3.088</v>
      </c>
      <c r="J100" s="52" t="n">
        <v>156</v>
      </c>
      <c r="K100" s="52" t="inlineStr">
        <is>
          <t>12</t>
        </is>
      </c>
      <c r="L100" s="53" t="inlineStr">
        <is>
          <t>АК</t>
        </is>
      </c>
      <c r="M100" s="52" t="n">
        <v>90</v>
      </c>
      <c r="N100" s="115" t="inlineStr">
        <is>
          <t>П/к колбасы «Аль-Ислами халяль» ф/в 0,35 фиброуз ТМ «Вязанка»</t>
        </is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IFERROR(IF(W100=0,"",ROUNDUP(W100/H100,0)*0.00753),"")</f>
        <v/>
      </c>
      <c r="Y100" s="59" t="n"/>
      <c r="Z100" s="60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P003442</t>
        </is>
      </c>
      <c r="C101" s="50" t="n">
        <v>4301031235</v>
      </c>
      <c r="D101" s="107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115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D101" s="61" t="n"/>
      <c r="BA101" s="62" t="inlineStr">
        <is>
          <t>КИ</t>
        </is>
      </c>
    </row>
    <row r="102">
      <c r="A102" s="109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66" t="n"/>
      <c r="N102" s="110" t="inlineStr">
        <is>
          <t>Итого</t>
        </is>
      </c>
      <c r="O102" s="134" t="n"/>
      <c r="P102" s="134" t="n"/>
      <c r="Q102" s="134" t="n"/>
      <c r="R102" s="134" t="n"/>
      <c r="S102" s="134" t="n"/>
      <c r="T102" s="135" t="n"/>
      <c r="U102" s="63" t="inlineStr">
        <is>
          <t>кор</t>
        </is>
      </c>
      <c r="V102" s="167">
        <f>IFERROR(V92/H92,"0")+IFERROR(V93/H93,"0")+IFERROR(V94/H94,"0")+IFERROR(V95/H95,"0")+IFERROR(V96/H96,"0")+IFERROR(V97/H97,"0")+IFERROR(V98/H98,"0")+IFERROR(V99/H99,"0")+IFERROR(V100/H100,"0")+IFERROR(V101/H101,"0")</f>
        <v/>
      </c>
      <c r="W102" s="167">
        <f>IFERROR(W92/H92,"0")+IFERROR(W93/H93,"0")+IFERROR(W94/H94,"0")+IFERROR(W95/H95,"0")+IFERROR(W96/H96,"0")+IFERROR(W97/H97,"0")+IFERROR(W98/H98,"0")+IFERROR(W99/H99,"0")+IFERROR(W100/H100,"0")+IFERROR(W101/H101,"0")</f>
        <v/>
      </c>
      <c r="X102" s="16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168" t="n"/>
      <c r="Z102" s="16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110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кг</t>
        </is>
      </c>
      <c r="V103" s="167">
        <f>IFERROR(SUM(V92:V101),"0")</f>
        <v/>
      </c>
      <c r="W103" s="167">
        <f>IFERROR(SUM(W92:W101),"0")</f>
        <v/>
      </c>
      <c r="X103" s="63" t="n"/>
      <c r="Y103" s="168" t="n"/>
      <c r="Z103" s="168" t="n"/>
    </row>
    <row r="104" ht="14.25" customHeight="1">
      <c r="A104" s="106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06" t="n"/>
      <c r="Z104" s="106" t="n"/>
    </row>
    <row r="105" ht="27" customHeight="1">
      <c r="A105" s="49" t="inlineStr">
        <is>
          <t>SU001523</t>
        </is>
      </c>
      <c r="B105" s="49" t="inlineStr">
        <is>
          <t>P003328</t>
        </is>
      </c>
      <c r="C105" s="50" t="n">
        <v>4301051437</v>
      </c>
      <c r="D105" s="107" t="n">
        <v>4607091386967</v>
      </c>
      <c r="E105" s="128" t="n"/>
      <c r="F105" s="162" t="n">
        <v>1.35</v>
      </c>
      <c r="G105" s="52" t="n">
        <v>6</v>
      </c>
      <c r="H105" s="162" t="n">
        <v>8.1</v>
      </c>
      <c r="I105" s="162" t="n">
        <v>8.664</v>
      </c>
      <c r="J105" s="52" t="n">
        <v>56</v>
      </c>
      <c r="K105" s="52" t="inlineStr">
        <is>
          <t>8</t>
        </is>
      </c>
      <c r="L105" s="53" t="inlineStr">
        <is>
          <t>СК3</t>
        </is>
      </c>
      <c r="M105" s="52" t="n">
        <v>45</v>
      </c>
      <c r="N105" s="115" t="inlineStr">
        <is>
          <t>Сосиски Молокуши (Вязанка Молочные) Вязанка Весовые П/а мгс Вязанка</t>
        </is>
      </c>
      <c r="O105" s="163" t="n"/>
      <c r="P105" s="163" t="n"/>
      <c r="Q105" s="163" t="n"/>
      <c r="R105" s="128" t="n"/>
      <c r="S105" s="54" t="n"/>
      <c r="T105" s="54" t="n"/>
      <c r="U105" s="55" t="inlineStr">
        <is>
          <t>кг</t>
        </is>
      </c>
      <c r="V105" s="164" t="n">
        <v>0</v>
      </c>
      <c r="W105" s="165">
        <f>IFERROR(IF(V105="",0,CEILING((V105/$H105),1)*$H105),"")</f>
        <v/>
      </c>
      <c r="X105" s="58">
        <f>IFERROR(IF(W105=0,"",ROUNDUP(W105/H105,0)*0.02175),"")</f>
        <v/>
      </c>
      <c r="Y105" s="59" t="n"/>
      <c r="Z105" s="60" t="n"/>
      <c r="AD105" s="61" t="n"/>
      <c r="BA105" s="62" t="inlineStr">
        <is>
          <t>КИ</t>
        </is>
      </c>
    </row>
    <row r="106" ht="27" customHeight="1">
      <c r="A106" s="49" t="inlineStr">
        <is>
          <t>SU001523</t>
        </is>
      </c>
      <c r="B106" s="49" t="inlineStr">
        <is>
          <t>P003691</t>
        </is>
      </c>
      <c r="C106" s="50" t="n">
        <v>4301051543</v>
      </c>
      <c r="D106" s="107" t="n">
        <v>4607091386967</v>
      </c>
      <c r="E106" s="128" t="n"/>
      <c r="F106" s="162" t="n">
        <v>1.4</v>
      </c>
      <c r="G106" s="52" t="n">
        <v>6</v>
      </c>
      <c r="H106" s="162" t="n">
        <v>8.4</v>
      </c>
      <c r="I106" s="162" t="n">
        <v>8.964</v>
      </c>
      <c r="J106" s="52" t="n">
        <v>56</v>
      </c>
      <c r="K106" s="52" t="inlineStr">
        <is>
          <t>8</t>
        </is>
      </c>
      <c r="L106" s="53" t="inlineStr">
        <is>
          <t>СК2</t>
        </is>
      </c>
      <c r="M106" s="52" t="n">
        <v>45</v>
      </c>
      <c r="N106" s="115" t="inlineStr">
        <is>
          <t>Сосиски «Молокуши (Вязанка Молочные)» Весовые П/а мгс УВВ ТМ «Вязанка»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D106" s="61" t="n"/>
      <c r="BA106" s="62" t="inlineStr">
        <is>
          <t>КИ</t>
        </is>
      </c>
    </row>
    <row r="107" ht="16.5" customHeight="1">
      <c r="A107" s="49" t="inlineStr">
        <is>
          <t>SU001351</t>
        </is>
      </c>
      <c r="B107" s="49" t="inlineStr">
        <is>
          <t>P003025</t>
        </is>
      </c>
      <c r="C107" s="50" t="n">
        <v>4301051311</v>
      </c>
      <c r="D107" s="107" t="n">
        <v>4607091385304</v>
      </c>
      <c r="E107" s="128" t="n"/>
      <c r="F107" s="162" t="n">
        <v>1.35</v>
      </c>
      <c r="G107" s="52" t="n">
        <v>6</v>
      </c>
      <c r="H107" s="162" t="n">
        <v>8.1</v>
      </c>
      <c r="I107" s="162" t="n">
        <v>8.664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40</v>
      </c>
      <c r="N107" s="108">
        <f>HYPERLINK("https://abi.ru/products/Охлажденные/Вязанка/Вязанка/Сосиски/P003025/","Сосиски Рубленые Вязанка Весовые п/а мгс Вязанка")</f>
        <v/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30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D107" s="61" t="n"/>
      <c r="BA107" s="62" t="inlineStr">
        <is>
          <t>КИ</t>
        </is>
      </c>
    </row>
    <row r="108" ht="16.5" customHeight="1">
      <c r="A108" s="49" t="inlineStr">
        <is>
          <t>SU001527</t>
        </is>
      </c>
      <c r="B108" s="49" t="inlineStr">
        <is>
          <t>P002217</t>
        </is>
      </c>
      <c r="C108" s="50" t="n">
        <v>4301051306</v>
      </c>
      <c r="D108" s="107" t="n">
        <v>4607091386264</v>
      </c>
      <c r="E108" s="128" t="n"/>
      <c r="F108" s="162" t="n">
        <v>0.5</v>
      </c>
      <c r="G108" s="52" t="n">
        <v>6</v>
      </c>
      <c r="H108" s="162" t="n">
        <v>3</v>
      </c>
      <c r="I108" s="162" t="n">
        <v>3.278</v>
      </c>
      <c r="J108" s="52" t="n">
        <v>156</v>
      </c>
      <c r="K108" s="52" t="inlineStr">
        <is>
          <t>12</t>
        </is>
      </c>
      <c r="L108" s="53" t="inlineStr">
        <is>
          <t>СК2</t>
        </is>
      </c>
      <c r="M108" s="52" t="n">
        <v>31</v>
      </c>
      <c r="N108" s="108">
        <f>HYPERLINK("https://abi.ru/products/Охлажденные/Вязанка/Вязанка/Сосиски/P002217/","Сосиски Венские Вязанка Фикс.вес 0,5 NDX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IFERROR(IF(W108=0,"",ROUNDUP(W108/H108,0)*0.00753),"")</f>
        <v/>
      </c>
      <c r="Y108" s="59" t="n"/>
      <c r="Z108" s="60" t="n"/>
      <c r="AD108" s="61" t="n"/>
      <c r="BA108" s="62" t="inlineStr">
        <is>
          <t>КИ</t>
        </is>
      </c>
    </row>
    <row r="109" ht="27" customHeight="1">
      <c r="A109" s="49" t="inlineStr">
        <is>
          <t>SU001718</t>
        </is>
      </c>
      <c r="B109" s="49" t="inlineStr">
        <is>
          <t>P003327</t>
        </is>
      </c>
      <c r="C109" s="50" t="n">
        <v>4301051436</v>
      </c>
      <c r="D109" s="107" t="n">
        <v>4607091385731</v>
      </c>
      <c r="E109" s="128" t="n"/>
      <c r="F109" s="162" t="n">
        <v>0.45</v>
      </c>
      <c r="G109" s="52" t="n">
        <v>6</v>
      </c>
      <c r="H109" s="162" t="n">
        <v>2.7</v>
      </c>
      <c r="I109" s="162" t="n">
        <v>2.972</v>
      </c>
      <c r="J109" s="52" t="n">
        <v>156</v>
      </c>
      <c r="K109" s="52" t="inlineStr">
        <is>
          <t>12</t>
        </is>
      </c>
      <c r="L109" s="53" t="inlineStr">
        <is>
          <t>СК3</t>
        </is>
      </c>
      <c r="M109" s="52" t="n">
        <v>45</v>
      </c>
      <c r="N109" s="115" t="inlineStr">
        <is>
          <t>Сосиски Молокуши (Вязанка Молочные) Вязанка Фикс.вес 0,45 П/а мгс Вязанка</t>
        </is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0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D109" s="61" t="n"/>
      <c r="BA109" s="62" t="inlineStr">
        <is>
          <t>КИ</t>
        </is>
      </c>
    </row>
    <row r="110" ht="27" customHeight="1">
      <c r="A110" s="49" t="inlineStr">
        <is>
          <t>SU002658</t>
        </is>
      </c>
      <c r="B110" s="49" t="inlineStr">
        <is>
          <t>P003326</t>
        </is>
      </c>
      <c r="C110" s="50" t="n">
        <v>4301051439</v>
      </c>
      <c r="D110" s="107" t="n">
        <v>4680115880214</v>
      </c>
      <c r="E110" s="128" t="n"/>
      <c r="F110" s="162" t="n">
        <v>0.45</v>
      </c>
      <c r="G110" s="52" t="n">
        <v>6</v>
      </c>
      <c r="H110" s="162" t="n">
        <v>2.7</v>
      </c>
      <c r="I110" s="162" t="n">
        <v>2.988</v>
      </c>
      <c r="J110" s="52" t="n">
        <v>120</v>
      </c>
      <c r="K110" s="52" t="inlineStr">
        <is>
          <t>12</t>
        </is>
      </c>
      <c r="L110" s="53" t="inlineStr">
        <is>
          <t>СК3</t>
        </is>
      </c>
      <c r="M110" s="52" t="n">
        <v>45</v>
      </c>
      <c r="N110" s="115" t="inlineStr">
        <is>
          <t>Сосиски Молокуши миникушай Вязанка Ф/в 0,45 амилюкс мгс Вязанка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0</v>
      </c>
      <c r="W110" s="165">
        <f>IFERROR(IF(V110="",0,CEILING((V110/$H110),1)*$H110),"")</f>
        <v/>
      </c>
      <c r="X110" s="58">
        <f>IFERROR(IF(W110=0,"",ROUNDUP(W110/H110,0)*0.00937),"")</f>
        <v/>
      </c>
      <c r="Y110" s="59" t="n"/>
      <c r="Z110" s="60" t="n"/>
      <c r="AD110" s="61" t="n"/>
      <c r="BA110" s="62" t="inlineStr">
        <is>
          <t>КИ</t>
        </is>
      </c>
    </row>
    <row r="111" ht="27" customHeight="1">
      <c r="A111" s="49" t="inlineStr">
        <is>
          <t>SU002769</t>
        </is>
      </c>
      <c r="B111" s="49" t="inlineStr">
        <is>
          <t>P003324</t>
        </is>
      </c>
      <c r="C111" s="50" t="n">
        <v>4301051438</v>
      </c>
      <c r="D111" s="107" t="n">
        <v>4680115880894</v>
      </c>
      <c r="E111" s="128" t="n"/>
      <c r="F111" s="162" t="n">
        <v>0.33</v>
      </c>
      <c r="G111" s="52" t="n">
        <v>6</v>
      </c>
      <c r="H111" s="162" t="n">
        <v>1.98</v>
      </c>
      <c r="I111" s="162" t="n">
        <v>2.258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115" t="inlineStr">
        <is>
          <t>Сосиски Молокуши Миникушай Вязанка фикс.вес 0,33 п/а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D111" s="61" t="n"/>
      <c r="BA111" s="62" t="inlineStr">
        <is>
          <t>КИ</t>
        </is>
      </c>
    </row>
    <row r="112" ht="16.5" customHeight="1">
      <c r="A112" s="49" t="inlineStr">
        <is>
          <t>SU001354</t>
        </is>
      </c>
      <c r="B112" s="49" t="inlineStr">
        <is>
          <t>P003030</t>
        </is>
      </c>
      <c r="C112" s="50" t="n">
        <v>4301051313</v>
      </c>
      <c r="D112" s="107" t="n">
        <v>4607091385427</v>
      </c>
      <c r="E112" s="128" t="n"/>
      <c r="F112" s="162" t="n">
        <v>0.5</v>
      </c>
      <c r="G112" s="52" t="n">
        <v>6</v>
      </c>
      <c r="H112" s="162" t="n">
        <v>3</v>
      </c>
      <c r="I112" s="162" t="n">
        <v>3.272</v>
      </c>
      <c r="J112" s="52" t="n">
        <v>156</v>
      </c>
      <c r="K112" s="52" t="inlineStr">
        <is>
          <t>12</t>
        </is>
      </c>
      <c r="L112" s="53" t="inlineStr">
        <is>
          <t>СК2</t>
        </is>
      </c>
      <c r="M112" s="52" t="n">
        <v>40</v>
      </c>
      <c r="N112" s="108">
        <f>HYPERLINK("https://abi.ru/products/Охлажденные/Вязанка/Вязанка/Сосиски/P003030/","Сосиски Рубленые Вязанка Фикс.вес 0,5 п/а мгс Вязанка")</f>
        <v/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0</v>
      </c>
      <c r="W112" s="165">
        <f>IFERROR(IF(V112="",0,CEILING((V112/$H112),1)*$H112),"")</f>
        <v/>
      </c>
      <c r="X112" s="58">
        <f>IFERROR(IF(W112=0,"",ROUNDUP(W112/H112,0)*0.00753),"")</f>
        <v/>
      </c>
      <c r="Y112" s="59" t="n"/>
      <c r="Z112" s="60" t="n"/>
      <c r="AD112" s="61" t="n"/>
      <c r="BA112" s="62" t="inlineStr">
        <is>
          <t>КИ</t>
        </is>
      </c>
    </row>
    <row r="113" ht="16.5" customHeight="1">
      <c r="A113" s="49" t="inlineStr">
        <is>
          <t>SU002996</t>
        </is>
      </c>
      <c r="B113" s="49" t="inlineStr">
        <is>
          <t>P003464</t>
        </is>
      </c>
      <c r="C113" s="50" t="n">
        <v>4301051480</v>
      </c>
      <c r="D113" s="107" t="n">
        <v>4680115882645</v>
      </c>
      <c r="E113" s="128" t="n"/>
      <c r="F113" s="162" t="n">
        <v>0.3</v>
      </c>
      <c r="G113" s="52" t="n">
        <v>6</v>
      </c>
      <c r="H113" s="162" t="n">
        <v>1.8</v>
      </c>
      <c r="I113" s="162" t="n">
        <v>2.66</v>
      </c>
      <c r="J113" s="52" t="n">
        <v>156</v>
      </c>
      <c r="K113" s="52" t="inlineStr">
        <is>
          <t>12</t>
        </is>
      </c>
      <c r="L113" s="53" t="inlineStr">
        <is>
          <t>СК2</t>
        </is>
      </c>
      <c r="M113" s="52" t="n">
        <v>40</v>
      </c>
      <c r="N113" s="115" t="inlineStr">
        <is>
          <t>Сосиски «Сливушки с сыром» ф/в 0,3 п/а ТМ «Вязанка»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D113" s="61" t="n"/>
      <c r="BA113" s="62" t="inlineStr">
        <is>
          <t>КИ</t>
        </is>
      </c>
    </row>
    <row r="114">
      <c r="A114" s="10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66" t="n"/>
      <c r="N114" s="110" t="inlineStr">
        <is>
          <t>Итого</t>
        </is>
      </c>
      <c r="O114" s="134" t="n"/>
      <c r="P114" s="134" t="n"/>
      <c r="Q114" s="134" t="n"/>
      <c r="R114" s="134" t="n"/>
      <c r="S114" s="134" t="n"/>
      <c r="T114" s="135" t="n"/>
      <c r="U114" s="63" t="inlineStr">
        <is>
          <t>кор</t>
        </is>
      </c>
      <c r="V114" s="167">
        <f>IFERROR(V105/H105,"0")+IFERROR(V106/H106,"0")+IFERROR(V107/H107,"0")+IFERROR(V108/H108,"0")+IFERROR(V109/H109,"0")+IFERROR(V110/H110,"0")+IFERROR(V111/H111,"0")+IFERROR(V112/H112,"0")+IFERROR(V113/H113,"0")</f>
        <v/>
      </c>
      <c r="W114" s="167">
        <f>IFERROR(W105/H105,"0")+IFERROR(W106/H106,"0")+IFERROR(W107/H107,"0")+IFERROR(W108/H108,"0")+IFERROR(W109/H109,"0")+IFERROR(W110/H110,"0")+IFERROR(W111/H111,"0")+IFERROR(W112/H112,"0")+IFERROR(W113/H113,"0")</f>
        <v/>
      </c>
      <c r="X114" s="16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168" t="n"/>
      <c r="Z114" s="168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66" t="n"/>
      <c r="N115" s="110" t="inlineStr">
        <is>
          <t>Итого</t>
        </is>
      </c>
      <c r="O115" s="134" t="n"/>
      <c r="P115" s="134" t="n"/>
      <c r="Q115" s="134" t="n"/>
      <c r="R115" s="134" t="n"/>
      <c r="S115" s="134" t="n"/>
      <c r="T115" s="135" t="n"/>
      <c r="U115" s="63" t="inlineStr">
        <is>
          <t>кг</t>
        </is>
      </c>
      <c r="V115" s="167">
        <f>IFERROR(SUM(V105:V113),"0")</f>
        <v/>
      </c>
      <c r="W115" s="167">
        <f>IFERROR(SUM(W105:W113),"0")</f>
        <v/>
      </c>
      <c r="X115" s="63" t="n"/>
      <c r="Y115" s="168" t="n"/>
      <c r="Z115" s="168" t="n"/>
    </row>
    <row r="116" ht="14.25" customHeight="1">
      <c r="A116" s="106" t="inlineStr">
        <is>
          <t>Сардельки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06" t="n"/>
      <c r="Z116" s="106" t="n"/>
    </row>
    <row r="117" ht="27" customHeight="1">
      <c r="A117" s="49" t="inlineStr">
        <is>
          <t>SU002071</t>
        </is>
      </c>
      <c r="B117" s="49" t="inlineStr">
        <is>
          <t>P002233</t>
        </is>
      </c>
      <c r="C117" s="50" t="n">
        <v>4301060296</v>
      </c>
      <c r="D117" s="107" t="n">
        <v>4607091383065</v>
      </c>
      <c r="E117" s="128" t="n"/>
      <c r="F117" s="162" t="n">
        <v>0.83</v>
      </c>
      <c r="G117" s="52" t="n">
        <v>4</v>
      </c>
      <c r="H117" s="162" t="n">
        <v>3.32</v>
      </c>
      <c r="I117" s="162" t="n">
        <v>3.582</v>
      </c>
      <c r="J117" s="52" t="n">
        <v>120</v>
      </c>
      <c r="K117" s="52" t="inlineStr">
        <is>
          <t>12</t>
        </is>
      </c>
      <c r="L117" s="53" t="inlineStr">
        <is>
          <t>СК2</t>
        </is>
      </c>
      <c r="M117" s="52" t="n">
        <v>30</v>
      </c>
      <c r="N117" s="10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163" t="n"/>
      <c r="P117" s="163" t="n"/>
      <c r="Q117" s="163" t="n"/>
      <c r="R117" s="128" t="n"/>
      <c r="S117" s="54" t="n"/>
      <c r="T117" s="54" t="n"/>
      <c r="U117" s="55" t="inlineStr">
        <is>
          <t>кг</t>
        </is>
      </c>
      <c r="V117" s="164" t="n">
        <v>0</v>
      </c>
      <c r="W117" s="165">
        <f>IFERROR(IF(V117="",0,CEILING((V117/$H117),1)*$H117),"")</f>
        <v/>
      </c>
      <c r="X117" s="58">
        <f>IFERROR(IF(W117=0,"",ROUNDUP(W117/H117,0)*0.00937),"")</f>
        <v/>
      </c>
      <c r="Y117" s="59" t="n"/>
      <c r="Z117" s="60" t="n"/>
      <c r="AD117" s="61" t="n"/>
      <c r="BA117" s="62" t="inlineStr">
        <is>
          <t>КИ</t>
        </is>
      </c>
    </row>
    <row r="118" ht="27" customHeight="1">
      <c r="A118" s="49" t="inlineStr">
        <is>
          <t>SU002835</t>
        </is>
      </c>
      <c r="B118" s="49" t="inlineStr">
        <is>
          <t>P003237</t>
        </is>
      </c>
      <c r="C118" s="50" t="n">
        <v>4301060350</v>
      </c>
      <c r="D118" s="107" t="n">
        <v>4680115881532</v>
      </c>
      <c r="E118" s="128" t="n"/>
      <c r="F118" s="162" t="n">
        <v>1.35</v>
      </c>
      <c r="G118" s="52" t="n">
        <v>6</v>
      </c>
      <c r="H118" s="162" t="n">
        <v>8.1</v>
      </c>
      <c r="I118" s="162" t="n">
        <v>8.58</v>
      </c>
      <c r="J118" s="52" t="n">
        <v>56</v>
      </c>
      <c r="K118" s="52" t="inlineStr">
        <is>
          <t>8</t>
        </is>
      </c>
      <c r="L118" s="53" t="inlineStr">
        <is>
          <t>СК3</t>
        </is>
      </c>
      <c r="M118" s="52" t="n">
        <v>30</v>
      </c>
      <c r="N118" s="108">
        <f>HYPERLINK("https://abi.ru/products/Охлажденные/Вязанка/Вязанка/Сардельки/P003237/","Сардельки «Филейские» Весовые NDX мгс ТМ «Вязанка»")</f>
        <v/>
      </c>
      <c r="O118" s="163" t="n"/>
      <c r="P118" s="163" t="n"/>
      <c r="Q118" s="163" t="n"/>
      <c r="R118" s="128" t="n"/>
      <c r="S118" s="54" t="n"/>
      <c r="T118" s="54" t="n"/>
      <c r="U118" s="55" t="inlineStr">
        <is>
          <t>кг</t>
        </is>
      </c>
      <c r="V118" s="164" t="n">
        <v>0</v>
      </c>
      <c r="W118" s="165">
        <f>IFERROR(IF(V118="",0,CEILING((V118/$H118),1)*$H118),"")</f>
        <v/>
      </c>
      <c r="X118" s="58">
        <f>IFERROR(IF(W118=0,"",ROUNDUP(W118/H118,0)*0.02175),"")</f>
        <v/>
      </c>
      <c r="Y118" s="59" t="n"/>
      <c r="Z118" s="60" t="n"/>
      <c r="AD118" s="61" t="n"/>
      <c r="BA118" s="62" t="inlineStr">
        <is>
          <t>КИ</t>
        </is>
      </c>
    </row>
    <row r="119" ht="27" customHeight="1">
      <c r="A119" s="49" t="inlineStr">
        <is>
          <t>SU002997</t>
        </is>
      </c>
      <c r="B119" s="49" t="inlineStr">
        <is>
          <t>P003465</t>
        </is>
      </c>
      <c r="C119" s="50" t="n">
        <v>4301060356</v>
      </c>
      <c r="D119" s="107" t="n">
        <v>4680115882652</v>
      </c>
      <c r="E119" s="128" t="n"/>
      <c r="F119" s="162" t="n">
        <v>0.33</v>
      </c>
      <c r="G119" s="52" t="n">
        <v>6</v>
      </c>
      <c r="H119" s="162" t="n">
        <v>1.98</v>
      </c>
      <c r="I119" s="162" t="n">
        <v>2.84</v>
      </c>
      <c r="J119" s="52" t="n">
        <v>156</v>
      </c>
      <c r="K119" s="52" t="inlineStr">
        <is>
          <t>12</t>
        </is>
      </c>
      <c r="L119" s="53" t="inlineStr">
        <is>
          <t>СК2</t>
        </is>
      </c>
      <c r="M119" s="52" t="n">
        <v>40</v>
      </c>
      <c r="N119" s="115" t="inlineStr">
        <is>
          <t>Сардельки «Сливушки с сыром #минидельки» ф/в 0,33 айпил ТМ «Вязанка»</t>
        </is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IFERROR(IF(W119=0,"",ROUNDUP(W119/H119,0)*0.00753),"")</f>
        <v/>
      </c>
      <c r="Y119" s="59" t="n"/>
      <c r="Z119" s="60" t="n"/>
      <c r="AD119" s="61" t="n"/>
      <c r="BA119" s="62" t="inlineStr">
        <is>
          <t>КИ</t>
        </is>
      </c>
    </row>
    <row r="120" ht="16.5" customHeight="1">
      <c r="A120" s="49" t="inlineStr">
        <is>
          <t>SU002367</t>
        </is>
      </c>
      <c r="B120" s="49" t="inlineStr">
        <is>
          <t>P002644</t>
        </is>
      </c>
      <c r="C120" s="50" t="n">
        <v>4301060309</v>
      </c>
      <c r="D120" s="107" t="n">
        <v>4680115880238</v>
      </c>
      <c r="E120" s="128" t="n"/>
      <c r="F120" s="162" t="n">
        <v>0.33</v>
      </c>
      <c r="G120" s="52" t="n">
        <v>6</v>
      </c>
      <c r="H120" s="162" t="n">
        <v>1.98</v>
      </c>
      <c r="I120" s="162" t="n">
        <v>2.258</v>
      </c>
      <c r="J120" s="52" t="n">
        <v>156</v>
      </c>
      <c r="K120" s="52" t="inlineStr">
        <is>
          <t>12</t>
        </is>
      </c>
      <c r="L120" s="53" t="inlineStr">
        <is>
          <t>СК2</t>
        </is>
      </c>
      <c r="M120" s="52" t="n">
        <v>40</v>
      </c>
      <c r="N120" s="10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0</v>
      </c>
      <c r="W120" s="165">
        <f>IFERROR(IF(V120="",0,CEILING((V120/$H120),1)*$H120),"")</f>
        <v/>
      </c>
      <c r="X120" s="58">
        <f>IFERROR(IF(W120=0,"",ROUNDUP(W120/H120,0)*0.00753),"")</f>
        <v/>
      </c>
      <c r="Y120" s="59" t="n"/>
      <c r="Z120" s="60" t="n"/>
      <c r="AD120" s="61" t="n"/>
      <c r="BA120" s="62" t="inlineStr">
        <is>
          <t>КИ</t>
        </is>
      </c>
    </row>
    <row r="121" ht="27" customHeight="1">
      <c r="A121" s="49" t="inlineStr">
        <is>
          <t>SU002834</t>
        </is>
      </c>
      <c r="B121" s="49" t="inlineStr">
        <is>
          <t>P003238</t>
        </is>
      </c>
      <c r="C121" s="50" t="n">
        <v>4301060351</v>
      </c>
      <c r="D121" s="107" t="n">
        <v>4680115881464</v>
      </c>
      <c r="E121" s="128" t="n"/>
      <c r="F121" s="162" t="n">
        <v>0.4</v>
      </c>
      <c r="G121" s="52" t="n">
        <v>6</v>
      </c>
      <c r="H121" s="162" t="n">
        <v>2.4</v>
      </c>
      <c r="I121" s="162" t="n">
        <v>2.6</v>
      </c>
      <c r="J121" s="52" t="n">
        <v>156</v>
      </c>
      <c r="K121" s="52" t="inlineStr">
        <is>
          <t>12</t>
        </is>
      </c>
      <c r="L121" s="53" t="inlineStr">
        <is>
          <t>СК3</t>
        </is>
      </c>
      <c r="M121" s="52" t="n">
        <v>30</v>
      </c>
      <c r="N121" s="115" t="inlineStr">
        <is>
          <t>Сардельки «Филейские» Фикс.вес 0,4 NDX мгс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D121" s="61" t="n"/>
      <c r="BA121" s="62" t="inlineStr">
        <is>
          <t>КИ</t>
        </is>
      </c>
    </row>
    <row r="122">
      <c r="A122" s="10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66" t="n"/>
      <c r="N122" s="110" t="inlineStr">
        <is>
          <t>Итого</t>
        </is>
      </c>
      <c r="O122" s="134" t="n"/>
      <c r="P122" s="134" t="n"/>
      <c r="Q122" s="134" t="n"/>
      <c r="R122" s="134" t="n"/>
      <c r="S122" s="134" t="n"/>
      <c r="T122" s="135" t="n"/>
      <c r="U122" s="63" t="inlineStr">
        <is>
          <t>кор</t>
        </is>
      </c>
      <c r="V122" s="167">
        <f>IFERROR(V117/H117,"0")+IFERROR(V118/H118,"0")+IFERROR(V119/H119,"0")+IFERROR(V120/H120,"0")+IFERROR(V121/H121,"0")</f>
        <v/>
      </c>
      <c r="W122" s="167">
        <f>IFERROR(W117/H117,"0")+IFERROR(W118/H118,"0")+IFERROR(W119/H119,"0")+IFERROR(W120/H120,"0")+IFERROR(W121/H121,"0")</f>
        <v/>
      </c>
      <c r="X122" s="167">
        <f>IFERROR(IF(X117="",0,X117),"0")+IFERROR(IF(X118="",0,X118),"0")+IFERROR(IF(X119="",0,X119),"0")+IFERROR(IF(X120="",0,X120),"0")+IFERROR(IF(X121="",0,X121),"0")</f>
        <v/>
      </c>
      <c r="Y122" s="168" t="n"/>
      <c r="Z122" s="168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66" t="n"/>
      <c r="N123" s="110" t="inlineStr">
        <is>
          <t>Итого</t>
        </is>
      </c>
      <c r="O123" s="134" t="n"/>
      <c r="P123" s="134" t="n"/>
      <c r="Q123" s="134" t="n"/>
      <c r="R123" s="134" t="n"/>
      <c r="S123" s="134" t="n"/>
      <c r="T123" s="135" t="n"/>
      <c r="U123" s="63" t="inlineStr">
        <is>
          <t>кг</t>
        </is>
      </c>
      <c r="V123" s="167">
        <f>IFERROR(SUM(V117:V121),"0")</f>
        <v/>
      </c>
      <c r="W123" s="167">
        <f>IFERROR(SUM(W117:W121),"0")</f>
        <v/>
      </c>
      <c r="X123" s="63" t="n"/>
      <c r="Y123" s="168" t="n"/>
      <c r="Z123" s="168" t="n"/>
    </row>
    <row r="124" ht="16.5" customHeight="1">
      <c r="A124" s="105" t="inlineStr">
        <is>
          <t>Сливушки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05" t="n"/>
      <c r="Z124" s="105" t="n"/>
    </row>
    <row r="125" ht="14.25" customHeight="1">
      <c r="A125" s="106" t="inlineStr">
        <is>
          <t>Сосиски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06" t="n"/>
      <c r="Z125" s="106" t="n"/>
    </row>
    <row r="126" ht="27" customHeight="1">
      <c r="A126" s="49" t="inlineStr">
        <is>
          <t>SU001721</t>
        </is>
      </c>
      <c r="B126" s="49" t="inlineStr">
        <is>
          <t>P003161</t>
        </is>
      </c>
      <c r="C126" s="50" t="n">
        <v>4301051360</v>
      </c>
      <c r="D126" s="107" t="n">
        <v>4607091385168</v>
      </c>
      <c r="E126" s="128" t="n"/>
      <c r="F126" s="162" t="n">
        <v>1.35</v>
      </c>
      <c r="G126" s="52" t="n">
        <v>6</v>
      </c>
      <c r="H126" s="162" t="n">
        <v>8.1</v>
      </c>
      <c r="I126" s="162" t="n">
        <v>8.657999999999999</v>
      </c>
      <c r="J126" s="52" t="n">
        <v>56</v>
      </c>
      <c r="K126" s="52" t="inlineStr">
        <is>
          <t>8</t>
        </is>
      </c>
      <c r="L126" s="53" t="inlineStr">
        <is>
          <t>СК3</t>
        </is>
      </c>
      <c r="M126" s="52" t="n">
        <v>45</v>
      </c>
      <c r="N126" s="10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163" t="n"/>
      <c r="P126" s="163" t="n"/>
      <c r="Q126" s="163" t="n"/>
      <c r="R126" s="128" t="n"/>
      <c r="S126" s="54" t="n"/>
      <c r="T126" s="54" t="n"/>
      <c r="U126" s="55" t="inlineStr">
        <is>
          <t>кг</t>
        </is>
      </c>
      <c r="V126" s="164" t="n">
        <v>220</v>
      </c>
      <c r="W126" s="165">
        <f>IFERROR(IF(V126="",0,CEILING((V126/$H126),1)*$H126),"")</f>
        <v/>
      </c>
      <c r="X126" s="58">
        <f>IFERROR(IF(W126=0,"",ROUNDUP(W126/H126,0)*0.02175),"")</f>
        <v/>
      </c>
      <c r="Y126" s="59" t="n"/>
      <c r="Z126" s="60" t="n"/>
      <c r="AD126" s="61" t="n"/>
      <c r="BA126" s="62" t="inlineStr">
        <is>
          <t>КИ</t>
        </is>
      </c>
    </row>
    <row r="127" ht="16.5" customHeight="1">
      <c r="A127" s="49" t="inlineStr">
        <is>
          <t>SU002139</t>
        </is>
      </c>
      <c r="B127" s="49" t="inlineStr">
        <is>
          <t>P003162</t>
        </is>
      </c>
      <c r="C127" s="50" t="n">
        <v>4301051362</v>
      </c>
      <c r="D127" s="107" t="n">
        <v>4607091383256</v>
      </c>
      <c r="E127" s="128" t="n"/>
      <c r="F127" s="162" t="n">
        <v>0.33</v>
      </c>
      <c r="G127" s="52" t="n">
        <v>6</v>
      </c>
      <c r="H127" s="162" t="n">
        <v>1.98</v>
      </c>
      <c r="I127" s="162" t="n">
        <v>2.246</v>
      </c>
      <c r="J127" s="52" t="n">
        <v>156</v>
      </c>
      <c r="K127" s="52" t="inlineStr">
        <is>
          <t>12</t>
        </is>
      </c>
      <c r="L127" s="53" t="inlineStr">
        <is>
          <t>СК3</t>
        </is>
      </c>
      <c r="M127" s="52" t="n">
        <v>45</v>
      </c>
      <c r="N127" s="108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163" t="n"/>
      <c r="P127" s="163" t="n"/>
      <c r="Q127" s="163" t="n"/>
      <c r="R127" s="128" t="n"/>
      <c r="S127" s="54" t="n"/>
      <c r="T127" s="54" t="n"/>
      <c r="U127" s="55" t="inlineStr">
        <is>
          <t>кг</t>
        </is>
      </c>
      <c r="V127" s="164" t="n">
        <v>0</v>
      </c>
      <c r="W127" s="165">
        <f>IFERROR(IF(V127="",0,CEILING((V127/$H127),1)*$H127),"")</f>
        <v/>
      </c>
      <c r="X127" s="58">
        <f>IFERROR(IF(W127=0,"",ROUNDUP(W127/H127,0)*0.00753),"")</f>
        <v/>
      </c>
      <c r="Y127" s="59" t="n"/>
      <c r="Z127" s="60" t="n"/>
      <c r="AD127" s="61" t="n"/>
      <c r="BA127" s="62" t="inlineStr">
        <is>
          <t>КИ</t>
        </is>
      </c>
    </row>
    <row r="128" ht="16.5" customHeight="1">
      <c r="A128" s="49" t="inlineStr">
        <is>
          <t>SU001720</t>
        </is>
      </c>
      <c r="B128" s="49" t="inlineStr">
        <is>
          <t>P003160</t>
        </is>
      </c>
      <c r="C128" s="50" t="n">
        <v>4301051358</v>
      </c>
      <c r="D128" s="107" t="n">
        <v>4607091385748</v>
      </c>
      <c r="E128" s="128" t="n"/>
      <c r="F128" s="162" t="n">
        <v>0.45</v>
      </c>
      <c r="G128" s="52" t="n">
        <v>6</v>
      </c>
      <c r="H128" s="162" t="n">
        <v>2.7</v>
      </c>
      <c r="I128" s="162" t="n">
        <v>2.972</v>
      </c>
      <c r="J128" s="52" t="n">
        <v>156</v>
      </c>
      <c r="K128" s="52" t="inlineStr">
        <is>
          <t>12</t>
        </is>
      </c>
      <c r="L128" s="53" t="inlineStr">
        <is>
          <t>СК3</t>
        </is>
      </c>
      <c r="M128" s="52" t="n">
        <v>45</v>
      </c>
      <c r="N128" s="10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IFERROR(IF(W128=0,"",ROUNDUP(W128/H128,0)*0.00753),"")</f>
        <v/>
      </c>
      <c r="Y128" s="59" t="n"/>
      <c r="Z128" s="60" t="n"/>
      <c r="AD128" s="61" t="n"/>
      <c r="BA128" s="62" t="inlineStr">
        <is>
          <t>КИ</t>
        </is>
      </c>
    </row>
    <row r="129">
      <c r="A129" s="10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66" t="n"/>
      <c r="N129" s="110" t="inlineStr">
        <is>
          <t>Итого</t>
        </is>
      </c>
      <c r="O129" s="134" t="n"/>
      <c r="P129" s="134" t="n"/>
      <c r="Q129" s="134" t="n"/>
      <c r="R129" s="134" t="n"/>
      <c r="S129" s="134" t="n"/>
      <c r="T129" s="135" t="n"/>
      <c r="U129" s="63" t="inlineStr">
        <is>
          <t>кор</t>
        </is>
      </c>
      <c r="V129" s="167">
        <f>IFERROR(V126/H126,"0")+IFERROR(V127/H127,"0")+IFERROR(V128/H128,"0")</f>
        <v/>
      </c>
      <c r="W129" s="167">
        <f>IFERROR(W126/H126,"0")+IFERROR(W127/H127,"0")+IFERROR(W128/H128,"0")</f>
        <v/>
      </c>
      <c r="X129" s="167">
        <f>IFERROR(IF(X126="",0,X126),"0")+IFERROR(IF(X127="",0,X127),"0")+IFERROR(IF(X128="",0,X128),"0")</f>
        <v/>
      </c>
      <c r="Y129" s="168" t="n"/>
      <c r="Z129" s="168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66" t="n"/>
      <c r="N130" s="110" t="inlineStr">
        <is>
          <t>Итого</t>
        </is>
      </c>
      <c r="O130" s="134" t="n"/>
      <c r="P130" s="134" t="n"/>
      <c r="Q130" s="134" t="n"/>
      <c r="R130" s="134" t="n"/>
      <c r="S130" s="134" t="n"/>
      <c r="T130" s="135" t="n"/>
      <c r="U130" s="63" t="inlineStr">
        <is>
          <t>кг</t>
        </is>
      </c>
      <c r="V130" s="167">
        <f>IFERROR(SUM(V126:V128),"0")</f>
        <v/>
      </c>
      <c r="W130" s="167">
        <f>IFERROR(SUM(W126:W128),"0")</f>
        <v/>
      </c>
      <c r="X130" s="63" t="n"/>
      <c r="Y130" s="168" t="n"/>
      <c r="Z130" s="168" t="n"/>
    </row>
    <row r="131" ht="27.75" customHeight="1">
      <c r="A131" s="104" t="inlineStr">
        <is>
          <t>Стародворье</t>
        </is>
      </c>
      <c r="B131" s="161" t="n"/>
      <c r="C131" s="161" t="n"/>
      <c r="D131" s="161" t="n"/>
      <c r="E131" s="161" t="n"/>
      <c r="F131" s="161" t="n"/>
      <c r="G131" s="161" t="n"/>
      <c r="H131" s="161" t="n"/>
      <c r="I131" s="161" t="n"/>
      <c r="J131" s="161" t="n"/>
      <c r="K131" s="161" t="n"/>
      <c r="L131" s="161" t="n"/>
      <c r="M131" s="161" t="n"/>
      <c r="N131" s="161" t="n"/>
      <c r="O131" s="161" t="n"/>
      <c r="P131" s="161" t="n"/>
      <c r="Q131" s="161" t="n"/>
      <c r="R131" s="161" t="n"/>
      <c r="S131" s="161" t="n"/>
      <c r="T131" s="161" t="n"/>
      <c r="U131" s="161" t="n"/>
      <c r="V131" s="161" t="n"/>
      <c r="W131" s="161" t="n"/>
      <c r="X131" s="161" t="n"/>
      <c r="Y131" s="46" t="n"/>
      <c r="Z131" s="46" t="n"/>
    </row>
    <row r="132" ht="16.5" customHeight="1">
      <c r="A132" s="10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05" t="n"/>
      <c r="Z132" s="105" t="n"/>
    </row>
    <row r="133" ht="14.25" customHeight="1">
      <c r="A133" s="10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06" t="n"/>
      <c r="Z133" s="106" t="n"/>
    </row>
    <row r="134" ht="27" customHeight="1">
      <c r="A134" s="49" t="inlineStr">
        <is>
          <t>SU002201</t>
        </is>
      </c>
      <c r="B134" s="49" t="inlineStr">
        <is>
          <t>P002567</t>
        </is>
      </c>
      <c r="C134" s="50" t="n">
        <v>4301011223</v>
      </c>
      <c r="D134" s="107" t="n">
        <v>4607091383423</v>
      </c>
      <c r="E134" s="128" t="n"/>
      <c r="F134" s="162" t="n">
        <v>1.35</v>
      </c>
      <c r="G134" s="52" t="n">
        <v>8</v>
      </c>
      <c r="H134" s="162" t="n">
        <v>10.8</v>
      </c>
      <c r="I134" s="162" t="n">
        <v>11.376</v>
      </c>
      <c r="J134" s="52" t="n">
        <v>56</v>
      </c>
      <c r="K134" s="52" t="inlineStr">
        <is>
          <t>8</t>
        </is>
      </c>
      <c r="L134" s="53" t="inlineStr">
        <is>
          <t>СК3</t>
        </is>
      </c>
      <c r="M134" s="52" t="n">
        <v>35</v>
      </c>
      <c r="N134" s="10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163" t="n"/>
      <c r="P134" s="163" t="n"/>
      <c r="Q134" s="163" t="n"/>
      <c r="R134" s="128" t="n"/>
      <c r="S134" s="54" t="n"/>
      <c r="T134" s="54" t="n"/>
      <c r="U134" s="55" t="inlineStr">
        <is>
          <t>кг</t>
        </is>
      </c>
      <c r="V134" s="164" t="n">
        <v>0</v>
      </c>
      <c r="W134" s="165">
        <f>IFERROR(IF(V134="",0,CEILING((V134/$H134),1)*$H134),"")</f>
        <v/>
      </c>
      <c r="X134" s="58">
        <f>IFERROR(IF(W134=0,"",ROUNDUP(W134/H134,0)*0.02175),"")</f>
        <v/>
      </c>
      <c r="Y134" s="59" t="n"/>
      <c r="Z134" s="60" t="n"/>
      <c r="AD134" s="61" t="n"/>
      <c r="BA134" s="62" t="inlineStr">
        <is>
          <t>КИ</t>
        </is>
      </c>
    </row>
    <row r="135" ht="27" customHeight="1">
      <c r="A135" s="49" t="inlineStr">
        <is>
          <t>SU002203</t>
        </is>
      </c>
      <c r="B135" s="49" t="inlineStr">
        <is>
          <t>P002568</t>
        </is>
      </c>
      <c r="C135" s="50" t="n">
        <v>4301011338</v>
      </c>
      <c r="D135" s="107" t="n">
        <v>4607091381405</v>
      </c>
      <c r="E135" s="128" t="n"/>
      <c r="F135" s="162" t="n">
        <v>1.35</v>
      </c>
      <c r="G135" s="52" t="n">
        <v>8</v>
      </c>
      <c r="H135" s="162" t="n">
        <v>10.8</v>
      </c>
      <c r="I135" s="162" t="n">
        <v>11.376</v>
      </c>
      <c r="J135" s="52" t="n">
        <v>56</v>
      </c>
      <c r="K135" s="52" t="inlineStr">
        <is>
          <t>8</t>
        </is>
      </c>
      <c r="L135" s="53" t="inlineStr">
        <is>
          <t>СК2</t>
        </is>
      </c>
      <c r="M135" s="52" t="n">
        <v>35</v>
      </c>
      <c r="N135" s="10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163" t="n"/>
      <c r="P135" s="163" t="n"/>
      <c r="Q135" s="163" t="n"/>
      <c r="R135" s="128" t="n"/>
      <c r="S135" s="54" t="n"/>
      <c r="T135" s="54" t="n"/>
      <c r="U135" s="55" t="inlineStr">
        <is>
          <t>кг</t>
        </is>
      </c>
      <c r="V135" s="164" t="n">
        <v>0</v>
      </c>
      <c r="W135" s="165">
        <f>IFERROR(IF(V135="",0,CEILING((V135/$H135),1)*$H135),"")</f>
        <v/>
      </c>
      <c r="X135" s="58">
        <f>IFERROR(IF(W135=0,"",ROUNDUP(W135/H135,0)*0.02175),"")</f>
        <v/>
      </c>
      <c r="Y135" s="59" t="n"/>
      <c r="Z135" s="60" t="n"/>
      <c r="AD135" s="61" t="n"/>
      <c r="BA135" s="62" t="inlineStr">
        <is>
          <t>КИ</t>
        </is>
      </c>
    </row>
    <row r="136" ht="27" customHeight="1">
      <c r="A136" s="49" t="inlineStr">
        <is>
          <t>SU002216</t>
        </is>
      </c>
      <c r="B136" s="49" t="inlineStr">
        <is>
          <t>P002400</t>
        </is>
      </c>
      <c r="C136" s="50" t="n">
        <v>4301011333</v>
      </c>
      <c r="D136" s="107" t="n">
        <v>4607091386516</v>
      </c>
      <c r="E136" s="128" t="n"/>
      <c r="F136" s="162" t="n">
        <v>1.4</v>
      </c>
      <c r="G136" s="52" t="n">
        <v>8</v>
      </c>
      <c r="H136" s="162" t="n">
        <v>11.2</v>
      </c>
      <c r="I136" s="162" t="n">
        <v>11.776</v>
      </c>
      <c r="J136" s="52" t="n">
        <v>56</v>
      </c>
      <c r="K136" s="52" t="inlineStr">
        <is>
          <t>8</t>
        </is>
      </c>
      <c r="L136" s="53" t="inlineStr">
        <is>
          <t>СК2</t>
        </is>
      </c>
      <c r="M136" s="52" t="n">
        <v>30</v>
      </c>
      <c r="N136" s="10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D136" s="61" t="n"/>
      <c r="BA136" s="62" t="inlineStr">
        <is>
          <t>КИ</t>
        </is>
      </c>
    </row>
    <row r="137">
      <c r="A137" s="109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66" t="n"/>
      <c r="N137" s="110" t="inlineStr">
        <is>
          <t>Итого</t>
        </is>
      </c>
      <c r="O137" s="134" t="n"/>
      <c r="P137" s="134" t="n"/>
      <c r="Q137" s="134" t="n"/>
      <c r="R137" s="134" t="n"/>
      <c r="S137" s="134" t="n"/>
      <c r="T137" s="135" t="n"/>
      <c r="U137" s="63" t="inlineStr">
        <is>
          <t>кор</t>
        </is>
      </c>
      <c r="V137" s="167">
        <f>IFERROR(V134/H134,"0")+IFERROR(V135/H135,"0")+IFERROR(V136/H136,"0")</f>
        <v/>
      </c>
      <c r="W137" s="167">
        <f>IFERROR(W134/H134,"0")+IFERROR(W135/H135,"0")+IFERROR(W136/H136,"0")</f>
        <v/>
      </c>
      <c r="X137" s="167">
        <f>IFERROR(IF(X134="",0,X134),"0")+IFERROR(IF(X135="",0,X135),"0")+IFERROR(IF(X136="",0,X136),"0")</f>
        <v/>
      </c>
      <c r="Y137" s="168" t="n"/>
      <c r="Z137" s="168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66" t="n"/>
      <c r="N138" s="110" t="inlineStr">
        <is>
          <t>Итого</t>
        </is>
      </c>
      <c r="O138" s="134" t="n"/>
      <c r="P138" s="134" t="n"/>
      <c r="Q138" s="134" t="n"/>
      <c r="R138" s="134" t="n"/>
      <c r="S138" s="134" t="n"/>
      <c r="T138" s="135" t="n"/>
      <c r="U138" s="63" t="inlineStr">
        <is>
          <t>кг</t>
        </is>
      </c>
      <c r="V138" s="167">
        <f>IFERROR(SUM(V134:V136),"0")</f>
        <v/>
      </c>
      <c r="W138" s="167">
        <f>IFERROR(SUM(W134:W136),"0")</f>
        <v/>
      </c>
      <c r="X138" s="63" t="n"/>
      <c r="Y138" s="168" t="n"/>
      <c r="Z138" s="168" t="n"/>
    </row>
    <row r="139" ht="16.5" customHeight="1">
      <c r="A139" s="10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05" t="n"/>
      <c r="Z139" s="105" t="n"/>
    </row>
    <row r="140" ht="14.25" customHeight="1">
      <c r="A140" s="10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06" t="n"/>
      <c r="Z140" s="106" t="n"/>
    </row>
    <row r="141" ht="27" customHeight="1">
      <c r="A141" s="49" t="inlineStr">
        <is>
          <t>SU002756</t>
        </is>
      </c>
      <c r="B141" s="49" t="inlineStr">
        <is>
          <t>P003179</t>
        </is>
      </c>
      <c r="C141" s="50" t="n">
        <v>4301031191</v>
      </c>
      <c r="D141" s="107" t="n">
        <v>4680115880993</v>
      </c>
      <c r="E141" s="128" t="n"/>
      <c r="F141" s="162" t="n">
        <v>0.7</v>
      </c>
      <c r="G141" s="52" t="n">
        <v>6</v>
      </c>
      <c r="H141" s="162" t="n">
        <v>4.2</v>
      </c>
      <c r="I141" s="162" t="n">
        <v>4.46</v>
      </c>
      <c r="J141" s="52" t="n">
        <v>156</v>
      </c>
      <c r="K141" s="52" t="inlineStr">
        <is>
          <t>12</t>
        </is>
      </c>
      <c r="L141" s="53" t="inlineStr">
        <is>
          <t>СК2</t>
        </is>
      </c>
      <c r="M141" s="52" t="n">
        <v>40</v>
      </c>
      <c r="N141" s="1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163" t="n"/>
      <c r="P141" s="163" t="n"/>
      <c r="Q141" s="163" t="n"/>
      <c r="R141" s="128" t="n"/>
      <c r="S141" s="54" t="n"/>
      <c r="T141" s="54" t="n"/>
      <c r="U141" s="55" t="inlineStr">
        <is>
          <t>кг</t>
        </is>
      </c>
      <c r="V141" s="164" t="n">
        <v>90</v>
      </c>
      <c r="W141" s="165">
        <f>IFERROR(IF(V141="",0,CEILING((V141/$H141),1)*$H141),"")</f>
        <v/>
      </c>
      <c r="X141" s="58">
        <f>IFERROR(IF(W141=0,"",ROUNDUP(W141/H141,0)*0.00753),"")</f>
        <v/>
      </c>
      <c r="Y141" s="59" t="n"/>
      <c r="Z141" s="60" t="n"/>
      <c r="AD141" s="61" t="n"/>
      <c r="BA141" s="62" t="inlineStr">
        <is>
          <t>КИ</t>
        </is>
      </c>
    </row>
    <row r="142" ht="27" customHeight="1">
      <c r="A142" s="49" t="inlineStr">
        <is>
          <t>SU002876</t>
        </is>
      </c>
      <c r="B142" s="49" t="inlineStr">
        <is>
          <t>P003276</t>
        </is>
      </c>
      <c r="C142" s="50" t="n">
        <v>4301031204</v>
      </c>
      <c r="D142" s="107" t="n">
        <v>4680115881761</v>
      </c>
      <c r="E142" s="128" t="n"/>
      <c r="F142" s="162" t="n">
        <v>0.7</v>
      </c>
      <c r="G142" s="52" t="n">
        <v>6</v>
      </c>
      <c r="H142" s="162" t="n">
        <v>4.2</v>
      </c>
      <c r="I142" s="162" t="n">
        <v>4.46</v>
      </c>
      <c r="J142" s="52" t="n">
        <v>156</v>
      </c>
      <c r="K142" s="52" t="inlineStr">
        <is>
          <t>12</t>
        </is>
      </c>
      <c r="L142" s="53" t="inlineStr">
        <is>
          <t>СК2</t>
        </is>
      </c>
      <c r="M142" s="52" t="n">
        <v>40</v>
      </c>
      <c r="N142" s="10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163" t="n"/>
      <c r="P142" s="163" t="n"/>
      <c r="Q142" s="163" t="n"/>
      <c r="R142" s="128" t="n"/>
      <c r="S142" s="54" t="n"/>
      <c r="T142" s="54" t="n"/>
      <c r="U142" s="55" t="inlineStr">
        <is>
          <t>кг</t>
        </is>
      </c>
      <c r="V142" s="164" t="n">
        <v>0</v>
      </c>
      <c r="W142" s="165">
        <f>IFERROR(IF(V142="",0,CEILING((V142/$H142),1)*$H142),"")</f>
        <v/>
      </c>
      <c r="X142" s="58">
        <f>IFERROR(IF(W142=0,"",ROUNDUP(W142/H142,0)*0.00753),"")</f>
        <v/>
      </c>
      <c r="Y142" s="59" t="n"/>
      <c r="Z142" s="60" t="n"/>
      <c r="AD142" s="61" t="n"/>
      <c r="BA142" s="62" t="inlineStr">
        <is>
          <t>КИ</t>
        </is>
      </c>
    </row>
    <row r="143" ht="27" customHeight="1">
      <c r="A143" s="49" t="inlineStr">
        <is>
          <t>SU002847</t>
        </is>
      </c>
      <c r="B143" s="49" t="inlineStr">
        <is>
          <t>P003259</t>
        </is>
      </c>
      <c r="C143" s="50" t="n">
        <v>4301031201</v>
      </c>
      <c r="D143" s="107" t="n">
        <v>4680115881563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10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90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D143" s="61" t="n"/>
      <c r="BA143" s="62" t="inlineStr">
        <is>
          <t>КИ</t>
        </is>
      </c>
    </row>
    <row r="144" ht="27" customHeight="1">
      <c r="A144" s="49" t="inlineStr">
        <is>
          <t>SU002660</t>
        </is>
      </c>
      <c r="B144" s="49" t="inlineStr">
        <is>
          <t>P003256</t>
        </is>
      </c>
      <c r="C144" s="50" t="n">
        <v>4301031199</v>
      </c>
      <c r="D144" s="107" t="n">
        <v>4680115880986</v>
      </c>
      <c r="E144" s="128" t="n"/>
      <c r="F144" s="162" t="n">
        <v>0.35</v>
      </c>
      <c r="G144" s="52" t="n">
        <v>6</v>
      </c>
      <c r="H144" s="162" t="n">
        <v>2.1</v>
      </c>
      <c r="I144" s="162" t="n">
        <v>2.23</v>
      </c>
      <c r="J144" s="52" t="n">
        <v>234</v>
      </c>
      <c r="K144" s="52" t="inlineStr">
        <is>
          <t>18</t>
        </is>
      </c>
      <c r="L144" s="53" t="inlineStr">
        <is>
          <t>СК2</t>
        </is>
      </c>
      <c r="M144" s="52" t="n">
        <v>40</v>
      </c>
      <c r="N144" s="1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IFERROR(IF(W144=0,"",ROUNDUP(W144/H144,0)*0.00502),"")</f>
        <v/>
      </c>
      <c r="Y144" s="59" t="n"/>
      <c r="Z144" s="60" t="n"/>
      <c r="AD144" s="61" t="n"/>
      <c r="BA144" s="62" t="inlineStr">
        <is>
          <t>КИ</t>
        </is>
      </c>
    </row>
    <row r="145" ht="27" customHeight="1">
      <c r="A145" s="49" t="inlineStr">
        <is>
          <t>SU002826</t>
        </is>
      </c>
      <c r="B145" s="49" t="inlineStr">
        <is>
          <t>P003178</t>
        </is>
      </c>
      <c r="C145" s="50" t="n">
        <v>4301031190</v>
      </c>
      <c r="D145" s="107" t="n">
        <v>4680115880207</v>
      </c>
      <c r="E145" s="128" t="n"/>
      <c r="F145" s="162" t="n">
        <v>0.4</v>
      </c>
      <c r="G145" s="52" t="n">
        <v>6</v>
      </c>
      <c r="H145" s="162" t="n">
        <v>2.4</v>
      </c>
      <c r="I145" s="162" t="n">
        <v>2.63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1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D145" s="61" t="n"/>
      <c r="BA145" s="62" t="inlineStr">
        <is>
          <t>КИ</t>
        </is>
      </c>
    </row>
    <row r="146" ht="27" customHeight="1">
      <c r="A146" s="49" t="inlineStr">
        <is>
          <t>SU002877</t>
        </is>
      </c>
      <c r="B146" s="49" t="inlineStr">
        <is>
          <t>P003277</t>
        </is>
      </c>
      <c r="C146" s="50" t="n">
        <v>4301031205</v>
      </c>
      <c r="D146" s="107" t="n">
        <v>4680115881785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1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D146" s="61" t="n"/>
      <c r="BA146" s="62" t="inlineStr">
        <is>
          <t>КИ</t>
        </is>
      </c>
    </row>
    <row r="147" ht="27" customHeight="1">
      <c r="A147" s="49" t="inlineStr">
        <is>
          <t>SU002848</t>
        </is>
      </c>
      <c r="B147" s="49" t="inlineStr">
        <is>
          <t>P003260</t>
        </is>
      </c>
      <c r="C147" s="50" t="n">
        <v>4301031202</v>
      </c>
      <c r="D147" s="107" t="n">
        <v>4680115881679</v>
      </c>
      <c r="E147" s="128" t="n"/>
      <c r="F147" s="162" t="n">
        <v>0.35</v>
      </c>
      <c r="G147" s="52" t="n">
        <v>6</v>
      </c>
      <c r="H147" s="162" t="n">
        <v>2.1</v>
      </c>
      <c r="I147" s="162" t="n">
        <v>2.2</v>
      </c>
      <c r="J147" s="52" t="n">
        <v>234</v>
      </c>
      <c r="K147" s="52" t="inlineStr">
        <is>
          <t>18</t>
        </is>
      </c>
      <c r="L147" s="53" t="inlineStr">
        <is>
          <t>СК2</t>
        </is>
      </c>
      <c r="M147" s="52" t="n">
        <v>40</v>
      </c>
      <c r="N147" s="1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IFERROR(IF(W147=0,"",ROUNDUP(W147/H147,0)*0.00502),"")</f>
        <v/>
      </c>
      <c r="Y147" s="59" t="n"/>
      <c r="Z147" s="60" t="n"/>
      <c r="AD147" s="61" t="n"/>
      <c r="BA147" s="62" t="inlineStr">
        <is>
          <t>КИ</t>
        </is>
      </c>
    </row>
    <row r="148" ht="27" customHeight="1">
      <c r="A148" s="49" t="inlineStr">
        <is>
          <t>SU002659</t>
        </is>
      </c>
      <c r="B148" s="49" t="inlineStr">
        <is>
          <t>P003034</t>
        </is>
      </c>
      <c r="C148" s="50" t="n">
        <v>4301031158</v>
      </c>
      <c r="D148" s="107" t="n">
        <v>4680115880191</v>
      </c>
      <c r="E148" s="128" t="n"/>
      <c r="F148" s="162" t="n">
        <v>0.4</v>
      </c>
      <c r="G148" s="52" t="n">
        <v>6</v>
      </c>
      <c r="H148" s="162" t="n">
        <v>2.4</v>
      </c>
      <c r="I148" s="162" t="n">
        <v>2.6</v>
      </c>
      <c r="J148" s="52" t="n">
        <v>156</v>
      </c>
      <c r="K148" s="52" t="inlineStr">
        <is>
          <t>12</t>
        </is>
      </c>
      <c r="L148" s="53" t="inlineStr">
        <is>
          <t>СК2</t>
        </is>
      </c>
      <c r="M148" s="52" t="n">
        <v>40</v>
      </c>
      <c r="N148" s="10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IFERROR(IF(W148=0,"",ROUNDUP(W148/H148,0)*0.00753),"")</f>
        <v/>
      </c>
      <c r="Y148" s="59" t="n"/>
      <c r="Z148" s="60" t="n"/>
      <c r="AD148" s="61" t="n"/>
      <c r="BA148" s="62" t="inlineStr">
        <is>
          <t>КИ</t>
        </is>
      </c>
    </row>
    <row r="149">
      <c r="A149" s="10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66" t="n"/>
      <c r="N149" s="110" t="inlineStr">
        <is>
          <t>Итого</t>
        </is>
      </c>
      <c r="O149" s="134" t="n"/>
      <c r="P149" s="134" t="n"/>
      <c r="Q149" s="134" t="n"/>
      <c r="R149" s="134" t="n"/>
      <c r="S149" s="134" t="n"/>
      <c r="T149" s="135" t="n"/>
      <c r="U149" s="63" t="inlineStr">
        <is>
          <t>кор</t>
        </is>
      </c>
      <c r="V149" s="167">
        <f>IFERROR(V141/H141,"0")+IFERROR(V142/H142,"0")+IFERROR(V143/H143,"0")+IFERROR(V144/H144,"0")+IFERROR(V145/H145,"0")+IFERROR(V146/H146,"0")+IFERROR(V147/H147,"0")+IFERROR(V148/H148,"0")</f>
        <v/>
      </c>
      <c r="W149" s="167">
        <f>IFERROR(W141/H141,"0")+IFERROR(W142/H142,"0")+IFERROR(W143/H143,"0")+IFERROR(W144/H144,"0")+IFERROR(W145/H145,"0")+IFERROR(W146/H146,"0")+IFERROR(W147/H147,"0")+IFERROR(W148/H148,"0")</f>
        <v/>
      </c>
      <c r="X149" s="16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168" t="n"/>
      <c r="Z149" s="168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66" t="n"/>
      <c r="N150" s="110" t="inlineStr">
        <is>
          <t>Итого</t>
        </is>
      </c>
      <c r="O150" s="134" t="n"/>
      <c r="P150" s="134" t="n"/>
      <c r="Q150" s="134" t="n"/>
      <c r="R150" s="134" t="n"/>
      <c r="S150" s="134" t="n"/>
      <c r="T150" s="135" t="n"/>
      <c r="U150" s="63" t="inlineStr">
        <is>
          <t>кг</t>
        </is>
      </c>
      <c r="V150" s="167">
        <f>IFERROR(SUM(V141:V148),"0")</f>
        <v/>
      </c>
      <c r="W150" s="167">
        <f>IFERROR(SUM(W141:W148),"0")</f>
        <v/>
      </c>
      <c r="X150" s="63" t="n"/>
      <c r="Y150" s="168" t="n"/>
      <c r="Z150" s="168" t="n"/>
    </row>
    <row r="151" ht="16.5" customHeight="1">
      <c r="A151" s="10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05" t="n"/>
      <c r="Z151" s="105" t="n"/>
    </row>
    <row r="152" ht="14.25" customHeight="1">
      <c r="A152" s="10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06" t="n"/>
      <c r="Z152" s="106" t="n"/>
    </row>
    <row r="153" ht="16.5" customHeight="1">
      <c r="A153" s="49" t="inlineStr">
        <is>
          <t>SU002824</t>
        </is>
      </c>
      <c r="B153" s="49" t="inlineStr">
        <is>
          <t>P003231</t>
        </is>
      </c>
      <c r="C153" s="50" t="n">
        <v>4301011450</v>
      </c>
      <c r="D153" s="107" t="n">
        <v>4680115881402</v>
      </c>
      <c r="E153" s="128" t="n"/>
      <c r="F153" s="162" t="n">
        <v>1.35</v>
      </c>
      <c r="G153" s="52" t="n">
        <v>8</v>
      </c>
      <c r="H153" s="162" t="n">
        <v>10.8</v>
      </c>
      <c r="I153" s="162" t="n">
        <v>11.28</v>
      </c>
      <c r="J153" s="52" t="n">
        <v>56</v>
      </c>
      <c r="K153" s="52" t="inlineStr">
        <is>
          <t>8</t>
        </is>
      </c>
      <c r="L153" s="53" t="inlineStr">
        <is>
          <t>СК1</t>
        </is>
      </c>
      <c r="M153" s="52" t="n">
        <v>55</v>
      </c>
      <c r="N153" s="10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163" t="n"/>
      <c r="P153" s="163" t="n"/>
      <c r="Q153" s="163" t="n"/>
      <c r="R153" s="128" t="n"/>
      <c r="S153" s="54" t="n"/>
      <c r="T153" s="54" t="n"/>
      <c r="U153" s="55" t="inlineStr">
        <is>
          <t>кг</t>
        </is>
      </c>
      <c r="V153" s="164" t="n">
        <v>0</v>
      </c>
      <c r="W153" s="165">
        <f>IFERROR(IF(V153="",0,CEILING((V153/$H153),1)*$H153),"")</f>
        <v/>
      </c>
      <c r="X153" s="58">
        <f>IFERROR(IF(W153=0,"",ROUNDUP(W153/H153,0)*0.02175),"")</f>
        <v/>
      </c>
      <c r="Y153" s="59" t="n"/>
      <c r="Z153" s="60" t="n"/>
      <c r="AD153" s="61" t="n"/>
      <c r="BA153" s="62" t="inlineStr">
        <is>
          <t>КИ</t>
        </is>
      </c>
    </row>
    <row r="154" ht="27" customHeight="1">
      <c r="A154" s="49" t="inlineStr">
        <is>
          <t>SU002823</t>
        </is>
      </c>
      <c r="B154" s="49" t="inlineStr">
        <is>
          <t>P003230</t>
        </is>
      </c>
      <c r="C154" s="50" t="n">
        <v>4301011454</v>
      </c>
      <c r="D154" s="107" t="n">
        <v>4680115881396</v>
      </c>
      <c r="E154" s="128" t="n"/>
      <c r="F154" s="162" t="n">
        <v>0.45</v>
      </c>
      <c r="G154" s="52" t="n">
        <v>6</v>
      </c>
      <c r="H154" s="162" t="n">
        <v>2.7</v>
      </c>
      <c r="I154" s="162" t="n">
        <v>2.9</v>
      </c>
      <c r="J154" s="52" t="n">
        <v>156</v>
      </c>
      <c r="K154" s="52" t="inlineStr">
        <is>
          <t>12</t>
        </is>
      </c>
      <c r="L154" s="53" t="inlineStr">
        <is>
          <t>СК2</t>
        </is>
      </c>
      <c r="M154" s="52" t="n">
        <v>55</v>
      </c>
      <c r="N154" s="10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163" t="n"/>
      <c r="P154" s="163" t="n"/>
      <c r="Q154" s="163" t="n"/>
      <c r="R154" s="128" t="n"/>
      <c r="S154" s="54" t="n"/>
      <c r="T154" s="54" t="n"/>
      <c r="U154" s="55" t="inlineStr">
        <is>
          <t>кг</t>
        </is>
      </c>
      <c r="V154" s="164" t="n">
        <v>0</v>
      </c>
      <c r="W154" s="165">
        <f>IFERROR(IF(V154="",0,CEILING((V154/$H154),1)*$H154),"")</f>
        <v/>
      </c>
      <c r="X154" s="58">
        <f>IFERROR(IF(W154=0,"",ROUNDUP(W154/H154,0)*0.00753),"")</f>
        <v/>
      </c>
      <c r="Y154" s="59" t="n"/>
      <c r="Z154" s="60" t="n"/>
      <c r="AD154" s="61" t="n"/>
      <c r="BA154" s="62" t="inlineStr">
        <is>
          <t>КИ</t>
        </is>
      </c>
    </row>
    <row r="155">
      <c r="A155" s="109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66" t="n"/>
      <c r="N155" s="110" t="inlineStr">
        <is>
          <t>Итого</t>
        </is>
      </c>
      <c r="O155" s="134" t="n"/>
      <c r="P155" s="134" t="n"/>
      <c r="Q155" s="134" t="n"/>
      <c r="R155" s="134" t="n"/>
      <c r="S155" s="134" t="n"/>
      <c r="T155" s="135" t="n"/>
      <c r="U155" s="63" t="inlineStr">
        <is>
          <t>кор</t>
        </is>
      </c>
      <c r="V155" s="167">
        <f>IFERROR(V153/H153,"0")+IFERROR(V154/H154,"0")</f>
        <v/>
      </c>
      <c r="W155" s="167">
        <f>IFERROR(W153/H153,"0")+IFERROR(W154/H154,"0")</f>
        <v/>
      </c>
      <c r="X155" s="167">
        <f>IFERROR(IF(X153="",0,X153),"0")+IFERROR(IF(X154="",0,X154),"0")</f>
        <v/>
      </c>
      <c r="Y155" s="168" t="n"/>
      <c r="Z155" s="168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66" t="n"/>
      <c r="N156" s="110" t="inlineStr">
        <is>
          <t>Итого</t>
        </is>
      </c>
      <c r="O156" s="134" t="n"/>
      <c r="P156" s="134" t="n"/>
      <c r="Q156" s="134" t="n"/>
      <c r="R156" s="134" t="n"/>
      <c r="S156" s="134" t="n"/>
      <c r="T156" s="135" t="n"/>
      <c r="U156" s="63" t="inlineStr">
        <is>
          <t>кг</t>
        </is>
      </c>
      <c r="V156" s="167">
        <f>IFERROR(SUM(V153:V154),"0")</f>
        <v/>
      </c>
      <c r="W156" s="167">
        <f>IFERROR(SUM(W153:W154),"0")</f>
        <v/>
      </c>
      <c r="X156" s="63" t="n"/>
      <c r="Y156" s="168" t="n"/>
      <c r="Z156" s="168" t="n"/>
    </row>
    <row r="157" ht="14.25" customHeight="1">
      <c r="A157" s="10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06" t="n"/>
      <c r="Z157" s="106" t="n"/>
    </row>
    <row r="158" ht="16.5" customHeight="1">
      <c r="A158" s="49" t="inlineStr">
        <is>
          <t>SU003068</t>
        </is>
      </c>
      <c r="B158" s="49" t="inlineStr">
        <is>
          <t>P003611</t>
        </is>
      </c>
      <c r="C158" s="50" t="n">
        <v>4301020262</v>
      </c>
      <c r="D158" s="107" t="n">
        <v>4680115882935</v>
      </c>
      <c r="E158" s="128" t="n"/>
      <c r="F158" s="162" t="n">
        <v>1.35</v>
      </c>
      <c r="G158" s="52" t="n">
        <v>8</v>
      </c>
      <c r="H158" s="162" t="n">
        <v>10.8</v>
      </c>
      <c r="I158" s="162" t="n">
        <v>11.28</v>
      </c>
      <c r="J158" s="52" t="n">
        <v>56</v>
      </c>
      <c r="K158" s="52" t="inlineStr">
        <is>
          <t>8</t>
        </is>
      </c>
      <c r="L158" s="53" t="inlineStr">
        <is>
          <t>СК3</t>
        </is>
      </c>
      <c r="M158" s="52" t="n">
        <v>50</v>
      </c>
      <c r="N158" s="115" t="inlineStr">
        <is>
          <t>Ветчина «Сочинка с сочным окороком» Весовой п/а ТМ «Стародворье»</t>
        </is>
      </c>
      <c r="O158" s="163" t="n"/>
      <c r="P158" s="163" t="n"/>
      <c r="Q158" s="163" t="n"/>
      <c r="R158" s="128" t="n"/>
      <c r="S158" s="54" t="n"/>
      <c r="T158" s="54" t="n"/>
      <c r="U158" s="55" t="inlineStr">
        <is>
          <t>кг</t>
        </is>
      </c>
      <c r="V158" s="164" t="n">
        <v>0</v>
      </c>
      <c r="W158" s="165">
        <f>IFERROR(IF(V158="",0,CEILING((V158/$H158),1)*$H158),"")</f>
        <v/>
      </c>
      <c r="X158" s="58">
        <f>IFERROR(IF(W158=0,"",ROUNDUP(W158/H158,0)*0.02175),"")</f>
        <v/>
      </c>
      <c r="Y158" s="59" t="n"/>
      <c r="Z158" s="60" t="n"/>
      <c r="AD158" s="61" t="n"/>
      <c r="BA158" s="62" t="inlineStr">
        <is>
          <t>КИ</t>
        </is>
      </c>
    </row>
    <row r="159" ht="16.5" customHeight="1">
      <c r="A159" s="49" t="inlineStr">
        <is>
          <t>SU002757</t>
        </is>
      </c>
      <c r="B159" s="49" t="inlineStr">
        <is>
          <t>P003128</t>
        </is>
      </c>
      <c r="C159" s="50" t="n">
        <v>4301020220</v>
      </c>
      <c r="D159" s="107" t="n">
        <v>4680115880764</v>
      </c>
      <c r="E159" s="128" t="n"/>
      <c r="F159" s="162" t="n">
        <v>0.35</v>
      </c>
      <c r="G159" s="52" t="n">
        <v>6</v>
      </c>
      <c r="H159" s="162" t="n">
        <v>2.1</v>
      </c>
      <c r="I159" s="162" t="n">
        <v>2.3</v>
      </c>
      <c r="J159" s="52" t="n">
        <v>156</v>
      </c>
      <c r="K159" s="52" t="inlineStr">
        <is>
          <t>12</t>
        </is>
      </c>
      <c r="L159" s="53" t="inlineStr">
        <is>
          <t>СК1</t>
        </is>
      </c>
      <c r="M159" s="52" t="n">
        <v>50</v>
      </c>
      <c r="N159" s="1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163" t="n"/>
      <c r="P159" s="163" t="n"/>
      <c r="Q159" s="163" t="n"/>
      <c r="R159" s="128" t="n"/>
      <c r="S159" s="54" t="n"/>
      <c r="T159" s="54" t="n"/>
      <c r="U159" s="55" t="inlineStr">
        <is>
          <t>кг</t>
        </is>
      </c>
      <c r="V159" s="164" t="n">
        <v>0</v>
      </c>
      <c r="W159" s="165">
        <f>IFERROR(IF(V159="",0,CEILING((V159/$H159),1)*$H159),"")</f>
        <v/>
      </c>
      <c r="X159" s="58">
        <f>IFERROR(IF(W159=0,"",ROUNDUP(W159/H159,0)*0.00753),"")</f>
        <v/>
      </c>
      <c r="Y159" s="59" t="n"/>
      <c r="Z159" s="60" t="n"/>
      <c r="AD159" s="61" t="n"/>
      <c r="BA159" s="62" t="inlineStr">
        <is>
          <t>КИ</t>
        </is>
      </c>
    </row>
    <row r="160">
      <c r="A160" s="10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66" t="n"/>
      <c r="N160" s="110" t="inlineStr">
        <is>
          <t>Итого</t>
        </is>
      </c>
      <c r="O160" s="134" t="n"/>
      <c r="P160" s="134" t="n"/>
      <c r="Q160" s="134" t="n"/>
      <c r="R160" s="134" t="n"/>
      <c r="S160" s="134" t="n"/>
      <c r="T160" s="135" t="n"/>
      <c r="U160" s="63" t="inlineStr">
        <is>
          <t>кор</t>
        </is>
      </c>
      <c r="V160" s="167">
        <f>IFERROR(V158/H158,"0")+IFERROR(V159/H159,"0")</f>
        <v/>
      </c>
      <c r="W160" s="167">
        <f>IFERROR(W158/H158,"0")+IFERROR(W159/H159,"0")</f>
        <v/>
      </c>
      <c r="X160" s="167">
        <f>IFERROR(IF(X158="",0,X158),"0")+IFERROR(IF(X159="",0,X159),"0")</f>
        <v/>
      </c>
      <c r="Y160" s="168" t="n"/>
      <c r="Z160" s="168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66" t="n"/>
      <c r="N161" s="110" t="inlineStr">
        <is>
          <t>Итого</t>
        </is>
      </c>
      <c r="O161" s="134" t="n"/>
      <c r="P161" s="134" t="n"/>
      <c r="Q161" s="134" t="n"/>
      <c r="R161" s="134" t="n"/>
      <c r="S161" s="134" t="n"/>
      <c r="T161" s="135" t="n"/>
      <c r="U161" s="63" t="inlineStr">
        <is>
          <t>кг</t>
        </is>
      </c>
      <c r="V161" s="167">
        <f>IFERROR(SUM(V158:V159),"0")</f>
        <v/>
      </c>
      <c r="W161" s="167">
        <f>IFERROR(SUM(W158:W159),"0")</f>
        <v/>
      </c>
      <c r="X161" s="63" t="n"/>
      <c r="Y161" s="168" t="n"/>
      <c r="Z161" s="168" t="n"/>
    </row>
    <row r="162" ht="14.25" customHeight="1">
      <c r="A162" s="10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06" t="n"/>
      <c r="Z162" s="106" t="n"/>
    </row>
    <row r="163" ht="27" customHeight="1">
      <c r="A163" s="49" t="inlineStr">
        <is>
          <t>SU002941</t>
        </is>
      </c>
      <c r="B163" s="49" t="inlineStr">
        <is>
          <t>P003387</t>
        </is>
      </c>
      <c r="C163" s="50" t="n">
        <v>4301031224</v>
      </c>
      <c r="D163" s="107" t="n">
        <v>4680115882683</v>
      </c>
      <c r="E163" s="128" t="n"/>
      <c r="F163" s="162" t="n">
        <v>0.9</v>
      </c>
      <c r="G163" s="52" t="n">
        <v>6</v>
      </c>
      <c r="H163" s="162" t="n">
        <v>5.4</v>
      </c>
      <c r="I163" s="162" t="n">
        <v>5.61</v>
      </c>
      <c r="J163" s="52" t="n">
        <v>120</v>
      </c>
      <c r="K163" s="52" t="inlineStr">
        <is>
          <t>12</t>
        </is>
      </c>
      <c r="L163" s="53" t="inlineStr">
        <is>
          <t>СК2</t>
        </is>
      </c>
      <c r="M163" s="52" t="n">
        <v>40</v>
      </c>
      <c r="N163" s="10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163" t="n"/>
      <c r="P163" s="163" t="n"/>
      <c r="Q163" s="163" t="n"/>
      <c r="R163" s="128" t="n"/>
      <c r="S163" s="54" t="n"/>
      <c r="T163" s="54" t="n"/>
      <c r="U163" s="55" t="inlineStr">
        <is>
          <t>кг</t>
        </is>
      </c>
      <c r="V163" s="164" t="n">
        <v>195</v>
      </c>
      <c r="W163" s="165">
        <f>IFERROR(IF(V163="",0,CEILING((V163/$H163),1)*$H163),"")</f>
        <v/>
      </c>
      <c r="X163" s="58">
        <f>IFERROR(IF(W163=0,"",ROUNDUP(W163/H163,0)*0.00937),"")</f>
        <v/>
      </c>
      <c r="Y163" s="59" t="n"/>
      <c r="Z163" s="60" t="n"/>
      <c r="AD163" s="61" t="n"/>
      <c r="BA163" s="62" t="inlineStr">
        <is>
          <t>КИ</t>
        </is>
      </c>
    </row>
    <row r="164" ht="27" customHeight="1">
      <c r="A164" s="49" t="inlineStr">
        <is>
          <t>SU002943</t>
        </is>
      </c>
      <c r="B164" s="49" t="inlineStr">
        <is>
          <t>P003401</t>
        </is>
      </c>
      <c r="C164" s="50" t="n">
        <v>4301031230</v>
      </c>
      <c r="D164" s="107" t="n">
        <v>4680115882690</v>
      </c>
      <c r="E164" s="128" t="n"/>
      <c r="F164" s="162" t="n">
        <v>0.9</v>
      </c>
      <c r="G164" s="52" t="n">
        <v>6</v>
      </c>
      <c r="H164" s="162" t="n">
        <v>5.4</v>
      </c>
      <c r="I164" s="162" t="n">
        <v>5.61</v>
      </c>
      <c r="J164" s="52" t="n">
        <v>120</v>
      </c>
      <c r="K164" s="52" t="inlineStr">
        <is>
          <t>12</t>
        </is>
      </c>
      <c r="L164" s="53" t="inlineStr">
        <is>
          <t>СК2</t>
        </is>
      </c>
      <c r="M164" s="52" t="n">
        <v>40</v>
      </c>
      <c r="N164" s="1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163" t="n"/>
      <c r="P164" s="163" t="n"/>
      <c r="Q164" s="163" t="n"/>
      <c r="R164" s="128" t="n"/>
      <c r="S164" s="54" t="n"/>
      <c r="T164" s="54" t="n"/>
      <c r="U164" s="55" t="inlineStr">
        <is>
          <t>кг</t>
        </is>
      </c>
      <c r="V164" s="164" t="n">
        <v>175</v>
      </c>
      <c r="W164" s="165">
        <f>IFERROR(IF(V164="",0,CEILING((V164/$H164),1)*$H164),"")</f>
        <v/>
      </c>
      <c r="X164" s="58">
        <f>IFERROR(IF(W164=0,"",ROUNDUP(W164/H164,0)*0.00937),"")</f>
        <v/>
      </c>
      <c r="Y164" s="59" t="n"/>
      <c r="Z164" s="60" t="n"/>
      <c r="AD164" s="61" t="n"/>
      <c r="BA164" s="62" t="inlineStr">
        <is>
          <t>КИ</t>
        </is>
      </c>
    </row>
    <row r="165" ht="27" customHeight="1">
      <c r="A165" s="49" t="inlineStr">
        <is>
          <t>SU002945</t>
        </is>
      </c>
      <c r="B165" s="49" t="inlineStr">
        <is>
          <t>P003383</t>
        </is>
      </c>
      <c r="C165" s="50" t="n">
        <v>4301031220</v>
      </c>
      <c r="D165" s="107" t="n">
        <v>4680115882669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1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175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D165" s="61" t="n"/>
      <c r="BA165" s="62" t="inlineStr">
        <is>
          <t>КИ</t>
        </is>
      </c>
    </row>
    <row r="166" ht="27" customHeight="1">
      <c r="A166" s="49" t="inlineStr">
        <is>
          <t>SU002947</t>
        </is>
      </c>
      <c r="B166" s="49" t="inlineStr">
        <is>
          <t>P003384</t>
        </is>
      </c>
      <c r="C166" s="50" t="n">
        <v>4301031221</v>
      </c>
      <c r="D166" s="107" t="n">
        <v>4680115882676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10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225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D166" s="61" t="n"/>
      <c r="BA166" s="62" t="inlineStr">
        <is>
          <t>КИ</t>
        </is>
      </c>
    </row>
    <row r="167">
      <c r="A167" s="109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66" t="n"/>
      <c r="N167" s="110" t="inlineStr">
        <is>
          <t>Итого</t>
        </is>
      </c>
      <c r="O167" s="134" t="n"/>
      <c r="P167" s="134" t="n"/>
      <c r="Q167" s="134" t="n"/>
      <c r="R167" s="134" t="n"/>
      <c r="S167" s="134" t="n"/>
      <c r="T167" s="135" t="n"/>
      <c r="U167" s="63" t="inlineStr">
        <is>
          <t>кор</t>
        </is>
      </c>
      <c r="V167" s="167">
        <f>IFERROR(V163/H163,"0")+IFERROR(V164/H164,"0")+IFERROR(V165/H165,"0")+IFERROR(V166/H166,"0")</f>
        <v/>
      </c>
      <c r="W167" s="167">
        <f>IFERROR(W163/H163,"0")+IFERROR(W164/H164,"0")+IFERROR(W165/H165,"0")+IFERROR(W166/H166,"0")</f>
        <v/>
      </c>
      <c r="X167" s="167">
        <f>IFERROR(IF(X163="",0,X163),"0")+IFERROR(IF(X164="",0,X164),"0")+IFERROR(IF(X165="",0,X165),"0")+IFERROR(IF(X166="",0,X166),"0")</f>
        <v/>
      </c>
      <c r="Y167" s="168" t="n"/>
      <c r="Z167" s="168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66" t="n"/>
      <c r="N168" s="110" t="inlineStr">
        <is>
          <t>Итого</t>
        </is>
      </c>
      <c r="O168" s="134" t="n"/>
      <c r="P168" s="134" t="n"/>
      <c r="Q168" s="134" t="n"/>
      <c r="R168" s="134" t="n"/>
      <c r="S168" s="134" t="n"/>
      <c r="T168" s="135" t="n"/>
      <c r="U168" s="63" t="inlineStr">
        <is>
          <t>кг</t>
        </is>
      </c>
      <c r="V168" s="167">
        <f>IFERROR(SUM(V163:V166),"0")</f>
        <v/>
      </c>
      <c r="W168" s="167">
        <f>IFERROR(SUM(W163:W166),"0")</f>
        <v/>
      </c>
      <c r="X168" s="63" t="n"/>
      <c r="Y168" s="168" t="n"/>
      <c r="Z168" s="168" t="n"/>
    </row>
    <row r="169" ht="14.25" customHeight="1">
      <c r="A169" s="10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06" t="n"/>
      <c r="Z169" s="106" t="n"/>
    </row>
    <row r="170" ht="27" customHeight="1">
      <c r="A170" s="49" t="inlineStr">
        <is>
          <t>SU002857</t>
        </is>
      </c>
      <c r="B170" s="49" t="inlineStr">
        <is>
          <t>P003264</t>
        </is>
      </c>
      <c r="C170" s="50" t="n">
        <v>4301051409</v>
      </c>
      <c r="D170" s="107" t="n">
        <v>4680115881556</v>
      </c>
      <c r="E170" s="128" t="n"/>
      <c r="F170" s="162" t="n">
        <v>1</v>
      </c>
      <c r="G170" s="52" t="n">
        <v>4</v>
      </c>
      <c r="H170" s="162" t="n">
        <v>4</v>
      </c>
      <c r="I170" s="162" t="n">
        <v>4.408</v>
      </c>
      <c r="J170" s="52" t="n">
        <v>104</v>
      </c>
      <c r="K170" s="52" t="inlineStr">
        <is>
          <t>8</t>
        </is>
      </c>
      <c r="L170" s="53" t="inlineStr">
        <is>
          <t>СК3</t>
        </is>
      </c>
      <c r="M170" s="52" t="n">
        <v>45</v>
      </c>
      <c r="N170" s="10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163" t="n"/>
      <c r="P170" s="163" t="n"/>
      <c r="Q170" s="163" t="n"/>
      <c r="R170" s="128" t="n"/>
      <c r="S170" s="54" t="n"/>
      <c r="T170" s="54" t="n"/>
      <c r="U170" s="55" t="inlineStr">
        <is>
          <t>кг</t>
        </is>
      </c>
      <c r="V170" s="164" t="n">
        <v>0</v>
      </c>
      <c r="W170" s="165">
        <f>IFERROR(IF(V170="",0,CEILING((V170/$H170),1)*$H170),"")</f>
        <v/>
      </c>
      <c r="X170" s="58">
        <f>IFERROR(IF(W170=0,"",ROUNDUP(W170/H170,0)*0.01196),"")</f>
        <v/>
      </c>
      <c r="Y170" s="59" t="n"/>
      <c r="Z170" s="60" t="n"/>
      <c r="AD170" s="61" t="n"/>
      <c r="BA170" s="62" t="inlineStr">
        <is>
          <t>КИ</t>
        </is>
      </c>
    </row>
    <row r="171" ht="16.5" customHeight="1">
      <c r="A171" s="49" t="inlineStr">
        <is>
          <t>SU002725</t>
        </is>
      </c>
      <c r="B171" s="49" t="inlineStr">
        <is>
          <t>P003672</t>
        </is>
      </c>
      <c r="C171" s="50" t="n">
        <v>4301051538</v>
      </c>
      <c r="D171" s="107" t="n">
        <v>4680115880573</v>
      </c>
      <c r="E171" s="128" t="n"/>
      <c r="F171" s="162" t="n">
        <v>1.45</v>
      </c>
      <c r="G171" s="52" t="n">
        <v>6</v>
      </c>
      <c r="H171" s="162" t="n">
        <v>8.699999999999999</v>
      </c>
      <c r="I171" s="162" t="n">
        <v>9.263999999999999</v>
      </c>
      <c r="J171" s="52" t="n">
        <v>56</v>
      </c>
      <c r="K171" s="52" t="inlineStr">
        <is>
          <t>8</t>
        </is>
      </c>
      <c r="L171" s="53" t="inlineStr">
        <is>
          <t>СК2</t>
        </is>
      </c>
      <c r="M171" s="52" t="n">
        <v>45</v>
      </c>
      <c r="N171" s="115" t="inlineStr">
        <is>
          <t>Сосиски «Сочинки» Весовой п/а ТМ «Стародворье»</t>
        </is>
      </c>
      <c r="O171" s="163" t="n"/>
      <c r="P171" s="163" t="n"/>
      <c r="Q171" s="163" t="n"/>
      <c r="R171" s="128" t="n"/>
      <c r="S171" s="54" t="n"/>
      <c r="T171" s="54" t="n"/>
      <c r="U171" s="55" t="inlineStr">
        <is>
          <t>кг</t>
        </is>
      </c>
      <c r="V171" s="164" t="n">
        <v>150</v>
      </c>
      <c r="W171" s="165">
        <f>IFERROR(IF(V171="",0,CEILING((V171/$H171),1)*$H171),"")</f>
        <v/>
      </c>
      <c r="X171" s="58">
        <f>IFERROR(IF(W171=0,"",ROUNDUP(W171/H171,0)*0.02175),"")</f>
        <v/>
      </c>
      <c r="Y171" s="59" t="n"/>
      <c r="Z171" s="60" t="n"/>
      <c r="AD171" s="61" t="n"/>
      <c r="BA171" s="62" t="inlineStr">
        <is>
          <t>КИ</t>
        </is>
      </c>
    </row>
    <row r="172" ht="27" customHeight="1">
      <c r="A172" s="49" t="inlineStr">
        <is>
          <t>SU002843</t>
        </is>
      </c>
      <c r="B172" s="49" t="inlineStr">
        <is>
          <t>P003263</t>
        </is>
      </c>
      <c r="C172" s="50" t="n">
        <v>4301051408</v>
      </c>
      <c r="D172" s="107" t="n">
        <v>4680115881594</v>
      </c>
      <c r="E172" s="128" t="n"/>
      <c r="F172" s="162" t="n">
        <v>1.35</v>
      </c>
      <c r="G172" s="52" t="n">
        <v>6</v>
      </c>
      <c r="H172" s="162" t="n">
        <v>8.1</v>
      </c>
      <c r="I172" s="162" t="n">
        <v>8.664</v>
      </c>
      <c r="J172" s="52" t="n">
        <v>56</v>
      </c>
      <c r="K172" s="52" t="inlineStr">
        <is>
          <t>8</t>
        </is>
      </c>
      <c r="L172" s="53" t="inlineStr">
        <is>
          <t>СК3</t>
        </is>
      </c>
      <c r="M172" s="52" t="n">
        <v>40</v>
      </c>
      <c r="N172" s="10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IFERROR(IF(W172=0,"",ROUNDUP(W172/H172,0)*0.02175),"")</f>
        <v/>
      </c>
      <c r="Y172" s="59" t="n"/>
      <c r="Z172" s="60" t="n"/>
      <c r="AD172" s="61" t="n"/>
      <c r="BA172" s="62" t="inlineStr">
        <is>
          <t>КИ</t>
        </is>
      </c>
    </row>
    <row r="173" ht="27" customHeight="1">
      <c r="A173" s="49" t="inlineStr">
        <is>
          <t>SU002858</t>
        </is>
      </c>
      <c r="B173" s="49" t="inlineStr">
        <is>
          <t>P003581</t>
        </is>
      </c>
      <c r="C173" s="50" t="n">
        <v>4301051505</v>
      </c>
      <c r="D173" s="107" t="n">
        <v>4680115881587</v>
      </c>
      <c r="E173" s="128" t="n"/>
      <c r="F173" s="162" t="n">
        <v>1</v>
      </c>
      <c r="G173" s="52" t="n">
        <v>4</v>
      </c>
      <c r="H173" s="162" t="n">
        <v>4</v>
      </c>
      <c r="I173" s="162" t="n">
        <v>4.408</v>
      </c>
      <c r="J173" s="52" t="n">
        <v>104</v>
      </c>
      <c r="K173" s="52" t="inlineStr">
        <is>
          <t>8</t>
        </is>
      </c>
      <c r="L173" s="53" t="inlineStr">
        <is>
          <t>СК2</t>
        </is>
      </c>
      <c r="M173" s="52" t="n">
        <v>40</v>
      </c>
      <c r="N173" s="115" t="inlineStr">
        <is>
          <t>Сосиски «Сочинки по-баварски с сыром» вес п/а ТМ «Стародворье» 1,0 кг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IFERROR(IF(W173=0,"",ROUNDUP(W173/H173,0)*0.01196),"")</f>
        <v/>
      </c>
      <c r="Y173" s="59" t="n"/>
      <c r="Z173" s="60" t="n"/>
      <c r="AD173" s="61" t="n"/>
      <c r="BA173" s="62" t="inlineStr">
        <is>
          <t>КИ</t>
        </is>
      </c>
    </row>
    <row r="174" ht="16.5" customHeight="1">
      <c r="A174" s="49" t="inlineStr">
        <is>
          <t>SU002795</t>
        </is>
      </c>
      <c r="B174" s="49" t="inlineStr">
        <is>
          <t>P003203</t>
        </is>
      </c>
      <c r="C174" s="50" t="n">
        <v>4301051380</v>
      </c>
      <c r="D174" s="107" t="n">
        <v>4680115880962</v>
      </c>
      <c r="E174" s="128" t="n"/>
      <c r="F174" s="162" t="n">
        <v>1.3</v>
      </c>
      <c r="G174" s="52" t="n">
        <v>6</v>
      </c>
      <c r="H174" s="162" t="n">
        <v>7.8</v>
      </c>
      <c r="I174" s="162" t="n">
        <v>8.364000000000001</v>
      </c>
      <c r="J174" s="52" t="n">
        <v>56</v>
      </c>
      <c r="K174" s="52" t="inlineStr">
        <is>
          <t>8</t>
        </is>
      </c>
      <c r="L174" s="53" t="inlineStr">
        <is>
          <t>СК2</t>
        </is>
      </c>
      <c r="M174" s="52" t="n">
        <v>40</v>
      </c>
      <c r="N174" s="10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100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D174" s="61" t="n"/>
      <c r="BA174" s="62" t="inlineStr">
        <is>
          <t>КИ</t>
        </is>
      </c>
    </row>
    <row r="175" ht="27" customHeight="1">
      <c r="A175" s="49" t="inlineStr">
        <is>
          <t>SU002845</t>
        </is>
      </c>
      <c r="B175" s="49" t="inlineStr">
        <is>
          <t>P003266</t>
        </is>
      </c>
      <c r="C175" s="50" t="n">
        <v>4301051411</v>
      </c>
      <c r="D175" s="107" t="n">
        <v>4680115881617</v>
      </c>
      <c r="E175" s="128" t="n"/>
      <c r="F175" s="162" t="n">
        <v>1.35</v>
      </c>
      <c r="G175" s="52" t="n">
        <v>6</v>
      </c>
      <c r="H175" s="162" t="n">
        <v>8.1</v>
      </c>
      <c r="I175" s="162" t="n">
        <v>8.646000000000001</v>
      </c>
      <c r="J175" s="52" t="n">
        <v>56</v>
      </c>
      <c r="K175" s="52" t="inlineStr">
        <is>
          <t>8</t>
        </is>
      </c>
      <c r="L175" s="53" t="inlineStr">
        <is>
          <t>СК3</t>
        </is>
      </c>
      <c r="M175" s="52" t="n">
        <v>40</v>
      </c>
      <c r="N175" s="1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IFERROR(IF(W175=0,"",ROUNDUP(W175/H175,0)*0.02175),"")</f>
        <v/>
      </c>
      <c r="Y175" s="59" t="n"/>
      <c r="Z175" s="60" t="n"/>
      <c r="AD175" s="61" t="n"/>
      <c r="BA175" s="62" t="inlineStr">
        <is>
          <t>КИ</t>
        </is>
      </c>
    </row>
    <row r="176" ht="27" customHeight="1">
      <c r="A176" s="49" t="inlineStr">
        <is>
          <t>SU002801</t>
        </is>
      </c>
      <c r="B176" s="49" t="inlineStr">
        <is>
          <t>P003475</t>
        </is>
      </c>
      <c r="C176" s="50" t="n">
        <v>4301051487</v>
      </c>
      <c r="D176" s="107" t="n">
        <v>4680115881228</v>
      </c>
      <c r="E176" s="128" t="n"/>
      <c r="F176" s="162" t="n">
        <v>0.4</v>
      </c>
      <c r="G176" s="52" t="n">
        <v>6</v>
      </c>
      <c r="H176" s="162" t="n">
        <v>2.4</v>
      </c>
      <c r="I176" s="162" t="n">
        <v>2.672</v>
      </c>
      <c r="J176" s="52" t="n">
        <v>156</v>
      </c>
      <c r="K176" s="52" t="inlineStr">
        <is>
          <t>12</t>
        </is>
      </c>
      <c r="L176" s="53" t="inlineStr">
        <is>
          <t>СК2</t>
        </is>
      </c>
      <c r="M176" s="52" t="n">
        <v>40</v>
      </c>
      <c r="N176" s="115" t="inlineStr">
        <is>
          <t>Сосиски «Сочинки по-баварски с сыром» Фикс.вес 0,4 П/а мгс ТМ «Стародворье»</t>
        </is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IFERROR(IF(W176=0,"",ROUNDUP(W176/H176,0)*0.00753),"")</f>
        <v/>
      </c>
      <c r="Y176" s="59" t="n"/>
      <c r="Z176" s="60" t="n"/>
      <c r="AD176" s="61" t="n"/>
      <c r="BA176" s="62" t="inlineStr">
        <is>
          <t>КИ</t>
        </is>
      </c>
    </row>
    <row r="177" ht="27" customHeight="1">
      <c r="A177" s="49" t="inlineStr">
        <is>
          <t>SU002802</t>
        </is>
      </c>
      <c r="B177" s="49" t="inlineStr">
        <is>
          <t>P003580</t>
        </is>
      </c>
      <c r="C177" s="50" t="n">
        <v>4301051506</v>
      </c>
      <c r="D177" s="107" t="n">
        <v>4680115881037</v>
      </c>
      <c r="E177" s="128" t="n"/>
      <c r="F177" s="162" t="n">
        <v>0.84</v>
      </c>
      <c r="G177" s="52" t="n">
        <v>4</v>
      </c>
      <c r="H177" s="162" t="n">
        <v>3.36</v>
      </c>
      <c r="I177" s="162" t="n">
        <v>3.618</v>
      </c>
      <c r="J177" s="52" t="n">
        <v>120</v>
      </c>
      <c r="K177" s="52" t="inlineStr">
        <is>
          <t>12</t>
        </is>
      </c>
      <c r="L177" s="53" t="inlineStr">
        <is>
          <t>СК2</t>
        </is>
      </c>
      <c r="M177" s="52" t="n">
        <v>40</v>
      </c>
      <c r="N177" s="115" t="inlineStr">
        <is>
          <t>Сосиски «Сочинки по-баварски с сыром» Фикс.вес 0,84 кг п/а мгс ТМ «Стародворье»</t>
        </is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IFERROR(IF(W177=0,"",ROUNDUP(W177/H177,0)*0.00937),"")</f>
        <v/>
      </c>
      <c r="Y177" s="59" t="n"/>
      <c r="Z177" s="60" t="n"/>
      <c r="AD177" s="61" t="n"/>
      <c r="BA177" s="62" t="inlineStr">
        <is>
          <t>КИ</t>
        </is>
      </c>
    </row>
    <row r="178" ht="27" customHeight="1">
      <c r="A178" s="49" t="inlineStr">
        <is>
          <t>SU002799</t>
        </is>
      </c>
      <c r="B178" s="49" t="inlineStr">
        <is>
          <t>P003217</t>
        </is>
      </c>
      <c r="C178" s="50" t="n">
        <v>4301051384</v>
      </c>
      <c r="D178" s="107" t="n">
        <v>4680115881211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45</v>
      </c>
      <c r="N178" s="10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12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D178" s="61" t="n"/>
      <c r="BA178" s="62" t="inlineStr">
        <is>
          <t>КИ</t>
        </is>
      </c>
    </row>
    <row r="179" ht="27" customHeight="1">
      <c r="A179" s="49" t="inlineStr">
        <is>
          <t>SU002800</t>
        </is>
      </c>
      <c r="B179" s="49" t="inlineStr">
        <is>
          <t>P003201</t>
        </is>
      </c>
      <c r="C179" s="50" t="n">
        <v>4301051378</v>
      </c>
      <c r="D179" s="107" t="n">
        <v>4680115881020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3.57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45</v>
      </c>
      <c r="N179" s="1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0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D179" s="61" t="n"/>
      <c r="BA179" s="62" t="inlineStr">
        <is>
          <t>КИ</t>
        </is>
      </c>
    </row>
    <row r="180" ht="27" customHeight="1">
      <c r="A180" s="49" t="inlineStr">
        <is>
          <t>SU002842</t>
        </is>
      </c>
      <c r="B180" s="49" t="inlineStr">
        <is>
          <t>P003262</t>
        </is>
      </c>
      <c r="C180" s="50" t="n">
        <v>4301051407</v>
      </c>
      <c r="D180" s="107" t="n">
        <v>4680115882195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2.69</v>
      </c>
      <c r="J180" s="52" t="n">
        <v>156</v>
      </c>
      <c r="K180" s="52" t="inlineStr">
        <is>
          <t>12</t>
        </is>
      </c>
      <c r="L180" s="53" t="inlineStr">
        <is>
          <t>СК3</t>
        </is>
      </c>
      <c r="M180" s="52" t="n">
        <v>40</v>
      </c>
      <c r="N180" s="10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12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D180" s="61" t="n"/>
      <c r="BA180" s="62" t="inlineStr">
        <is>
          <t>КИ</t>
        </is>
      </c>
    </row>
    <row r="181" ht="27" customHeight="1">
      <c r="A181" s="49" t="inlineStr">
        <is>
          <t>SU002992</t>
        </is>
      </c>
      <c r="B181" s="49" t="inlineStr">
        <is>
          <t>P003443</t>
        </is>
      </c>
      <c r="C181" s="50" t="n">
        <v>4301051479</v>
      </c>
      <c r="D181" s="107" t="n">
        <v>4680115882607</v>
      </c>
      <c r="E181" s="128" t="n"/>
      <c r="F181" s="162" t="n">
        <v>0.3</v>
      </c>
      <c r="G181" s="52" t="n">
        <v>6</v>
      </c>
      <c r="H181" s="162" t="n">
        <v>1.8</v>
      </c>
      <c r="I181" s="162" t="n">
        <v>2.072</v>
      </c>
      <c r="J181" s="52" t="n">
        <v>156</v>
      </c>
      <c r="K181" s="52" t="inlineStr">
        <is>
          <t>12</t>
        </is>
      </c>
      <c r="L181" s="53" t="inlineStr">
        <is>
          <t>СК3</t>
        </is>
      </c>
      <c r="M181" s="52" t="n">
        <v>45</v>
      </c>
      <c r="N181" s="10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0</v>
      </c>
      <c r="W181" s="165">
        <f>IFERROR(IF(V181="",0,CEILING((V181/$H181),1)*$H181),"")</f>
        <v/>
      </c>
      <c r="X181" s="58">
        <f>IFERROR(IF(W181=0,"",ROUNDUP(W181/H181,0)*0.00753),"")</f>
        <v/>
      </c>
      <c r="Y181" s="59" t="n"/>
      <c r="Z181" s="60" t="n"/>
      <c r="AD181" s="61" t="n"/>
      <c r="BA181" s="62" t="inlineStr">
        <is>
          <t>КИ</t>
        </is>
      </c>
    </row>
    <row r="182" ht="27" customHeight="1">
      <c r="A182" s="49" t="inlineStr">
        <is>
          <t>SU002618</t>
        </is>
      </c>
      <c r="B182" s="49" t="inlineStr">
        <is>
          <t>P003398</t>
        </is>
      </c>
      <c r="C182" s="50" t="n">
        <v>4301051468</v>
      </c>
      <c r="D182" s="107" t="n">
        <v>4680115880092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2.672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45</v>
      </c>
      <c r="N182" s="1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17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D182" s="61" t="n"/>
      <c r="BA182" s="62" t="inlineStr">
        <is>
          <t>КИ</t>
        </is>
      </c>
    </row>
    <row r="183" ht="27" customHeight="1">
      <c r="A183" s="49" t="inlineStr">
        <is>
          <t>SU002621</t>
        </is>
      </c>
      <c r="B183" s="49" t="inlineStr">
        <is>
          <t>P003399</t>
        </is>
      </c>
      <c r="C183" s="50" t="n">
        <v>4301051469</v>
      </c>
      <c r="D183" s="107" t="n">
        <v>4680115880221</v>
      </c>
      <c r="E183" s="128" t="n"/>
      <c r="F183" s="162" t="n">
        <v>0.4</v>
      </c>
      <c r="G183" s="52" t="n">
        <v>6</v>
      </c>
      <c r="H183" s="162" t="n">
        <v>2.4</v>
      </c>
      <c r="I183" s="162" t="n">
        <v>2.672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1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12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D183" s="61" t="n"/>
      <c r="BA183" s="62" t="inlineStr">
        <is>
          <t>КИ</t>
        </is>
      </c>
    </row>
    <row r="184" ht="16.5" customHeight="1">
      <c r="A184" s="49" t="inlineStr">
        <is>
          <t>SU003073</t>
        </is>
      </c>
      <c r="B184" s="49" t="inlineStr">
        <is>
          <t>P003613</t>
        </is>
      </c>
      <c r="C184" s="50" t="n">
        <v>4301051523</v>
      </c>
      <c r="D184" s="107" t="n">
        <v>4680115882942</v>
      </c>
      <c r="E184" s="128" t="n"/>
      <c r="F184" s="162" t="n">
        <v>0.3</v>
      </c>
      <c r="G184" s="52" t="n">
        <v>6</v>
      </c>
      <c r="H184" s="162" t="n">
        <v>1.8</v>
      </c>
      <c r="I184" s="162" t="n">
        <v>2.072</v>
      </c>
      <c r="J184" s="52" t="n">
        <v>156</v>
      </c>
      <c r="K184" s="52" t="inlineStr">
        <is>
          <t>12</t>
        </is>
      </c>
      <c r="L184" s="53" t="inlineStr">
        <is>
          <t>СК2</t>
        </is>
      </c>
      <c r="M184" s="52" t="n">
        <v>40</v>
      </c>
      <c r="N184" s="1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D184" s="61" t="n"/>
      <c r="BA184" s="62" t="inlineStr">
        <is>
          <t>КИ</t>
        </is>
      </c>
    </row>
    <row r="185" ht="16.5" customHeight="1">
      <c r="A185" s="49" t="inlineStr">
        <is>
          <t>SU002686</t>
        </is>
      </c>
      <c r="B185" s="49" t="inlineStr">
        <is>
          <t>P003071</t>
        </is>
      </c>
      <c r="C185" s="50" t="n">
        <v>4301051326</v>
      </c>
      <c r="D185" s="107" t="n">
        <v>4680115880504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СК2</t>
        </is>
      </c>
      <c r="M185" s="52" t="n">
        <v>40</v>
      </c>
      <c r="N185" s="1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40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D185" s="61" t="n"/>
      <c r="BA185" s="62" t="inlineStr">
        <is>
          <t>КИ</t>
        </is>
      </c>
    </row>
    <row r="186" ht="27" customHeight="1">
      <c r="A186" s="49" t="inlineStr">
        <is>
          <t>SU002844</t>
        </is>
      </c>
      <c r="B186" s="49" t="inlineStr">
        <is>
          <t>P003265</t>
        </is>
      </c>
      <c r="C186" s="50" t="n">
        <v>4301051410</v>
      </c>
      <c r="D186" s="107" t="n">
        <v>4680115882164</v>
      </c>
      <c r="E186" s="128" t="n"/>
      <c r="F186" s="162" t="n">
        <v>0.4</v>
      </c>
      <c r="G186" s="52" t="n">
        <v>6</v>
      </c>
      <c r="H186" s="162" t="n">
        <v>2.4</v>
      </c>
      <c r="I186" s="162" t="n">
        <v>2.678</v>
      </c>
      <c r="J186" s="52" t="n">
        <v>156</v>
      </c>
      <c r="K186" s="52" t="inlineStr">
        <is>
          <t>12</t>
        </is>
      </c>
      <c r="L186" s="53" t="inlineStr">
        <is>
          <t>СК3</t>
        </is>
      </c>
      <c r="M186" s="52" t="n">
        <v>40</v>
      </c>
      <c r="N186" s="1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36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D186" s="61" t="n"/>
      <c r="BA186" s="62" t="inlineStr">
        <is>
          <t>КИ</t>
        </is>
      </c>
    </row>
    <row r="187">
      <c r="A187" s="10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66" t="n"/>
      <c r="N187" s="110" t="inlineStr">
        <is>
          <t>Итого</t>
        </is>
      </c>
      <c r="O187" s="134" t="n"/>
      <c r="P187" s="134" t="n"/>
      <c r="Q187" s="134" t="n"/>
      <c r="R187" s="134" t="n"/>
      <c r="S187" s="134" t="n"/>
      <c r="T187" s="135" t="n"/>
      <c r="U187" s="63" t="inlineStr">
        <is>
          <t>кор</t>
        </is>
      </c>
      <c r="V187" s="16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16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16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168" t="n"/>
      <c r="Z187" s="168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66" t="n"/>
      <c r="N188" s="110" t="inlineStr">
        <is>
          <t>Итого</t>
        </is>
      </c>
      <c r="O188" s="134" t="n"/>
      <c r="P188" s="134" t="n"/>
      <c r="Q188" s="134" t="n"/>
      <c r="R188" s="134" t="n"/>
      <c r="S188" s="134" t="n"/>
      <c r="T188" s="135" t="n"/>
      <c r="U188" s="63" t="inlineStr">
        <is>
          <t>кг</t>
        </is>
      </c>
      <c r="V188" s="167">
        <f>IFERROR(SUM(V170:V186),"0")</f>
        <v/>
      </c>
      <c r="W188" s="167">
        <f>IFERROR(SUM(W170:W186),"0")</f>
        <v/>
      </c>
      <c r="X188" s="63" t="n"/>
      <c r="Y188" s="168" t="n"/>
      <c r="Z188" s="168" t="n"/>
    </row>
    <row r="189" ht="14.25" customHeight="1">
      <c r="A189" s="106" t="inlineStr">
        <is>
          <t>Сардельки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06" t="n"/>
      <c r="Z189" s="106" t="n"/>
    </row>
    <row r="190" ht="16.5" customHeight="1">
      <c r="A190" s="49" t="inlineStr">
        <is>
          <t>SU002758</t>
        </is>
      </c>
      <c r="B190" s="49" t="inlineStr">
        <is>
          <t>P003129</t>
        </is>
      </c>
      <c r="C190" s="50" t="n">
        <v>4301060338</v>
      </c>
      <c r="D190" s="107" t="n">
        <v>4680115880801</v>
      </c>
      <c r="E190" s="128" t="n"/>
      <c r="F190" s="162" t="n">
        <v>0.4</v>
      </c>
      <c r="G190" s="52" t="n">
        <v>6</v>
      </c>
      <c r="H190" s="162" t="n">
        <v>2.4</v>
      </c>
      <c r="I190" s="162" t="n">
        <v>2.672</v>
      </c>
      <c r="J190" s="52" t="n">
        <v>156</v>
      </c>
      <c r="K190" s="52" t="inlineStr">
        <is>
          <t>12</t>
        </is>
      </c>
      <c r="L190" s="53" t="inlineStr">
        <is>
          <t>СК2</t>
        </is>
      </c>
      <c r="M190" s="52" t="n">
        <v>40</v>
      </c>
      <c r="N190" s="10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163" t="n"/>
      <c r="P190" s="163" t="n"/>
      <c r="Q190" s="163" t="n"/>
      <c r="R190" s="128" t="n"/>
      <c r="S190" s="54" t="n"/>
      <c r="T190" s="54" t="n"/>
      <c r="U190" s="55" t="inlineStr">
        <is>
          <t>кг</t>
        </is>
      </c>
      <c r="V190" s="164" t="n">
        <v>0</v>
      </c>
      <c r="W190" s="165">
        <f>IFERROR(IF(V190="",0,CEILING((V190/$H190),1)*$H190),"")</f>
        <v/>
      </c>
      <c r="X190" s="58">
        <f>IFERROR(IF(W190=0,"",ROUNDUP(W190/H190,0)*0.00753),"")</f>
        <v/>
      </c>
      <c r="Y190" s="59" t="n"/>
      <c r="Z190" s="60" t="n"/>
      <c r="AD190" s="61" t="n"/>
      <c r="BA190" s="62" t="inlineStr">
        <is>
          <t>КИ</t>
        </is>
      </c>
    </row>
    <row r="191" ht="27" customHeight="1">
      <c r="A191" s="49" t="inlineStr">
        <is>
          <t>SU002759</t>
        </is>
      </c>
      <c r="B191" s="49" t="inlineStr">
        <is>
          <t>P003130</t>
        </is>
      </c>
      <c r="C191" s="50" t="n">
        <v>4301060339</v>
      </c>
      <c r="D191" s="107" t="n">
        <v>4680115880818</v>
      </c>
      <c r="E191" s="128" t="n"/>
      <c r="F191" s="162" t="n">
        <v>0.4</v>
      </c>
      <c r="G191" s="52" t="n">
        <v>6</v>
      </c>
      <c r="H191" s="162" t="n">
        <v>2.4</v>
      </c>
      <c r="I191" s="162" t="n">
        <v>2.672</v>
      </c>
      <c r="J191" s="52" t="n">
        <v>156</v>
      </c>
      <c r="K191" s="52" t="inlineStr">
        <is>
          <t>12</t>
        </is>
      </c>
      <c r="L191" s="53" t="inlineStr">
        <is>
          <t>СК2</t>
        </is>
      </c>
      <c r="M191" s="52" t="n">
        <v>40</v>
      </c>
      <c r="N191" s="1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163" t="n"/>
      <c r="P191" s="163" t="n"/>
      <c r="Q191" s="163" t="n"/>
      <c r="R191" s="128" t="n"/>
      <c r="S191" s="54" t="n"/>
      <c r="T191" s="54" t="n"/>
      <c r="U191" s="55" t="inlineStr">
        <is>
          <t>кг</t>
        </is>
      </c>
      <c r="V191" s="164" t="n">
        <v>0</v>
      </c>
      <c r="W191" s="165">
        <f>IFERROR(IF(V191="",0,CEILING((V191/$H191),1)*$H191),"")</f>
        <v/>
      </c>
      <c r="X191" s="58">
        <f>IFERROR(IF(W191=0,"",ROUNDUP(W191/H191,0)*0.00753),"")</f>
        <v/>
      </c>
      <c r="Y191" s="59" t="n"/>
      <c r="Z191" s="60" t="n"/>
      <c r="AD191" s="61" t="n"/>
      <c r="BA191" s="62" t="inlineStr">
        <is>
          <t>КИ</t>
        </is>
      </c>
    </row>
    <row r="192">
      <c r="A192" s="109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66" t="n"/>
      <c r="N192" s="110" t="inlineStr">
        <is>
          <t>Итого</t>
        </is>
      </c>
      <c r="O192" s="134" t="n"/>
      <c r="P192" s="134" t="n"/>
      <c r="Q192" s="134" t="n"/>
      <c r="R192" s="134" t="n"/>
      <c r="S192" s="134" t="n"/>
      <c r="T192" s="135" t="n"/>
      <c r="U192" s="63" t="inlineStr">
        <is>
          <t>кор</t>
        </is>
      </c>
      <c r="V192" s="167">
        <f>IFERROR(V190/H190,"0")+IFERROR(V191/H191,"0")</f>
        <v/>
      </c>
      <c r="W192" s="167">
        <f>IFERROR(W190/H190,"0")+IFERROR(W191/H191,"0")</f>
        <v/>
      </c>
      <c r="X192" s="167">
        <f>IFERROR(IF(X190="",0,X190),"0")+IFERROR(IF(X191="",0,X191),"0")</f>
        <v/>
      </c>
      <c r="Y192" s="168" t="n"/>
      <c r="Z192" s="168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66" t="n"/>
      <c r="N193" s="110" t="inlineStr">
        <is>
          <t>Итого</t>
        </is>
      </c>
      <c r="O193" s="134" t="n"/>
      <c r="P193" s="134" t="n"/>
      <c r="Q193" s="134" t="n"/>
      <c r="R193" s="134" t="n"/>
      <c r="S193" s="134" t="n"/>
      <c r="T193" s="135" t="n"/>
      <c r="U193" s="63" t="inlineStr">
        <is>
          <t>кг</t>
        </is>
      </c>
      <c r="V193" s="167">
        <f>IFERROR(SUM(V190:V191),"0")</f>
        <v/>
      </c>
      <c r="W193" s="167">
        <f>IFERROR(SUM(W190:W191),"0")</f>
        <v/>
      </c>
      <c r="X193" s="63" t="n"/>
      <c r="Y193" s="168" t="n"/>
      <c r="Z193" s="168" t="n"/>
    </row>
    <row r="194" ht="16.5" customHeight="1">
      <c r="A194" s="105" t="inlineStr">
        <is>
          <t>Бордо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05" t="n"/>
      <c r="Z194" s="105" t="n"/>
    </row>
    <row r="195" ht="14.25" customHeight="1">
      <c r="A195" s="106" t="inlineStr">
        <is>
          <t>Вареные колбасы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06" t="n"/>
      <c r="Z195" s="106" t="n"/>
    </row>
    <row r="196" ht="27" customHeight="1">
      <c r="A196" s="49" t="inlineStr">
        <is>
          <t>SU000057</t>
        </is>
      </c>
      <c r="B196" s="49" t="inlineStr">
        <is>
          <t>P002047</t>
        </is>
      </c>
      <c r="C196" s="50" t="n">
        <v>4301011346</v>
      </c>
      <c r="D196" s="107" t="n">
        <v>4607091387445</v>
      </c>
      <c r="E196" s="128" t="n"/>
      <c r="F196" s="162" t="n">
        <v>0.9</v>
      </c>
      <c r="G196" s="52" t="n">
        <v>10</v>
      </c>
      <c r="H196" s="162" t="n">
        <v>9</v>
      </c>
      <c r="I196" s="162" t="n">
        <v>9.630000000000001</v>
      </c>
      <c r="J196" s="52" t="n">
        <v>56</v>
      </c>
      <c r="K196" s="52" t="inlineStr">
        <is>
          <t>8</t>
        </is>
      </c>
      <c r="L196" s="53" t="inlineStr">
        <is>
          <t>СК1</t>
        </is>
      </c>
      <c r="M196" s="52" t="n">
        <v>31</v>
      </c>
      <c r="N196" s="1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163" t="n"/>
      <c r="P196" s="163" t="n"/>
      <c r="Q196" s="163" t="n"/>
      <c r="R196" s="128" t="n"/>
      <c r="S196" s="54" t="n"/>
      <c r="T196" s="54" t="n"/>
      <c r="U196" s="55" t="inlineStr">
        <is>
          <t>кг</t>
        </is>
      </c>
      <c r="V196" s="164" t="n">
        <v>0</v>
      </c>
      <c r="W196" s="165">
        <f>IFERROR(IF(V196="",0,CEILING((V196/$H196),1)*$H196),"")</f>
        <v/>
      </c>
      <c r="X196" s="58">
        <f>IFERROR(IF(W196=0,"",ROUNDUP(W196/H196,0)*0.02175),"")</f>
        <v/>
      </c>
      <c r="Y196" s="59" t="n"/>
      <c r="Z196" s="60" t="n"/>
      <c r="AD196" s="61" t="n"/>
      <c r="BA196" s="62" t="inlineStr">
        <is>
          <t>КИ</t>
        </is>
      </c>
    </row>
    <row r="197" ht="27" customHeight="1">
      <c r="A197" s="49" t="inlineStr">
        <is>
          <t>SU001777</t>
        </is>
      </c>
      <c r="B197" s="49" t="inlineStr">
        <is>
          <t>P002226</t>
        </is>
      </c>
      <c r="C197" s="50" t="n">
        <v>4301011362</v>
      </c>
      <c r="D197" s="107" t="n">
        <v>4607091386004</v>
      </c>
      <c r="E197" s="128" t="n"/>
      <c r="F197" s="162" t="n">
        <v>1.35</v>
      </c>
      <c r="G197" s="52" t="n">
        <v>8</v>
      </c>
      <c r="H197" s="162" t="n">
        <v>10.8</v>
      </c>
      <c r="I197" s="162" t="n">
        <v>11.28</v>
      </c>
      <c r="J197" s="52" t="n">
        <v>48</v>
      </c>
      <c r="K197" s="52" t="inlineStr">
        <is>
          <t>8</t>
        </is>
      </c>
      <c r="L197" s="53" t="inlineStr">
        <is>
          <t>ВЗ</t>
        </is>
      </c>
      <c r="M197" s="52" t="n">
        <v>55</v>
      </c>
      <c r="N197" s="1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163" t="n"/>
      <c r="P197" s="163" t="n"/>
      <c r="Q197" s="163" t="n"/>
      <c r="R197" s="128" t="n"/>
      <c r="S197" s="54" t="n"/>
      <c r="T197" s="54" t="n"/>
      <c r="U197" s="55" t="inlineStr">
        <is>
          <t>кг</t>
        </is>
      </c>
      <c r="V197" s="164" t="n">
        <v>0</v>
      </c>
      <c r="W197" s="165">
        <f>IFERROR(IF(V197="",0,CEILING((V197/$H197),1)*$H197),"")</f>
        <v/>
      </c>
      <c r="X197" s="58">
        <f>IFERROR(IF(W197=0,"",ROUNDUP(W197/H197,0)*0.02039),"")</f>
        <v/>
      </c>
      <c r="Y197" s="59" t="n"/>
      <c r="Z197" s="60" t="n"/>
      <c r="AD197" s="61" t="n"/>
      <c r="BA197" s="62" t="inlineStr">
        <is>
          <t>КИ</t>
        </is>
      </c>
    </row>
    <row r="198" ht="27" customHeight="1">
      <c r="A198" s="49" t="inlineStr">
        <is>
          <t>SU001777</t>
        </is>
      </c>
      <c r="B198" s="49" t="inlineStr">
        <is>
          <t>P001777</t>
        </is>
      </c>
      <c r="C198" s="50" t="n">
        <v>4301011308</v>
      </c>
      <c r="D198" s="107" t="n">
        <v>4607091386004</v>
      </c>
      <c r="E198" s="128" t="n"/>
      <c r="F198" s="162" t="n">
        <v>1.35</v>
      </c>
      <c r="G198" s="52" t="n">
        <v>8</v>
      </c>
      <c r="H198" s="162" t="n">
        <v>10.8</v>
      </c>
      <c r="I198" s="162" t="n">
        <v>11.28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55</v>
      </c>
      <c r="N198" s="10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D198" s="61" t="n"/>
      <c r="BA198" s="62" t="inlineStr">
        <is>
          <t>КИ</t>
        </is>
      </c>
    </row>
    <row r="199" ht="27" customHeight="1">
      <c r="A199" s="49" t="inlineStr">
        <is>
          <t>SU000058</t>
        </is>
      </c>
      <c r="B199" s="49" t="inlineStr">
        <is>
          <t>P002048</t>
        </is>
      </c>
      <c r="C199" s="50" t="n">
        <v>4301011347</v>
      </c>
      <c r="D199" s="107" t="n">
        <v>4607091386073</v>
      </c>
      <c r="E199" s="128" t="n"/>
      <c r="F199" s="162" t="n">
        <v>0.9</v>
      </c>
      <c r="G199" s="52" t="n">
        <v>10</v>
      </c>
      <c r="H199" s="162" t="n">
        <v>9</v>
      </c>
      <c r="I199" s="162" t="n">
        <v>9.630000000000001</v>
      </c>
      <c r="J199" s="52" t="n">
        <v>56</v>
      </c>
      <c r="K199" s="52" t="inlineStr">
        <is>
          <t>8</t>
        </is>
      </c>
      <c r="L199" s="53" t="inlineStr">
        <is>
          <t>СК1</t>
        </is>
      </c>
      <c r="M199" s="52" t="n">
        <v>31</v>
      </c>
      <c r="N199" s="10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IFERROR(IF(W199=0,"",ROUNDUP(W199/H199,0)*0.02175),"")</f>
        <v/>
      </c>
      <c r="Y199" s="59" t="n"/>
      <c r="Z199" s="60" t="n"/>
      <c r="AD199" s="61" t="n"/>
      <c r="BA199" s="62" t="inlineStr">
        <is>
          <t>КИ</t>
        </is>
      </c>
    </row>
    <row r="200" ht="27" customHeight="1">
      <c r="A200" s="49" t="inlineStr">
        <is>
          <t>SU001780</t>
        </is>
      </c>
      <c r="B200" s="49" t="inlineStr">
        <is>
          <t>P001780</t>
        </is>
      </c>
      <c r="C200" s="50" t="n">
        <v>4301010928</v>
      </c>
      <c r="D200" s="107" t="n">
        <v>4607091387322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1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D200" s="61" t="n"/>
      <c r="BA200" s="62" t="inlineStr">
        <is>
          <t>КИ</t>
        </is>
      </c>
    </row>
    <row r="201" ht="27" customHeight="1">
      <c r="A201" s="49" t="inlineStr">
        <is>
          <t>SU001780</t>
        </is>
      </c>
      <c r="B201" s="49" t="inlineStr">
        <is>
          <t>P003075</t>
        </is>
      </c>
      <c r="C201" s="50" t="n">
        <v>4301011395</v>
      </c>
      <c r="D201" s="107" t="n">
        <v>4607091387322</v>
      </c>
      <c r="E201" s="128" t="n"/>
      <c r="F201" s="162" t="n">
        <v>1.35</v>
      </c>
      <c r="G201" s="52" t="n">
        <v>8</v>
      </c>
      <c r="H201" s="162" t="n">
        <v>10.8</v>
      </c>
      <c r="I201" s="162" t="n">
        <v>11.28</v>
      </c>
      <c r="J201" s="52" t="n">
        <v>48</v>
      </c>
      <c r="K201" s="52" t="inlineStr">
        <is>
          <t>8</t>
        </is>
      </c>
      <c r="L201" s="53" t="inlineStr">
        <is>
          <t>ВЗ</t>
        </is>
      </c>
      <c r="M201" s="52" t="n">
        <v>55</v>
      </c>
      <c r="N201" s="1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IFERROR(IF(W201=0,"",ROUNDUP(W201/H201,0)*0.02039),"")</f>
        <v/>
      </c>
      <c r="Y201" s="59" t="n"/>
      <c r="Z201" s="60" t="n"/>
      <c r="AD201" s="61" t="n"/>
      <c r="BA201" s="62" t="inlineStr">
        <is>
          <t>КИ</t>
        </is>
      </c>
    </row>
    <row r="202" ht="27" customHeight="1">
      <c r="A202" s="49" t="inlineStr">
        <is>
          <t>SU001778</t>
        </is>
      </c>
      <c r="B202" s="49" t="inlineStr">
        <is>
          <t>P001778</t>
        </is>
      </c>
      <c r="C202" s="50" t="n">
        <v>4301011311</v>
      </c>
      <c r="D202" s="107" t="n">
        <v>4607091387377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56</v>
      </c>
      <c r="K202" s="52" t="inlineStr">
        <is>
          <t>8</t>
        </is>
      </c>
      <c r="L202" s="53" t="inlineStr">
        <is>
          <t>СК1</t>
        </is>
      </c>
      <c r="M202" s="52" t="n">
        <v>55</v>
      </c>
      <c r="N202" s="1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IFERROR(IF(W202=0,"",ROUNDUP(W202/H202,0)*0.02175),"")</f>
        <v/>
      </c>
      <c r="Y202" s="59" t="n"/>
      <c r="Z202" s="60" t="n"/>
      <c r="AD202" s="61" t="n"/>
      <c r="BA202" s="62" t="inlineStr">
        <is>
          <t>КИ</t>
        </is>
      </c>
    </row>
    <row r="203" ht="27" customHeight="1">
      <c r="A203" s="49" t="inlineStr">
        <is>
          <t>SU000043</t>
        </is>
      </c>
      <c r="B203" s="49" t="inlineStr">
        <is>
          <t>P001807</t>
        </is>
      </c>
      <c r="C203" s="50" t="n">
        <v>4301010945</v>
      </c>
      <c r="D203" s="107" t="n">
        <v>4607091387353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1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D203" s="61" t="n"/>
      <c r="BA203" s="62" t="inlineStr">
        <is>
          <t>КИ</t>
        </is>
      </c>
    </row>
    <row r="204" ht="27" customHeight="1">
      <c r="A204" s="49" t="inlineStr">
        <is>
          <t>SU001800</t>
        </is>
      </c>
      <c r="B204" s="49" t="inlineStr">
        <is>
          <t>P001800</t>
        </is>
      </c>
      <c r="C204" s="50" t="n">
        <v>4301011328</v>
      </c>
      <c r="D204" s="107" t="n">
        <v>4607091386011</v>
      </c>
      <c r="E204" s="128" t="n"/>
      <c r="F204" s="162" t="n">
        <v>0.5</v>
      </c>
      <c r="G204" s="52" t="n">
        <v>10</v>
      </c>
      <c r="H204" s="162" t="n">
        <v>5</v>
      </c>
      <c r="I204" s="162" t="n">
        <v>5.21</v>
      </c>
      <c r="J204" s="52" t="n">
        <v>120</v>
      </c>
      <c r="K204" s="52" t="inlineStr">
        <is>
          <t>12</t>
        </is>
      </c>
      <c r="L204" s="53" t="inlineStr">
        <is>
          <t>СК2</t>
        </is>
      </c>
      <c r="M204" s="52" t="n">
        <v>55</v>
      </c>
      <c r="N204" s="1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IFERROR(IF(W204=0,"",ROUNDUP(W204/H204,0)*0.00937),"")</f>
        <v/>
      </c>
      <c r="Y204" s="59" t="n"/>
      <c r="Z204" s="60" t="n"/>
      <c r="AD204" s="61" t="n"/>
      <c r="BA204" s="62" t="inlineStr">
        <is>
          <t>КИ</t>
        </is>
      </c>
    </row>
    <row r="205" ht="27" customHeight="1">
      <c r="A205" s="49" t="inlineStr">
        <is>
          <t>SU001805</t>
        </is>
      </c>
      <c r="B205" s="49" t="inlineStr">
        <is>
          <t>P001805</t>
        </is>
      </c>
      <c r="C205" s="50" t="n">
        <v>4301011329</v>
      </c>
      <c r="D205" s="107" t="n">
        <v>4607091387308</v>
      </c>
      <c r="E205" s="128" t="n"/>
      <c r="F205" s="162" t="n">
        <v>0.5</v>
      </c>
      <c r="G205" s="52" t="n">
        <v>10</v>
      </c>
      <c r="H205" s="162" t="n">
        <v>5</v>
      </c>
      <c r="I205" s="162" t="n">
        <v>5.21</v>
      </c>
      <c r="J205" s="52" t="n">
        <v>120</v>
      </c>
      <c r="K205" s="52" t="inlineStr">
        <is>
          <t>12</t>
        </is>
      </c>
      <c r="L205" s="53" t="inlineStr">
        <is>
          <t>СК2</t>
        </is>
      </c>
      <c r="M205" s="52" t="n">
        <v>55</v>
      </c>
      <c r="N205" s="10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IFERROR(IF(W205=0,"",ROUNDUP(W205/H205,0)*0.00937),"")</f>
        <v/>
      </c>
      <c r="Y205" s="59" t="n"/>
      <c r="Z205" s="60" t="n"/>
      <c r="AD205" s="61" t="n"/>
      <c r="BA205" s="62" t="inlineStr">
        <is>
          <t>КИ</t>
        </is>
      </c>
    </row>
    <row r="206" ht="27" customHeight="1">
      <c r="A206" s="49" t="inlineStr">
        <is>
          <t>SU001829</t>
        </is>
      </c>
      <c r="B206" s="49" t="inlineStr">
        <is>
          <t>P001829</t>
        </is>
      </c>
      <c r="C206" s="50" t="n">
        <v>4301011049</v>
      </c>
      <c r="D206" s="107" t="n">
        <v>4607091387339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5.24</v>
      </c>
      <c r="J206" s="52" t="n">
        <v>120</v>
      </c>
      <c r="K206" s="52" t="inlineStr">
        <is>
          <t>12</t>
        </is>
      </c>
      <c r="L206" s="53" t="inlineStr">
        <is>
          <t>СК1</t>
        </is>
      </c>
      <c r="M206" s="52" t="n">
        <v>55</v>
      </c>
      <c r="N206" s="1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D206" s="61" t="n"/>
      <c r="BA206" s="62" t="inlineStr">
        <is>
          <t>КИ</t>
        </is>
      </c>
    </row>
    <row r="207" ht="27" customHeight="1">
      <c r="A207" s="49" t="inlineStr">
        <is>
          <t>SU002787</t>
        </is>
      </c>
      <c r="B207" s="49" t="inlineStr">
        <is>
          <t>P003189</t>
        </is>
      </c>
      <c r="C207" s="50" t="n">
        <v>4301011433</v>
      </c>
      <c r="D207" s="107" t="n">
        <v>4680115882638</v>
      </c>
      <c r="E207" s="128" t="n"/>
      <c r="F207" s="162" t="n">
        <v>0.4</v>
      </c>
      <c r="G207" s="52" t="n">
        <v>10</v>
      </c>
      <c r="H207" s="162" t="n">
        <v>4</v>
      </c>
      <c r="I207" s="162" t="n">
        <v>4.24</v>
      </c>
      <c r="J207" s="52" t="n">
        <v>120</v>
      </c>
      <c r="K207" s="52" t="inlineStr">
        <is>
          <t>12</t>
        </is>
      </c>
      <c r="L207" s="53" t="inlineStr">
        <is>
          <t>СК1</t>
        </is>
      </c>
      <c r="M207" s="52" t="n">
        <v>90</v>
      </c>
      <c r="N207" s="1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D207" s="61" t="n"/>
      <c r="BA207" s="62" t="inlineStr">
        <is>
          <t>КИ</t>
        </is>
      </c>
    </row>
    <row r="208" ht="27" customHeight="1">
      <c r="A208" s="49" t="inlineStr">
        <is>
          <t>SU002894</t>
        </is>
      </c>
      <c r="B208" s="49" t="inlineStr">
        <is>
          <t>P003314</t>
        </is>
      </c>
      <c r="C208" s="50" t="n">
        <v>4301011573</v>
      </c>
      <c r="D208" s="107" t="n">
        <v>4680115881938</v>
      </c>
      <c r="E208" s="128" t="n"/>
      <c r="F208" s="162" t="n">
        <v>0.4</v>
      </c>
      <c r="G208" s="52" t="n">
        <v>10</v>
      </c>
      <c r="H208" s="162" t="n">
        <v>4</v>
      </c>
      <c r="I208" s="162" t="n">
        <v>4.24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90</v>
      </c>
      <c r="N208" s="1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D208" s="61" t="n"/>
      <c r="BA208" s="62" t="inlineStr">
        <is>
          <t>КИ</t>
        </is>
      </c>
    </row>
    <row r="209" ht="27" customHeight="1">
      <c r="A209" s="49" t="inlineStr">
        <is>
          <t>SU000078</t>
        </is>
      </c>
      <c r="B209" s="49" t="inlineStr">
        <is>
          <t>P001806</t>
        </is>
      </c>
      <c r="C209" s="50" t="n">
        <v>4301010944</v>
      </c>
      <c r="D209" s="107" t="n">
        <v>4607091387346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55</v>
      </c>
      <c r="N209" s="1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D209" s="61" t="n"/>
      <c r="BA209" s="62" t="inlineStr">
        <is>
          <t>КИ</t>
        </is>
      </c>
    </row>
    <row r="210" ht="27" customHeight="1">
      <c r="A210" s="49" t="inlineStr">
        <is>
          <t>SU002616</t>
        </is>
      </c>
      <c r="B210" s="49" t="inlineStr">
        <is>
          <t>P002950</t>
        </is>
      </c>
      <c r="C210" s="50" t="n">
        <v>4301011353</v>
      </c>
      <c r="D210" s="107" t="n">
        <v>4607091389807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55</v>
      </c>
      <c r="N210" s="1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D210" s="61" t="n"/>
      <c r="BA210" s="62" t="inlineStr">
        <is>
          <t>КИ</t>
        </is>
      </c>
    </row>
    <row r="211">
      <c r="A211" s="10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66" t="n"/>
      <c r="N211" s="110" t="inlineStr">
        <is>
          <t>Итого</t>
        </is>
      </c>
      <c r="O211" s="134" t="n"/>
      <c r="P211" s="134" t="n"/>
      <c r="Q211" s="134" t="n"/>
      <c r="R211" s="134" t="n"/>
      <c r="S211" s="134" t="n"/>
      <c r="T211" s="135" t="n"/>
      <c r="U211" s="63" t="inlineStr">
        <is>
          <t>кор</t>
        </is>
      </c>
      <c r="V211" s="16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16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16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168" t="n"/>
      <c r="Z211" s="168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66" t="n"/>
      <c r="N212" s="110" t="inlineStr">
        <is>
          <t>Итого</t>
        </is>
      </c>
      <c r="O212" s="134" t="n"/>
      <c r="P212" s="134" t="n"/>
      <c r="Q212" s="134" t="n"/>
      <c r="R212" s="134" t="n"/>
      <c r="S212" s="134" t="n"/>
      <c r="T212" s="135" t="n"/>
      <c r="U212" s="63" t="inlineStr">
        <is>
          <t>кг</t>
        </is>
      </c>
      <c r="V212" s="167">
        <f>IFERROR(SUM(V196:V210),"0")</f>
        <v/>
      </c>
      <c r="W212" s="167">
        <f>IFERROR(SUM(W196:W210),"0")</f>
        <v/>
      </c>
      <c r="X212" s="63" t="n"/>
      <c r="Y212" s="168" t="n"/>
      <c r="Z212" s="168" t="n"/>
    </row>
    <row r="213" ht="14.25" customHeight="1">
      <c r="A213" s="106" t="inlineStr">
        <is>
          <t>Ветчины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06" t="n"/>
      <c r="Z213" s="106" t="n"/>
    </row>
    <row r="214" ht="27" customHeight="1">
      <c r="A214" s="49" t="inlineStr">
        <is>
          <t>SU002788</t>
        </is>
      </c>
      <c r="B214" s="49" t="inlineStr">
        <is>
          <t>P003190</t>
        </is>
      </c>
      <c r="C214" s="50" t="n">
        <v>4301020254</v>
      </c>
      <c r="D214" s="107" t="n">
        <v>4680115881914</v>
      </c>
      <c r="E214" s="128" t="n"/>
      <c r="F214" s="162" t="n">
        <v>0.4</v>
      </c>
      <c r="G214" s="52" t="n">
        <v>10</v>
      </c>
      <c r="H214" s="162" t="n">
        <v>4</v>
      </c>
      <c r="I214" s="162" t="n">
        <v>4.24</v>
      </c>
      <c r="J214" s="52" t="n">
        <v>120</v>
      </c>
      <c r="K214" s="52" t="inlineStr">
        <is>
          <t>12</t>
        </is>
      </c>
      <c r="L214" s="53" t="inlineStr">
        <is>
          <t>СК1</t>
        </is>
      </c>
      <c r="M214" s="52" t="n">
        <v>90</v>
      </c>
      <c r="N214" s="1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163" t="n"/>
      <c r="P214" s="163" t="n"/>
      <c r="Q214" s="163" t="n"/>
      <c r="R214" s="128" t="n"/>
      <c r="S214" s="54" t="n"/>
      <c r="T214" s="54" t="n"/>
      <c r="U214" s="55" t="inlineStr">
        <is>
          <t>кг</t>
        </is>
      </c>
      <c r="V214" s="164" t="n">
        <v>0</v>
      </c>
      <c r="W214" s="165">
        <f>IFERROR(IF(V214="",0,CEILING((V214/$H214),1)*$H214),"")</f>
        <v/>
      </c>
      <c r="X214" s="58">
        <f>IFERROR(IF(W214=0,"",ROUNDUP(W214/H214,0)*0.00937),"")</f>
        <v/>
      </c>
      <c r="Y214" s="59" t="n"/>
      <c r="Z214" s="60" t="n"/>
      <c r="AD214" s="61" t="n"/>
      <c r="BA214" s="62" t="inlineStr">
        <is>
          <t>КИ</t>
        </is>
      </c>
    </row>
    <row r="215">
      <c r="A215" s="10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66" t="n"/>
      <c r="N215" s="110" t="inlineStr">
        <is>
          <t>Итого</t>
        </is>
      </c>
      <c r="O215" s="134" t="n"/>
      <c r="P215" s="134" t="n"/>
      <c r="Q215" s="134" t="n"/>
      <c r="R215" s="134" t="n"/>
      <c r="S215" s="134" t="n"/>
      <c r="T215" s="135" t="n"/>
      <c r="U215" s="63" t="inlineStr">
        <is>
          <t>кор</t>
        </is>
      </c>
      <c r="V215" s="167">
        <f>IFERROR(V214/H214,"0")</f>
        <v/>
      </c>
      <c r="W215" s="167">
        <f>IFERROR(W214/H214,"0")</f>
        <v/>
      </c>
      <c r="X215" s="167">
        <f>IFERROR(IF(X214="",0,X214),"0")</f>
        <v/>
      </c>
      <c r="Y215" s="168" t="n"/>
      <c r="Z215" s="168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66" t="n"/>
      <c r="N216" s="110" t="inlineStr">
        <is>
          <t>Итого</t>
        </is>
      </c>
      <c r="O216" s="134" t="n"/>
      <c r="P216" s="134" t="n"/>
      <c r="Q216" s="134" t="n"/>
      <c r="R216" s="134" t="n"/>
      <c r="S216" s="134" t="n"/>
      <c r="T216" s="135" t="n"/>
      <c r="U216" s="63" t="inlineStr">
        <is>
          <t>кг</t>
        </is>
      </c>
      <c r="V216" s="167">
        <f>IFERROR(SUM(V214:V214),"0")</f>
        <v/>
      </c>
      <c r="W216" s="167">
        <f>IFERROR(SUM(W214:W214),"0")</f>
        <v/>
      </c>
      <c r="X216" s="63" t="n"/>
      <c r="Y216" s="168" t="n"/>
      <c r="Z216" s="168" t="n"/>
    </row>
    <row r="217" ht="14.25" customHeight="1">
      <c r="A217" s="106" t="inlineStr">
        <is>
          <t>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06" t="n"/>
      <c r="Z217" s="106" t="n"/>
    </row>
    <row r="218" ht="27" customHeight="1">
      <c r="A218" s="49" t="inlineStr">
        <is>
          <t>SU001820</t>
        </is>
      </c>
      <c r="B218" s="49" t="inlineStr">
        <is>
          <t>P001820</t>
        </is>
      </c>
      <c r="C218" s="50" t="n">
        <v>4301030878</v>
      </c>
      <c r="D218" s="107" t="n">
        <v>4607091387193</v>
      </c>
      <c r="E218" s="128" t="n"/>
      <c r="F218" s="162" t="n">
        <v>0.7</v>
      </c>
      <c r="G218" s="52" t="n">
        <v>6</v>
      </c>
      <c r="H218" s="162" t="n">
        <v>4.2</v>
      </c>
      <c r="I218" s="162" t="n">
        <v>4.46</v>
      </c>
      <c r="J218" s="52" t="n">
        <v>156</v>
      </c>
      <c r="K218" s="52" t="inlineStr">
        <is>
          <t>12</t>
        </is>
      </c>
      <c r="L218" s="53" t="inlineStr">
        <is>
          <t>СК2</t>
        </is>
      </c>
      <c r="M218" s="52" t="n">
        <v>35</v>
      </c>
      <c r="N218" s="10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163" t="n"/>
      <c r="P218" s="163" t="n"/>
      <c r="Q218" s="163" t="n"/>
      <c r="R218" s="128" t="n"/>
      <c r="S218" s="54" t="n"/>
      <c r="T218" s="54" t="n"/>
      <c r="U218" s="55" t="inlineStr">
        <is>
          <t>кг</t>
        </is>
      </c>
      <c r="V218" s="164" t="n">
        <v>110</v>
      </c>
      <c r="W218" s="165">
        <f>IFERROR(IF(V218="",0,CEILING((V218/$H218),1)*$H218),"")</f>
        <v/>
      </c>
      <c r="X218" s="58">
        <f>IFERROR(IF(W218=0,"",ROUNDUP(W218/H218,0)*0.00753),"")</f>
        <v/>
      </c>
      <c r="Y218" s="59" t="n"/>
      <c r="Z218" s="60" t="n"/>
      <c r="AD218" s="61" t="n"/>
      <c r="BA218" s="62" t="inlineStr">
        <is>
          <t>КИ</t>
        </is>
      </c>
    </row>
    <row r="219" ht="27" customHeight="1">
      <c r="A219" s="49" t="inlineStr">
        <is>
          <t>SU001822</t>
        </is>
      </c>
      <c r="B219" s="49" t="inlineStr">
        <is>
          <t>P003013</t>
        </is>
      </c>
      <c r="C219" s="50" t="n">
        <v>4301031153</v>
      </c>
      <c r="D219" s="107" t="n">
        <v>4607091387230</v>
      </c>
      <c r="E219" s="128" t="n"/>
      <c r="F219" s="162" t="n">
        <v>0.7</v>
      </c>
      <c r="G219" s="52" t="n">
        <v>6</v>
      </c>
      <c r="H219" s="162" t="n">
        <v>4.2</v>
      </c>
      <c r="I219" s="162" t="n">
        <v>4.46</v>
      </c>
      <c r="J219" s="52" t="n">
        <v>156</v>
      </c>
      <c r="K219" s="52" t="inlineStr">
        <is>
          <t>12</t>
        </is>
      </c>
      <c r="L219" s="53" t="inlineStr">
        <is>
          <t>СК2</t>
        </is>
      </c>
      <c r="M219" s="52" t="n">
        <v>40</v>
      </c>
      <c r="N219" s="1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163" t="n"/>
      <c r="P219" s="163" t="n"/>
      <c r="Q219" s="163" t="n"/>
      <c r="R219" s="128" t="n"/>
      <c r="S219" s="54" t="n"/>
      <c r="T219" s="54" t="n"/>
      <c r="U219" s="55" t="inlineStr">
        <is>
          <t>кг</t>
        </is>
      </c>
      <c r="V219" s="164" t="n">
        <v>8</v>
      </c>
      <c r="W219" s="165">
        <f>IFERROR(IF(V219="",0,CEILING((V219/$H219),1)*$H219),"")</f>
        <v/>
      </c>
      <c r="X219" s="58">
        <f>IFERROR(IF(W219=0,"",ROUNDUP(W219/H219,0)*0.00753),"")</f>
        <v/>
      </c>
      <c r="Y219" s="59" t="n"/>
      <c r="Z219" s="60" t="n"/>
      <c r="AD219" s="61" t="n"/>
      <c r="BA219" s="62" t="inlineStr">
        <is>
          <t>КИ</t>
        </is>
      </c>
    </row>
    <row r="220" ht="27" customHeight="1">
      <c r="A220" s="49" t="inlineStr">
        <is>
          <t>SU002579</t>
        </is>
      </c>
      <c r="B220" s="49" t="inlineStr">
        <is>
          <t>P003012</t>
        </is>
      </c>
      <c r="C220" s="50" t="n">
        <v>4301031152</v>
      </c>
      <c r="D220" s="107" t="n">
        <v>4607091387285</v>
      </c>
      <c r="E220" s="128" t="n"/>
      <c r="F220" s="162" t="n">
        <v>0.35</v>
      </c>
      <c r="G220" s="52" t="n">
        <v>6</v>
      </c>
      <c r="H220" s="162" t="n">
        <v>2.1</v>
      </c>
      <c r="I220" s="162" t="n">
        <v>2.23</v>
      </c>
      <c r="J220" s="52" t="n">
        <v>234</v>
      </c>
      <c r="K220" s="52" t="inlineStr">
        <is>
          <t>18</t>
        </is>
      </c>
      <c r="L220" s="53" t="inlineStr">
        <is>
          <t>СК2</t>
        </is>
      </c>
      <c r="M220" s="52" t="n">
        <v>40</v>
      </c>
      <c r="N220" s="1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IFERROR(IF(W220=0,"",ROUNDUP(W220/H220,0)*0.00502),"")</f>
        <v/>
      </c>
      <c r="Y220" s="59" t="n"/>
      <c r="Z220" s="60" t="n"/>
      <c r="AD220" s="61" t="n"/>
      <c r="BA220" s="62" t="inlineStr">
        <is>
          <t>КИ</t>
        </is>
      </c>
    </row>
    <row r="221" ht="27" customHeight="1">
      <c r="A221" s="49" t="inlineStr">
        <is>
          <t>SU002617</t>
        </is>
      </c>
      <c r="B221" s="49" t="inlineStr">
        <is>
          <t>P002951</t>
        </is>
      </c>
      <c r="C221" s="50" t="n">
        <v>4301031151</v>
      </c>
      <c r="D221" s="107" t="n">
        <v>4607091389845</v>
      </c>
      <c r="E221" s="128" t="n"/>
      <c r="F221" s="162" t="n">
        <v>0.35</v>
      </c>
      <c r="G221" s="52" t="n">
        <v>6</v>
      </c>
      <c r="H221" s="162" t="n">
        <v>2.1</v>
      </c>
      <c r="I221" s="162" t="n">
        <v>2.2</v>
      </c>
      <c r="J221" s="52" t="n">
        <v>234</v>
      </c>
      <c r="K221" s="52" t="inlineStr">
        <is>
          <t>18</t>
        </is>
      </c>
      <c r="L221" s="53" t="inlineStr">
        <is>
          <t>СК2</t>
        </is>
      </c>
      <c r="M221" s="52" t="n">
        <v>40</v>
      </c>
      <c r="N221" s="1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IFERROR(IF(W221=0,"",ROUNDUP(W221/H221,0)*0.00502),"")</f>
        <v/>
      </c>
      <c r="Y221" s="59" t="n"/>
      <c r="Z221" s="60" t="n"/>
      <c r="AD221" s="61" t="n"/>
      <c r="BA221" s="62" t="inlineStr">
        <is>
          <t>КИ</t>
        </is>
      </c>
    </row>
    <row r="222">
      <c r="A222" s="109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66" t="n"/>
      <c r="N222" s="110" t="inlineStr">
        <is>
          <t>Итого</t>
        </is>
      </c>
      <c r="O222" s="134" t="n"/>
      <c r="P222" s="134" t="n"/>
      <c r="Q222" s="134" t="n"/>
      <c r="R222" s="134" t="n"/>
      <c r="S222" s="134" t="n"/>
      <c r="T222" s="135" t="n"/>
      <c r="U222" s="63" t="inlineStr">
        <is>
          <t>кор</t>
        </is>
      </c>
      <c r="V222" s="167">
        <f>IFERROR(V218/H218,"0")+IFERROR(V219/H219,"0")+IFERROR(V220/H220,"0")+IFERROR(V221/H221,"0")</f>
        <v/>
      </c>
      <c r="W222" s="167">
        <f>IFERROR(W218/H218,"0")+IFERROR(W219/H219,"0")+IFERROR(W220/H220,"0")+IFERROR(W221/H221,"0")</f>
        <v/>
      </c>
      <c r="X222" s="167">
        <f>IFERROR(IF(X218="",0,X218),"0")+IFERROR(IF(X219="",0,X219),"0")+IFERROR(IF(X220="",0,X220),"0")+IFERROR(IF(X221="",0,X221),"0")</f>
        <v/>
      </c>
      <c r="Y222" s="168" t="n"/>
      <c r="Z222" s="168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66" t="n"/>
      <c r="N223" s="110" t="inlineStr">
        <is>
          <t>Итого</t>
        </is>
      </c>
      <c r="O223" s="134" t="n"/>
      <c r="P223" s="134" t="n"/>
      <c r="Q223" s="134" t="n"/>
      <c r="R223" s="134" t="n"/>
      <c r="S223" s="134" t="n"/>
      <c r="T223" s="135" t="n"/>
      <c r="U223" s="63" t="inlineStr">
        <is>
          <t>кг</t>
        </is>
      </c>
      <c r="V223" s="167">
        <f>IFERROR(SUM(V218:V221),"0")</f>
        <v/>
      </c>
      <c r="W223" s="167">
        <f>IFERROR(SUM(W218:W221),"0")</f>
        <v/>
      </c>
      <c r="X223" s="63" t="n"/>
      <c r="Y223" s="168" t="n"/>
      <c r="Z223" s="168" t="n"/>
    </row>
    <row r="224" ht="14.25" customHeight="1">
      <c r="A224" s="106" t="inlineStr">
        <is>
          <t>Сосиски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06" t="n"/>
      <c r="Z224" s="106" t="n"/>
    </row>
    <row r="225" ht="16.5" customHeight="1">
      <c r="A225" s="49" t="inlineStr">
        <is>
          <t>SU001340</t>
        </is>
      </c>
      <c r="B225" s="49" t="inlineStr">
        <is>
          <t>P002209</t>
        </is>
      </c>
      <c r="C225" s="50" t="n">
        <v>4301051100</v>
      </c>
      <c r="D225" s="107" t="n">
        <v>4607091387766</v>
      </c>
      <c r="E225" s="128" t="n"/>
      <c r="F225" s="162" t="n">
        <v>1.35</v>
      </c>
      <c r="G225" s="52" t="n">
        <v>6</v>
      </c>
      <c r="H225" s="162" t="n">
        <v>8.1</v>
      </c>
      <c r="I225" s="162" t="n">
        <v>8.657999999999999</v>
      </c>
      <c r="J225" s="52" t="n">
        <v>56</v>
      </c>
      <c r="K225" s="52" t="inlineStr">
        <is>
          <t>8</t>
        </is>
      </c>
      <c r="L225" s="53" t="inlineStr">
        <is>
          <t>СК3</t>
        </is>
      </c>
      <c r="M225" s="52" t="n">
        <v>40</v>
      </c>
      <c r="N225" s="108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163" t="n"/>
      <c r="P225" s="163" t="n"/>
      <c r="Q225" s="163" t="n"/>
      <c r="R225" s="128" t="n"/>
      <c r="S225" s="54" t="n"/>
      <c r="T225" s="54" t="n"/>
      <c r="U225" s="55" t="inlineStr">
        <is>
          <t>кг</t>
        </is>
      </c>
      <c r="V225" s="164" t="n">
        <v>0</v>
      </c>
      <c r="W225" s="165">
        <f>IFERROR(IF(V225="",0,CEILING((V225/$H225),1)*$H225),"")</f>
        <v/>
      </c>
      <c r="X225" s="58">
        <f>IFERROR(IF(W225=0,"",ROUNDUP(W225/H225,0)*0.02175),"")</f>
        <v/>
      </c>
      <c r="Y225" s="59" t="n"/>
      <c r="Z225" s="60" t="n"/>
      <c r="AD225" s="61" t="n"/>
      <c r="BA225" s="62" t="inlineStr">
        <is>
          <t>КИ</t>
        </is>
      </c>
    </row>
    <row r="226" ht="27" customHeight="1">
      <c r="A226" s="49" t="inlineStr">
        <is>
          <t>SU001727</t>
        </is>
      </c>
      <c r="B226" s="49" t="inlineStr">
        <is>
          <t>P002205</t>
        </is>
      </c>
      <c r="C226" s="50" t="n">
        <v>4301051116</v>
      </c>
      <c r="D226" s="107" t="n">
        <v>4607091387957</v>
      </c>
      <c r="E226" s="128" t="n"/>
      <c r="F226" s="162" t="n">
        <v>1.3</v>
      </c>
      <c r="G226" s="52" t="n">
        <v>6</v>
      </c>
      <c r="H226" s="162" t="n">
        <v>7.8</v>
      </c>
      <c r="I226" s="162" t="n">
        <v>8.364000000000001</v>
      </c>
      <c r="J226" s="52" t="n">
        <v>56</v>
      </c>
      <c r="K226" s="52" t="inlineStr">
        <is>
          <t>8</t>
        </is>
      </c>
      <c r="L226" s="53" t="inlineStr">
        <is>
          <t>СК2</t>
        </is>
      </c>
      <c r="M226" s="52" t="n">
        <v>40</v>
      </c>
      <c r="N226" s="1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163" t="n"/>
      <c r="P226" s="163" t="n"/>
      <c r="Q226" s="163" t="n"/>
      <c r="R226" s="128" t="n"/>
      <c r="S226" s="54" t="n"/>
      <c r="T226" s="54" t="n"/>
      <c r="U226" s="55" t="inlineStr">
        <is>
          <t>кг</t>
        </is>
      </c>
      <c r="V226" s="164" t="n">
        <v>0</v>
      </c>
      <c r="W226" s="165">
        <f>IFERROR(IF(V226="",0,CEILING((V226/$H226),1)*$H226),"")</f>
        <v/>
      </c>
      <c r="X226" s="58">
        <f>IFERROR(IF(W226=0,"",ROUNDUP(W226/H226,0)*0.02175),"")</f>
        <v/>
      </c>
      <c r="Y226" s="59" t="n"/>
      <c r="Z226" s="60" t="n"/>
      <c r="AD226" s="61" t="n"/>
      <c r="BA226" s="62" t="inlineStr">
        <is>
          <t>КИ</t>
        </is>
      </c>
    </row>
    <row r="227" ht="27" customHeight="1">
      <c r="A227" s="49" t="inlineStr">
        <is>
          <t>SU001728</t>
        </is>
      </c>
      <c r="B227" s="49" t="inlineStr">
        <is>
          <t>P002207</t>
        </is>
      </c>
      <c r="C227" s="50" t="n">
        <v>4301051115</v>
      </c>
      <c r="D227" s="107" t="n">
        <v>4607091387964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8.646000000000001</v>
      </c>
      <c r="J227" s="52" t="n">
        <v>56</v>
      </c>
      <c r="K227" s="52" t="inlineStr">
        <is>
          <t>8</t>
        </is>
      </c>
      <c r="L227" s="53" t="inlineStr">
        <is>
          <t>СК2</t>
        </is>
      </c>
      <c r="M227" s="52" t="n">
        <v>40</v>
      </c>
      <c r="N227" s="10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D227" s="61" t="n"/>
      <c r="BA227" s="62" t="inlineStr">
        <is>
          <t>КИ</t>
        </is>
      </c>
    </row>
    <row r="228" ht="27" customHeight="1">
      <c r="A228" s="49" t="inlineStr">
        <is>
          <t>SU003168</t>
        </is>
      </c>
      <c r="B228" s="49" t="inlineStr">
        <is>
          <t>P003364</t>
        </is>
      </c>
      <c r="C228" s="50" t="n">
        <v>4301051485</v>
      </c>
      <c r="D228" s="107" t="n">
        <v>4680115883567</v>
      </c>
      <c r="E228" s="128" t="n"/>
      <c r="F228" s="162" t="n">
        <v>0.35</v>
      </c>
      <c r="G228" s="52" t="n">
        <v>6</v>
      </c>
      <c r="H228" s="162" t="n">
        <v>2.1</v>
      </c>
      <c r="I228" s="162" t="n">
        <v>2.36</v>
      </c>
      <c r="J228" s="52" t="n">
        <v>156</v>
      </c>
      <c r="K228" s="52" t="inlineStr">
        <is>
          <t>12</t>
        </is>
      </c>
      <c r="L228" s="53" t="inlineStr">
        <is>
          <t>СК2</t>
        </is>
      </c>
      <c r="M228" s="52" t="n">
        <v>40</v>
      </c>
      <c r="N228" s="115" t="inlineStr">
        <is>
          <t>Сосиски «Баварские с сыром» Фикс.вес 0,35 п/а ТМ «Стародворье»</t>
        </is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IFERROR(IF(W228=0,"",ROUNDUP(W228/H228,0)*0.00753),"")</f>
        <v/>
      </c>
      <c r="Y228" s="59" t="n"/>
      <c r="Z228" s="60" t="n"/>
      <c r="AD228" s="61" t="n"/>
      <c r="BA228" s="62" t="inlineStr">
        <is>
          <t>КИ</t>
        </is>
      </c>
    </row>
    <row r="229" ht="16.5" customHeight="1">
      <c r="A229" s="49" t="inlineStr">
        <is>
          <t>SU001341</t>
        </is>
      </c>
      <c r="B229" s="49" t="inlineStr">
        <is>
          <t>P002204</t>
        </is>
      </c>
      <c r="C229" s="50" t="n">
        <v>4301051134</v>
      </c>
      <c r="D229" s="107" t="n">
        <v>4607091381672</v>
      </c>
      <c r="E229" s="128" t="n"/>
      <c r="F229" s="162" t="n">
        <v>0.6</v>
      </c>
      <c r="G229" s="52" t="n">
        <v>6</v>
      </c>
      <c r="H229" s="162" t="n">
        <v>3.6</v>
      </c>
      <c r="I229" s="162" t="n">
        <v>3.876</v>
      </c>
      <c r="J229" s="52" t="n">
        <v>120</v>
      </c>
      <c r="K229" s="52" t="inlineStr">
        <is>
          <t>12</t>
        </is>
      </c>
      <c r="L229" s="53" t="inlineStr">
        <is>
          <t>СК2</t>
        </is>
      </c>
      <c r="M229" s="52" t="n">
        <v>40</v>
      </c>
      <c r="N229" s="1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IFERROR(IF(W229=0,"",ROUNDUP(W229/H229,0)*0.00937),"")</f>
        <v/>
      </c>
      <c r="Y229" s="59" t="n"/>
      <c r="Z229" s="60" t="n"/>
      <c r="AD229" s="61" t="n"/>
      <c r="BA229" s="62" t="inlineStr">
        <is>
          <t>КИ</t>
        </is>
      </c>
    </row>
    <row r="230" ht="27" customHeight="1">
      <c r="A230" s="49" t="inlineStr">
        <is>
          <t>SU001763</t>
        </is>
      </c>
      <c r="B230" s="49" t="inlineStr">
        <is>
          <t>P002206</t>
        </is>
      </c>
      <c r="C230" s="50" t="n">
        <v>4301051130</v>
      </c>
      <c r="D230" s="107" t="n">
        <v>4607091387537</v>
      </c>
      <c r="E230" s="128" t="n"/>
      <c r="F230" s="162" t="n">
        <v>0.45</v>
      </c>
      <c r="G230" s="52" t="n">
        <v>6</v>
      </c>
      <c r="H230" s="162" t="n">
        <v>2.7</v>
      </c>
      <c r="I230" s="162" t="n">
        <v>2.99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1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D230" s="61" t="n"/>
      <c r="BA230" s="62" t="inlineStr">
        <is>
          <t>КИ</t>
        </is>
      </c>
    </row>
    <row r="231" ht="27" customHeight="1">
      <c r="A231" s="49" t="inlineStr">
        <is>
          <t>SU001762</t>
        </is>
      </c>
      <c r="B231" s="49" t="inlineStr">
        <is>
          <t>P002208</t>
        </is>
      </c>
      <c r="C231" s="50" t="n">
        <v>4301051132</v>
      </c>
      <c r="D231" s="107" t="n">
        <v>4607091387513</v>
      </c>
      <c r="E231" s="128" t="n"/>
      <c r="F231" s="162" t="n">
        <v>0.45</v>
      </c>
      <c r="G231" s="52" t="n">
        <v>6</v>
      </c>
      <c r="H231" s="162" t="n">
        <v>2.7</v>
      </c>
      <c r="I231" s="162" t="n">
        <v>2.978</v>
      </c>
      <c r="J231" s="52" t="n">
        <v>156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1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IFERROR(IF(W231=0,"",ROUNDUP(W231/H231,0)*0.00753),"")</f>
        <v/>
      </c>
      <c r="Y231" s="59" t="n"/>
      <c r="Z231" s="60" t="n"/>
      <c r="AD231" s="61" t="n"/>
      <c r="BA231" s="62" t="inlineStr">
        <is>
          <t>КИ</t>
        </is>
      </c>
    </row>
    <row r="232" ht="27" customHeight="1">
      <c r="A232" s="49" t="inlineStr">
        <is>
          <t>SU002619</t>
        </is>
      </c>
      <c r="B232" s="49" t="inlineStr">
        <is>
          <t>P002953</t>
        </is>
      </c>
      <c r="C232" s="50" t="n">
        <v>4301051277</v>
      </c>
      <c r="D232" s="107" t="n">
        <v>4680115880511</v>
      </c>
      <c r="E232" s="128" t="n"/>
      <c r="F232" s="162" t="n">
        <v>0.33</v>
      </c>
      <c r="G232" s="52" t="n">
        <v>6</v>
      </c>
      <c r="H232" s="162" t="n">
        <v>1.98</v>
      </c>
      <c r="I232" s="162" t="n">
        <v>2.18</v>
      </c>
      <c r="J232" s="52" t="n">
        <v>156</v>
      </c>
      <c r="K232" s="52" t="inlineStr">
        <is>
          <t>12</t>
        </is>
      </c>
      <c r="L232" s="53" t="inlineStr">
        <is>
          <t>СК3</t>
        </is>
      </c>
      <c r="M232" s="52" t="n">
        <v>40</v>
      </c>
      <c r="N232" s="1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D232" s="61" t="n"/>
      <c r="BA232" s="62" t="inlineStr">
        <is>
          <t>КИ</t>
        </is>
      </c>
    </row>
    <row r="233">
      <c r="A233" s="109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66" t="n"/>
      <c r="N233" s="110" t="inlineStr">
        <is>
          <t>Итого</t>
        </is>
      </c>
      <c r="O233" s="134" t="n"/>
      <c r="P233" s="134" t="n"/>
      <c r="Q233" s="134" t="n"/>
      <c r="R233" s="134" t="n"/>
      <c r="S233" s="134" t="n"/>
      <c r="T233" s="135" t="n"/>
      <c r="U233" s="63" t="inlineStr">
        <is>
          <t>кор</t>
        </is>
      </c>
      <c r="V233" s="167">
        <f>IFERROR(V225/H225,"0")+IFERROR(V226/H226,"0")+IFERROR(V227/H227,"0")+IFERROR(V228/H228,"0")+IFERROR(V229/H229,"0")+IFERROR(V230/H230,"0")+IFERROR(V231/H231,"0")+IFERROR(V232/H232,"0")</f>
        <v/>
      </c>
      <c r="W233" s="167">
        <f>IFERROR(W225/H225,"0")+IFERROR(W226/H226,"0")+IFERROR(W227/H227,"0")+IFERROR(W228/H228,"0")+IFERROR(W229/H229,"0")+IFERROR(W230/H230,"0")+IFERROR(W231/H231,"0")+IFERROR(W232/H232,"0")</f>
        <v/>
      </c>
      <c r="X233" s="16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/>
      </c>
      <c r="Y233" s="168" t="n"/>
      <c r="Z233" s="168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66" t="n"/>
      <c r="N234" s="110" t="inlineStr">
        <is>
          <t>Итого</t>
        </is>
      </c>
      <c r="O234" s="134" t="n"/>
      <c r="P234" s="134" t="n"/>
      <c r="Q234" s="134" t="n"/>
      <c r="R234" s="134" t="n"/>
      <c r="S234" s="134" t="n"/>
      <c r="T234" s="135" t="n"/>
      <c r="U234" s="63" t="inlineStr">
        <is>
          <t>кг</t>
        </is>
      </c>
      <c r="V234" s="167">
        <f>IFERROR(SUM(V225:V232),"0")</f>
        <v/>
      </c>
      <c r="W234" s="167">
        <f>IFERROR(SUM(W225:W232),"0")</f>
        <v/>
      </c>
      <c r="X234" s="63" t="n"/>
      <c r="Y234" s="168" t="n"/>
      <c r="Z234" s="168" t="n"/>
    </row>
    <row r="235" ht="14.25" customHeight="1">
      <c r="A235" s="106" t="inlineStr">
        <is>
          <t>Сардельки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06" t="n"/>
      <c r="Z235" s="106" t="n"/>
    </row>
    <row r="236" ht="16.5" customHeight="1">
      <c r="A236" s="49" t="inlineStr">
        <is>
          <t>SU001051</t>
        </is>
      </c>
      <c r="B236" s="49" t="inlineStr">
        <is>
          <t>P002061</t>
        </is>
      </c>
      <c r="C236" s="50" t="n">
        <v>4301060326</v>
      </c>
      <c r="D236" s="107" t="n">
        <v>4607091380880</v>
      </c>
      <c r="E236" s="128" t="n"/>
      <c r="F236" s="162" t="n">
        <v>1.4</v>
      </c>
      <c r="G236" s="52" t="n">
        <v>6</v>
      </c>
      <c r="H236" s="162" t="n">
        <v>8.4</v>
      </c>
      <c r="I236" s="162" t="n">
        <v>8.964</v>
      </c>
      <c r="J236" s="52" t="n">
        <v>56</v>
      </c>
      <c r="K236" s="52" t="inlineStr">
        <is>
          <t>8</t>
        </is>
      </c>
      <c r="L236" s="53" t="inlineStr">
        <is>
          <t>СК2</t>
        </is>
      </c>
      <c r="M236" s="52" t="n">
        <v>30</v>
      </c>
      <c r="N236" s="108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163" t="n"/>
      <c r="P236" s="163" t="n"/>
      <c r="Q236" s="163" t="n"/>
      <c r="R236" s="128" t="n"/>
      <c r="S236" s="54" t="n"/>
      <c r="T236" s="54" t="n"/>
      <c r="U236" s="55" t="inlineStr">
        <is>
          <t>кг</t>
        </is>
      </c>
      <c r="V236" s="164" t="n">
        <v>30</v>
      </c>
      <c r="W236" s="165">
        <f>IFERROR(IF(V236="",0,CEILING((V236/$H236),1)*$H236),"")</f>
        <v/>
      </c>
      <c r="X236" s="58">
        <f>IFERROR(IF(W236=0,"",ROUNDUP(W236/H236,0)*0.02175),"")</f>
        <v/>
      </c>
      <c r="Y236" s="59" t="n"/>
      <c r="Z236" s="60" t="n"/>
      <c r="AD236" s="61" t="n"/>
      <c r="BA236" s="62" t="inlineStr">
        <is>
          <t>КИ</t>
        </is>
      </c>
    </row>
    <row r="237" ht="27" customHeight="1">
      <c r="A237" s="49" t="inlineStr">
        <is>
          <t>SU000227</t>
        </is>
      </c>
      <c r="B237" s="49" t="inlineStr">
        <is>
          <t>P002536</t>
        </is>
      </c>
      <c r="C237" s="50" t="n">
        <v>4301060308</v>
      </c>
      <c r="D237" s="107" t="n">
        <v>4607091384482</v>
      </c>
      <c r="E237" s="128" t="n"/>
      <c r="F237" s="162" t="n">
        <v>1.3</v>
      </c>
      <c r="G237" s="52" t="n">
        <v>6</v>
      </c>
      <c r="H237" s="162" t="n">
        <v>7.8</v>
      </c>
      <c r="I237" s="162" t="n">
        <v>8.364000000000001</v>
      </c>
      <c r="J237" s="52" t="n">
        <v>56</v>
      </c>
      <c r="K237" s="52" t="inlineStr">
        <is>
          <t>8</t>
        </is>
      </c>
      <c r="L237" s="53" t="inlineStr">
        <is>
          <t>СК2</t>
        </is>
      </c>
      <c r="M237" s="52" t="n">
        <v>30</v>
      </c>
      <c r="N237" s="1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163" t="n"/>
      <c r="P237" s="163" t="n"/>
      <c r="Q237" s="163" t="n"/>
      <c r="R237" s="128" t="n"/>
      <c r="S237" s="54" t="n"/>
      <c r="T237" s="54" t="n"/>
      <c r="U237" s="55" t="inlineStr">
        <is>
          <t>кг</t>
        </is>
      </c>
      <c r="V237" s="164" t="n">
        <v>82</v>
      </c>
      <c r="W237" s="165">
        <f>IFERROR(IF(V237="",0,CEILING((V237/$H237),1)*$H237),"")</f>
        <v/>
      </c>
      <c r="X237" s="58">
        <f>IFERROR(IF(W237=0,"",ROUNDUP(W237/H237,0)*0.02175),"")</f>
        <v/>
      </c>
      <c r="Y237" s="59" t="n"/>
      <c r="Z237" s="60" t="n"/>
      <c r="AD237" s="61" t="n"/>
      <c r="BA237" s="62" t="inlineStr">
        <is>
          <t>КИ</t>
        </is>
      </c>
    </row>
    <row r="238" ht="16.5" customHeight="1">
      <c r="A238" s="49" t="inlineStr">
        <is>
          <t>SU001430</t>
        </is>
      </c>
      <c r="B238" s="49" t="inlineStr">
        <is>
          <t>P002036</t>
        </is>
      </c>
      <c r="C238" s="50" t="n">
        <v>4301060325</v>
      </c>
      <c r="D238" s="107" t="n">
        <v>4607091380897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108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50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D238" s="61" t="n"/>
      <c r="BA238" s="62" t="inlineStr">
        <is>
          <t>КИ</t>
        </is>
      </c>
    </row>
    <row r="239">
      <c r="A239" s="109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66" t="n"/>
      <c r="N239" s="110" t="inlineStr">
        <is>
          <t>Итого</t>
        </is>
      </c>
      <c r="O239" s="134" t="n"/>
      <c r="P239" s="134" t="n"/>
      <c r="Q239" s="134" t="n"/>
      <c r="R239" s="134" t="n"/>
      <c r="S239" s="134" t="n"/>
      <c r="T239" s="135" t="n"/>
      <c r="U239" s="63" t="inlineStr">
        <is>
          <t>кор</t>
        </is>
      </c>
      <c r="V239" s="167">
        <f>IFERROR(V236/H236,"0")+IFERROR(V237/H237,"0")+IFERROR(V238/H238,"0")</f>
        <v/>
      </c>
      <c r="W239" s="167">
        <f>IFERROR(W236/H236,"0")+IFERROR(W237/H237,"0")+IFERROR(W238/H238,"0")</f>
        <v/>
      </c>
      <c r="X239" s="167">
        <f>IFERROR(IF(X236="",0,X236),"0")+IFERROR(IF(X237="",0,X237),"0")+IFERROR(IF(X238="",0,X238),"0")</f>
        <v/>
      </c>
      <c r="Y239" s="168" t="n"/>
      <c r="Z239" s="168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66" t="n"/>
      <c r="N240" s="110" t="inlineStr">
        <is>
          <t>Итого</t>
        </is>
      </c>
      <c r="O240" s="134" t="n"/>
      <c r="P240" s="134" t="n"/>
      <c r="Q240" s="134" t="n"/>
      <c r="R240" s="134" t="n"/>
      <c r="S240" s="134" t="n"/>
      <c r="T240" s="135" t="n"/>
      <c r="U240" s="63" t="inlineStr">
        <is>
          <t>кг</t>
        </is>
      </c>
      <c r="V240" s="167">
        <f>IFERROR(SUM(V236:V238),"0")</f>
        <v/>
      </c>
      <c r="W240" s="167">
        <f>IFERROR(SUM(W236:W238),"0")</f>
        <v/>
      </c>
      <c r="X240" s="63" t="n"/>
      <c r="Y240" s="168" t="n"/>
      <c r="Z240" s="168" t="n"/>
    </row>
    <row r="241" ht="14.25" customHeight="1">
      <c r="A241" s="106" t="inlineStr">
        <is>
          <t>Сырокопченые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06" t="n"/>
      <c r="Z241" s="106" t="n"/>
    </row>
    <row r="242" ht="16.5" customHeight="1">
      <c r="A242" s="49" t="inlineStr">
        <is>
          <t>SU001920</t>
        </is>
      </c>
      <c r="B242" s="49" t="inlineStr">
        <is>
          <t>P001900</t>
        </is>
      </c>
      <c r="C242" s="50" t="n">
        <v>4301030232</v>
      </c>
      <c r="D242" s="107" t="n">
        <v>4607091388374</v>
      </c>
      <c r="E242" s="128" t="n"/>
      <c r="F242" s="162" t="n">
        <v>0.38</v>
      </c>
      <c r="G242" s="52" t="n">
        <v>8</v>
      </c>
      <c r="H242" s="162" t="n">
        <v>3.04</v>
      </c>
      <c r="I242" s="162" t="n">
        <v>3.28</v>
      </c>
      <c r="J242" s="52" t="n">
        <v>156</v>
      </c>
      <c r="K242" s="52" t="inlineStr">
        <is>
          <t>12</t>
        </is>
      </c>
      <c r="L242" s="53" t="inlineStr">
        <is>
          <t>АК</t>
        </is>
      </c>
      <c r="M242" s="52" t="n">
        <v>180</v>
      </c>
      <c r="N242" s="115" t="inlineStr">
        <is>
          <t>С/к колбасы Княжеская Бордо Весовые б/о терм/п Стародворье</t>
        </is>
      </c>
      <c r="O242" s="163" t="n"/>
      <c r="P242" s="163" t="n"/>
      <c r="Q242" s="163" t="n"/>
      <c r="R242" s="128" t="n"/>
      <c r="S242" s="54" t="n"/>
      <c r="T242" s="54" t="n"/>
      <c r="U242" s="55" t="inlineStr">
        <is>
          <t>кг</t>
        </is>
      </c>
      <c r="V242" s="164" t="n">
        <v>0</v>
      </c>
      <c r="W242" s="165">
        <f>IFERROR(IF(V242="",0,CEILING((V242/$H242),1)*$H242),"")</f>
        <v/>
      </c>
      <c r="X242" s="58">
        <f>IFERROR(IF(W242=0,"",ROUNDUP(W242/H242,0)*0.00753),"")</f>
        <v/>
      </c>
      <c r="Y242" s="59" t="n"/>
      <c r="Z242" s="60" t="n"/>
      <c r="AD242" s="61" t="n"/>
      <c r="BA242" s="62" t="inlineStr">
        <is>
          <t>КИ</t>
        </is>
      </c>
    </row>
    <row r="243" ht="27" customHeight="1">
      <c r="A243" s="49" t="inlineStr">
        <is>
          <t>SU001921</t>
        </is>
      </c>
      <c r="B243" s="49" t="inlineStr">
        <is>
          <t>P001916</t>
        </is>
      </c>
      <c r="C243" s="50" t="n">
        <v>4301030235</v>
      </c>
      <c r="D243" s="107" t="n">
        <v>4607091388381</v>
      </c>
      <c r="E243" s="128" t="n"/>
      <c r="F243" s="162" t="n">
        <v>0.38</v>
      </c>
      <c r="G243" s="52" t="n">
        <v>8</v>
      </c>
      <c r="H243" s="162" t="n">
        <v>3.04</v>
      </c>
      <c r="I243" s="162" t="n">
        <v>3.32</v>
      </c>
      <c r="J243" s="52" t="n">
        <v>156</v>
      </c>
      <c r="K243" s="52" t="inlineStr">
        <is>
          <t>12</t>
        </is>
      </c>
      <c r="L243" s="53" t="inlineStr">
        <is>
          <t>АК</t>
        </is>
      </c>
      <c r="M243" s="52" t="n">
        <v>180</v>
      </c>
      <c r="N243" s="115" t="inlineStr">
        <is>
          <t>С/к колбасы Салями Охотничья Бордо Весовые б/о терм/п 180 Стародворье</t>
        </is>
      </c>
      <c r="O243" s="163" t="n"/>
      <c r="P243" s="163" t="n"/>
      <c r="Q243" s="163" t="n"/>
      <c r="R243" s="128" t="n"/>
      <c r="S243" s="54" t="n"/>
      <c r="T243" s="54" t="n"/>
      <c r="U243" s="55" t="inlineStr">
        <is>
          <t>кг</t>
        </is>
      </c>
      <c r="V243" s="164" t="n">
        <v>0</v>
      </c>
      <c r="W243" s="165">
        <f>IFERROR(IF(V243="",0,CEILING((V243/$H243),1)*$H243),"")</f>
        <v/>
      </c>
      <c r="X243" s="58">
        <f>IFERROR(IF(W243=0,"",ROUNDUP(W243/H243,0)*0.00753),"")</f>
        <v/>
      </c>
      <c r="Y243" s="59" t="n"/>
      <c r="Z243" s="60" t="n"/>
      <c r="AD243" s="61" t="n"/>
      <c r="BA243" s="62" t="inlineStr">
        <is>
          <t>КИ</t>
        </is>
      </c>
    </row>
    <row r="244" ht="27" customHeight="1">
      <c r="A244" s="49" t="inlineStr">
        <is>
          <t>SU001869</t>
        </is>
      </c>
      <c r="B244" s="49" t="inlineStr">
        <is>
          <t>P001909</t>
        </is>
      </c>
      <c r="C244" s="50" t="n">
        <v>4301030233</v>
      </c>
      <c r="D244" s="107" t="n">
        <v>4607091388404</v>
      </c>
      <c r="E244" s="128" t="n"/>
      <c r="F244" s="162" t="n">
        <v>0.17</v>
      </c>
      <c r="G244" s="52" t="n">
        <v>15</v>
      </c>
      <c r="H244" s="162" t="n">
        <v>2.55</v>
      </c>
      <c r="I244" s="162" t="n">
        <v>2.9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1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2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D244" s="61" t="n"/>
      <c r="BA244" s="62" t="inlineStr">
        <is>
          <t>КИ</t>
        </is>
      </c>
    </row>
    <row r="245">
      <c r="A245" s="109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66" t="n"/>
      <c r="N245" s="110" t="inlineStr">
        <is>
          <t>Итого</t>
        </is>
      </c>
      <c r="O245" s="134" t="n"/>
      <c r="P245" s="134" t="n"/>
      <c r="Q245" s="134" t="n"/>
      <c r="R245" s="134" t="n"/>
      <c r="S245" s="134" t="n"/>
      <c r="T245" s="135" t="n"/>
      <c r="U245" s="63" t="inlineStr">
        <is>
          <t>кор</t>
        </is>
      </c>
      <c r="V245" s="167">
        <f>IFERROR(V242/H242,"0")+IFERROR(V243/H243,"0")+IFERROR(V244/H244,"0")</f>
        <v/>
      </c>
      <c r="W245" s="167">
        <f>IFERROR(W242/H242,"0")+IFERROR(W243/H243,"0")+IFERROR(W244/H244,"0")</f>
        <v/>
      </c>
      <c r="X245" s="167">
        <f>IFERROR(IF(X242="",0,X242),"0")+IFERROR(IF(X243="",0,X243),"0")+IFERROR(IF(X244="",0,X244),"0")</f>
        <v/>
      </c>
      <c r="Y245" s="168" t="n"/>
      <c r="Z245" s="168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66" t="n"/>
      <c r="N246" s="110" t="inlineStr">
        <is>
          <t>Итого</t>
        </is>
      </c>
      <c r="O246" s="134" t="n"/>
      <c r="P246" s="134" t="n"/>
      <c r="Q246" s="134" t="n"/>
      <c r="R246" s="134" t="n"/>
      <c r="S246" s="134" t="n"/>
      <c r="T246" s="135" t="n"/>
      <c r="U246" s="63" t="inlineStr">
        <is>
          <t>кг</t>
        </is>
      </c>
      <c r="V246" s="167">
        <f>IFERROR(SUM(V242:V244),"0")</f>
        <v/>
      </c>
      <c r="W246" s="167">
        <f>IFERROR(SUM(W242:W244),"0")</f>
        <v/>
      </c>
      <c r="X246" s="63" t="n"/>
      <c r="Y246" s="168" t="n"/>
      <c r="Z246" s="168" t="n"/>
    </row>
    <row r="247" ht="14.25" customHeight="1">
      <c r="A247" s="106" t="inlineStr">
        <is>
          <t>Паштеты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06" t="n"/>
      <c r="Z247" s="106" t="n"/>
    </row>
    <row r="248" ht="16.5" customHeight="1">
      <c r="A248" s="49" t="inlineStr">
        <is>
          <t>SU002841</t>
        </is>
      </c>
      <c r="B248" s="49" t="inlineStr">
        <is>
          <t>P003253</t>
        </is>
      </c>
      <c r="C248" s="50" t="n">
        <v>4301180007</v>
      </c>
      <c r="D248" s="107" t="n">
        <v>4680115881808</v>
      </c>
      <c r="E248" s="128" t="n"/>
      <c r="F248" s="162" t="n">
        <v>0.1</v>
      </c>
      <c r="G248" s="52" t="n">
        <v>20</v>
      </c>
      <c r="H248" s="162" t="n">
        <v>2</v>
      </c>
      <c r="I248" s="162" t="n">
        <v>2.24</v>
      </c>
      <c r="J248" s="52" t="n">
        <v>238</v>
      </c>
      <c r="K248" s="52" t="inlineStr">
        <is>
          <t>14</t>
        </is>
      </c>
      <c r="L248" s="53" t="inlineStr">
        <is>
          <t>РК</t>
        </is>
      </c>
      <c r="M248" s="52" t="n">
        <v>730</v>
      </c>
      <c r="N248" s="1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163" t="n"/>
      <c r="P248" s="163" t="n"/>
      <c r="Q248" s="163" t="n"/>
      <c r="R248" s="128" t="n"/>
      <c r="S248" s="54" t="n"/>
      <c r="T248" s="54" t="n"/>
      <c r="U248" s="55" t="inlineStr">
        <is>
          <t>кг</t>
        </is>
      </c>
      <c r="V248" s="164" t="n">
        <v>0</v>
      </c>
      <c r="W248" s="165">
        <f>IFERROR(IF(V248="",0,CEILING((V248/$H248),1)*$H248),"")</f>
        <v/>
      </c>
      <c r="X248" s="58">
        <f>IFERROR(IF(W248=0,"",ROUNDUP(W248/H248,0)*0.00474),"")</f>
        <v/>
      </c>
      <c r="Y248" s="59" t="n"/>
      <c r="Z248" s="60" t="n"/>
      <c r="AD248" s="61" t="n"/>
      <c r="BA248" s="62" t="inlineStr">
        <is>
          <t>КИ</t>
        </is>
      </c>
    </row>
    <row r="249" ht="27" customHeight="1">
      <c r="A249" s="49" t="inlineStr">
        <is>
          <t>SU002840</t>
        </is>
      </c>
      <c r="B249" s="49" t="inlineStr">
        <is>
          <t>P003252</t>
        </is>
      </c>
      <c r="C249" s="50" t="n">
        <v>4301180006</v>
      </c>
      <c r="D249" s="107" t="n">
        <v>4680115881822</v>
      </c>
      <c r="E249" s="128" t="n"/>
      <c r="F249" s="162" t="n">
        <v>0.1</v>
      </c>
      <c r="G249" s="52" t="n">
        <v>20</v>
      </c>
      <c r="H249" s="162" t="n">
        <v>2</v>
      </c>
      <c r="I249" s="162" t="n">
        <v>2.24</v>
      </c>
      <c r="J249" s="52" t="n">
        <v>238</v>
      </c>
      <c r="K249" s="52" t="inlineStr">
        <is>
          <t>14</t>
        </is>
      </c>
      <c r="L249" s="53" t="inlineStr">
        <is>
          <t>РК</t>
        </is>
      </c>
      <c r="M249" s="52" t="n">
        <v>730</v>
      </c>
      <c r="N249" s="1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163" t="n"/>
      <c r="P249" s="163" t="n"/>
      <c r="Q249" s="163" t="n"/>
      <c r="R249" s="128" t="n"/>
      <c r="S249" s="54" t="n"/>
      <c r="T249" s="54" t="n"/>
      <c r="U249" s="55" t="inlineStr">
        <is>
          <t>кг</t>
        </is>
      </c>
      <c r="V249" s="164" t="n">
        <v>0</v>
      </c>
      <c r="W249" s="165">
        <f>IFERROR(IF(V249="",0,CEILING((V249/$H249),1)*$H249),"")</f>
        <v/>
      </c>
      <c r="X249" s="58">
        <f>IFERROR(IF(W249=0,"",ROUNDUP(W249/H249,0)*0.00474),"")</f>
        <v/>
      </c>
      <c r="Y249" s="59" t="n"/>
      <c r="Z249" s="60" t="n"/>
      <c r="AD249" s="61" t="n"/>
      <c r="BA249" s="62" t="inlineStr">
        <is>
          <t>КИ</t>
        </is>
      </c>
    </row>
    <row r="250" ht="27" customHeight="1">
      <c r="A250" s="49" t="inlineStr">
        <is>
          <t>SU002368</t>
        </is>
      </c>
      <c r="B250" s="49" t="inlineStr">
        <is>
          <t>P002648</t>
        </is>
      </c>
      <c r="C250" s="50" t="n">
        <v>4301180001</v>
      </c>
      <c r="D250" s="107" t="n">
        <v>4680115880016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10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D250" s="61" t="n"/>
      <c r="BA250" s="62" t="inlineStr">
        <is>
          <t>КИ</t>
        </is>
      </c>
    </row>
    <row r="251">
      <c r="A251" s="109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66" t="n"/>
      <c r="N251" s="110" t="inlineStr">
        <is>
          <t>Итого</t>
        </is>
      </c>
      <c r="O251" s="134" t="n"/>
      <c r="P251" s="134" t="n"/>
      <c r="Q251" s="134" t="n"/>
      <c r="R251" s="134" t="n"/>
      <c r="S251" s="134" t="n"/>
      <c r="T251" s="135" t="n"/>
      <c r="U251" s="63" t="inlineStr">
        <is>
          <t>кор</t>
        </is>
      </c>
      <c r="V251" s="167">
        <f>IFERROR(V248/H248,"0")+IFERROR(V249/H249,"0")+IFERROR(V250/H250,"0")</f>
        <v/>
      </c>
      <c r="W251" s="167">
        <f>IFERROR(W248/H248,"0")+IFERROR(W249/H249,"0")+IFERROR(W250/H250,"0")</f>
        <v/>
      </c>
      <c r="X251" s="167">
        <f>IFERROR(IF(X248="",0,X248),"0")+IFERROR(IF(X249="",0,X249),"0")+IFERROR(IF(X250="",0,X250),"0")</f>
        <v/>
      </c>
      <c r="Y251" s="168" t="n"/>
      <c r="Z251" s="168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66" t="n"/>
      <c r="N252" s="110" t="inlineStr">
        <is>
          <t>Итого</t>
        </is>
      </c>
      <c r="O252" s="134" t="n"/>
      <c r="P252" s="134" t="n"/>
      <c r="Q252" s="134" t="n"/>
      <c r="R252" s="134" t="n"/>
      <c r="S252" s="134" t="n"/>
      <c r="T252" s="135" t="n"/>
      <c r="U252" s="63" t="inlineStr">
        <is>
          <t>кг</t>
        </is>
      </c>
      <c r="V252" s="167">
        <f>IFERROR(SUM(V248:V250),"0")</f>
        <v/>
      </c>
      <c r="W252" s="167">
        <f>IFERROR(SUM(W248:W250),"0")</f>
        <v/>
      </c>
      <c r="X252" s="63" t="n"/>
      <c r="Y252" s="168" t="n"/>
      <c r="Z252" s="168" t="n"/>
    </row>
    <row r="253" ht="16.5" customHeight="1">
      <c r="A253" s="105" t="inlineStr">
        <is>
          <t>Фирменная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05" t="n"/>
      <c r="Z253" s="105" t="n"/>
    </row>
    <row r="254" ht="14.25" customHeight="1">
      <c r="A254" s="106" t="inlineStr">
        <is>
          <t>Вареные колбасы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06" t="n"/>
      <c r="Z254" s="106" t="n"/>
    </row>
    <row r="255" ht="27" customHeight="1">
      <c r="A255" s="49" t="inlineStr">
        <is>
          <t>SU001793</t>
        </is>
      </c>
      <c r="B255" s="49" t="inlineStr">
        <is>
          <t>P001793</t>
        </is>
      </c>
      <c r="C255" s="50" t="n">
        <v>4301011315</v>
      </c>
      <c r="D255" s="107" t="n">
        <v>4607091387421</v>
      </c>
      <c r="E255" s="128" t="n"/>
      <c r="F255" s="162" t="n">
        <v>1.35</v>
      </c>
      <c r="G255" s="52" t="n">
        <v>8</v>
      </c>
      <c r="H255" s="162" t="n">
        <v>10.8</v>
      </c>
      <c r="I255" s="162" t="n">
        <v>11.28</v>
      </c>
      <c r="J255" s="52" t="n">
        <v>56</v>
      </c>
      <c r="K255" s="52" t="inlineStr">
        <is>
          <t>8</t>
        </is>
      </c>
      <c r="L255" s="53" t="inlineStr">
        <is>
          <t>СК1</t>
        </is>
      </c>
      <c r="M255" s="52" t="n">
        <v>55</v>
      </c>
      <c r="N255" s="1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163" t="n"/>
      <c r="P255" s="163" t="n"/>
      <c r="Q255" s="163" t="n"/>
      <c r="R255" s="128" t="n"/>
      <c r="S255" s="54" t="n"/>
      <c r="T255" s="54" t="n"/>
      <c r="U255" s="55" t="inlineStr">
        <is>
          <t>кг</t>
        </is>
      </c>
      <c r="V255" s="164" t="n">
        <v>40</v>
      </c>
      <c r="W255" s="165">
        <f>IFERROR(IF(V255="",0,CEILING((V255/$H255),1)*$H255),"")</f>
        <v/>
      </c>
      <c r="X255" s="58">
        <f>IFERROR(IF(W255=0,"",ROUNDUP(W255/H255,0)*0.02175),"")</f>
        <v/>
      </c>
      <c r="Y255" s="59" t="n"/>
      <c r="Z255" s="60" t="n"/>
      <c r="AD255" s="61" t="n"/>
      <c r="BA255" s="62" t="inlineStr">
        <is>
          <t>КИ</t>
        </is>
      </c>
    </row>
    <row r="256" ht="27" customHeight="1">
      <c r="A256" s="49" t="inlineStr">
        <is>
          <t>SU001793</t>
        </is>
      </c>
      <c r="B256" s="49" t="inlineStr">
        <is>
          <t>P002227</t>
        </is>
      </c>
      <c r="C256" s="50" t="n">
        <v>4301011121</v>
      </c>
      <c r="D256" s="107" t="n">
        <v>4607091387421</v>
      </c>
      <c r="E256" s="128" t="n"/>
      <c r="F256" s="162" t="n">
        <v>1.35</v>
      </c>
      <c r="G256" s="52" t="n">
        <v>8</v>
      </c>
      <c r="H256" s="162" t="n">
        <v>10.8</v>
      </c>
      <c r="I256" s="162" t="n">
        <v>11.28</v>
      </c>
      <c r="J256" s="52" t="n">
        <v>48</v>
      </c>
      <c r="K256" s="52" t="inlineStr">
        <is>
          <t>8</t>
        </is>
      </c>
      <c r="L256" s="53" t="inlineStr">
        <is>
          <t>ВЗ</t>
        </is>
      </c>
      <c r="M256" s="52" t="n">
        <v>55</v>
      </c>
      <c r="N256" s="1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163" t="n"/>
      <c r="P256" s="163" t="n"/>
      <c r="Q256" s="163" t="n"/>
      <c r="R256" s="128" t="n"/>
      <c r="S256" s="54" t="n"/>
      <c r="T256" s="54" t="n"/>
      <c r="U256" s="55" t="inlineStr">
        <is>
          <t>кг</t>
        </is>
      </c>
      <c r="V256" s="164" t="n">
        <v>0</v>
      </c>
      <c r="W256" s="165">
        <f>IFERROR(IF(V256="",0,CEILING((V256/$H256),1)*$H256),"")</f>
        <v/>
      </c>
      <c r="X256" s="58">
        <f>IFERROR(IF(W256=0,"",ROUNDUP(W256/H256,0)*0.02039),"")</f>
        <v/>
      </c>
      <c r="Y256" s="59" t="n"/>
      <c r="Z256" s="60" t="n"/>
      <c r="AD256" s="61" t="n"/>
      <c r="BA256" s="62" t="inlineStr">
        <is>
          <t>КИ</t>
        </is>
      </c>
    </row>
    <row r="257" ht="27" customHeight="1">
      <c r="A257" s="49" t="inlineStr">
        <is>
          <t>SU001799</t>
        </is>
      </c>
      <c r="B257" s="49" t="inlineStr">
        <is>
          <t>P003673</t>
        </is>
      </c>
      <c r="C257" s="50" t="n">
        <v>4301011619</v>
      </c>
      <c r="D257" s="107" t="n">
        <v>4607091387452</v>
      </c>
      <c r="E257" s="128" t="n"/>
      <c r="F257" s="162" t="n">
        <v>1.45</v>
      </c>
      <c r="G257" s="52" t="n">
        <v>8</v>
      </c>
      <c r="H257" s="162" t="n">
        <v>11.6</v>
      </c>
      <c r="I257" s="162" t="n">
        <v>12.08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115" t="inlineStr">
        <is>
          <t>Вареные колбасы Молочная По-стародворски Фирменная Весовые П/а Стародворье</t>
        </is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30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D257" s="61" t="n"/>
      <c r="BA257" s="62" t="inlineStr">
        <is>
          <t>КИ</t>
        </is>
      </c>
    </row>
    <row r="258" ht="27" customHeight="1">
      <c r="A258" s="49" t="inlineStr">
        <is>
          <t>SU001799</t>
        </is>
      </c>
      <c r="B258" s="49" t="inlineStr">
        <is>
          <t>P003076</t>
        </is>
      </c>
      <c r="C258" s="50" t="n">
        <v>4301011396</v>
      </c>
      <c r="D258" s="107" t="n">
        <v>4607091387452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10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D258" s="61" t="n"/>
      <c r="BA258" s="62" t="inlineStr">
        <is>
          <t>КИ</t>
        </is>
      </c>
    </row>
    <row r="259" ht="27" customHeight="1">
      <c r="A259" s="49" t="inlineStr">
        <is>
          <t>SU001792</t>
        </is>
      </c>
      <c r="B259" s="49" t="inlineStr">
        <is>
          <t>P001792</t>
        </is>
      </c>
      <c r="C259" s="50" t="n">
        <v>4301011313</v>
      </c>
      <c r="D259" s="107" t="n">
        <v>4607091385984</v>
      </c>
      <c r="E259" s="128" t="n"/>
      <c r="F259" s="162" t="n">
        <v>1.35</v>
      </c>
      <c r="G259" s="52" t="n">
        <v>8</v>
      </c>
      <c r="H259" s="162" t="n">
        <v>10.8</v>
      </c>
      <c r="I259" s="162" t="n">
        <v>11.28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1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D259" s="61" t="n"/>
      <c r="BA259" s="62" t="inlineStr">
        <is>
          <t>КИ</t>
        </is>
      </c>
    </row>
    <row r="260" ht="27" customHeight="1">
      <c r="A260" s="49" t="inlineStr">
        <is>
          <t>SU001794</t>
        </is>
      </c>
      <c r="B260" s="49" t="inlineStr">
        <is>
          <t>P001794</t>
        </is>
      </c>
      <c r="C260" s="50" t="n">
        <v>4301011316</v>
      </c>
      <c r="D260" s="107" t="n">
        <v>4607091387438</v>
      </c>
      <c r="E260" s="128" t="n"/>
      <c r="F260" s="162" t="n">
        <v>0.5</v>
      </c>
      <c r="G260" s="52" t="n">
        <v>10</v>
      </c>
      <c r="H260" s="162" t="n">
        <v>5</v>
      </c>
      <c r="I260" s="162" t="n">
        <v>5.24</v>
      </c>
      <c r="J260" s="52" t="n">
        <v>120</v>
      </c>
      <c r="K260" s="52" t="inlineStr">
        <is>
          <t>12</t>
        </is>
      </c>
      <c r="L260" s="53" t="inlineStr">
        <is>
          <t>СК1</t>
        </is>
      </c>
      <c r="M260" s="52" t="n">
        <v>55</v>
      </c>
      <c r="N260" s="10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IFERROR(IF(W260=0,"",ROUNDUP(W260/H260,0)*0.00937),"")</f>
        <v/>
      </c>
      <c r="Y260" s="59" t="n"/>
      <c r="Z260" s="60" t="n"/>
      <c r="AD260" s="61" t="n"/>
      <c r="BA260" s="62" t="inlineStr">
        <is>
          <t>КИ</t>
        </is>
      </c>
    </row>
    <row r="261" ht="27" customHeight="1">
      <c r="A261" s="49" t="inlineStr">
        <is>
          <t>SU001795</t>
        </is>
      </c>
      <c r="B261" s="49" t="inlineStr">
        <is>
          <t>P001795</t>
        </is>
      </c>
      <c r="C261" s="50" t="n">
        <v>4301011318</v>
      </c>
      <c r="D261" s="107" t="n">
        <v>4607091387469</v>
      </c>
      <c r="E261" s="128" t="n"/>
      <c r="F261" s="162" t="n">
        <v>0.5</v>
      </c>
      <c r="G261" s="52" t="n">
        <v>10</v>
      </c>
      <c r="H261" s="162" t="n">
        <v>5</v>
      </c>
      <c r="I261" s="162" t="n">
        <v>5.21</v>
      </c>
      <c r="J261" s="52" t="n">
        <v>120</v>
      </c>
      <c r="K261" s="52" t="inlineStr">
        <is>
          <t>12</t>
        </is>
      </c>
      <c r="L261" s="53" t="inlineStr">
        <is>
          <t>СК2</t>
        </is>
      </c>
      <c r="M261" s="52" t="n">
        <v>55</v>
      </c>
      <c r="N261" s="10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IFERROR(IF(W261=0,"",ROUNDUP(W261/H261,0)*0.00937),"")</f>
        <v/>
      </c>
      <c r="Y261" s="59" t="n"/>
      <c r="Z261" s="60" t="n"/>
      <c r="AD261" s="61" t="n"/>
      <c r="BA261" s="62" t="inlineStr">
        <is>
          <t>КИ</t>
        </is>
      </c>
    </row>
    <row r="262">
      <c r="A262" s="10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66" t="n"/>
      <c r="N262" s="110" t="inlineStr">
        <is>
          <t>Итого</t>
        </is>
      </c>
      <c r="O262" s="134" t="n"/>
      <c r="P262" s="134" t="n"/>
      <c r="Q262" s="134" t="n"/>
      <c r="R262" s="134" t="n"/>
      <c r="S262" s="134" t="n"/>
      <c r="T262" s="135" t="n"/>
      <c r="U262" s="63" t="inlineStr">
        <is>
          <t>кор</t>
        </is>
      </c>
      <c r="V262" s="167">
        <f>IFERROR(V255/H255,"0")+IFERROR(V256/H256,"0")+IFERROR(V257/H257,"0")+IFERROR(V258/H258,"0")+IFERROR(V259/H259,"0")+IFERROR(V260/H260,"0")+IFERROR(V261/H261,"0")</f>
        <v/>
      </c>
      <c r="W262" s="167">
        <f>IFERROR(W255/H255,"0")+IFERROR(W256/H256,"0")+IFERROR(W257/H257,"0")+IFERROR(W258/H258,"0")+IFERROR(W259/H259,"0")+IFERROR(W260/H260,"0")+IFERROR(W261/H261,"0")</f>
        <v/>
      </c>
      <c r="X262" s="167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168" t="n"/>
      <c r="Z262" s="168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66" t="n"/>
      <c r="N263" s="110" t="inlineStr">
        <is>
          <t>Итого</t>
        </is>
      </c>
      <c r="O263" s="134" t="n"/>
      <c r="P263" s="134" t="n"/>
      <c r="Q263" s="134" t="n"/>
      <c r="R263" s="134" t="n"/>
      <c r="S263" s="134" t="n"/>
      <c r="T263" s="135" t="n"/>
      <c r="U263" s="63" t="inlineStr">
        <is>
          <t>кг</t>
        </is>
      </c>
      <c r="V263" s="167">
        <f>IFERROR(SUM(V255:V261),"0")</f>
        <v/>
      </c>
      <c r="W263" s="167">
        <f>IFERROR(SUM(W255:W261),"0")</f>
        <v/>
      </c>
      <c r="X263" s="63" t="n"/>
      <c r="Y263" s="168" t="n"/>
      <c r="Z263" s="168" t="n"/>
    </row>
    <row r="264" ht="14.25" customHeight="1">
      <c r="A264" s="106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06" t="n"/>
      <c r="Z264" s="106" t="n"/>
    </row>
    <row r="265" ht="27" customHeight="1">
      <c r="A265" s="49" t="inlineStr">
        <is>
          <t>SU001801</t>
        </is>
      </c>
      <c r="B265" s="49" t="inlineStr">
        <is>
          <t>P003014</t>
        </is>
      </c>
      <c r="C265" s="50" t="n">
        <v>4301031154</v>
      </c>
      <c r="D265" s="107" t="n">
        <v>4607091387292</v>
      </c>
      <c r="E265" s="128" t="n"/>
      <c r="F265" s="162" t="n">
        <v>0.73</v>
      </c>
      <c r="G265" s="52" t="n">
        <v>6</v>
      </c>
      <c r="H265" s="162" t="n">
        <v>4.38</v>
      </c>
      <c r="I265" s="162" t="n">
        <v>4.64</v>
      </c>
      <c r="J265" s="52" t="n">
        <v>156</v>
      </c>
      <c r="K265" s="52" t="inlineStr">
        <is>
          <t>12</t>
        </is>
      </c>
      <c r="L265" s="53" t="inlineStr">
        <is>
          <t>СК2</t>
        </is>
      </c>
      <c r="M265" s="52" t="n">
        <v>45</v>
      </c>
      <c r="N265" s="10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163" t="n"/>
      <c r="P265" s="163" t="n"/>
      <c r="Q265" s="163" t="n"/>
      <c r="R265" s="128" t="n"/>
      <c r="S265" s="54" t="n"/>
      <c r="T265" s="54" t="n"/>
      <c r="U265" s="55" t="inlineStr">
        <is>
          <t>кг</t>
        </is>
      </c>
      <c r="V265" s="164" t="n">
        <v>40</v>
      </c>
      <c r="W265" s="165">
        <f>IFERROR(IF(V265="",0,CEILING((V265/$H265),1)*$H265),"")</f>
        <v/>
      </c>
      <c r="X265" s="58">
        <f>IFERROR(IF(W265=0,"",ROUNDUP(W265/H265,0)*0.00753),"")</f>
        <v/>
      </c>
      <c r="Y265" s="59" t="n"/>
      <c r="Z265" s="60" t="n"/>
      <c r="AD265" s="61" t="n"/>
      <c r="BA265" s="62" t="inlineStr">
        <is>
          <t>КИ</t>
        </is>
      </c>
    </row>
    <row r="266" ht="27" customHeight="1">
      <c r="A266" s="49" t="inlineStr">
        <is>
          <t>SU000231</t>
        </is>
      </c>
      <c r="B266" s="49" t="inlineStr">
        <is>
          <t>P003015</t>
        </is>
      </c>
      <c r="C266" s="50" t="n">
        <v>4301031155</v>
      </c>
      <c r="D266" s="107" t="n">
        <v>4607091387315</v>
      </c>
      <c r="E266" s="128" t="n"/>
      <c r="F266" s="162" t="n">
        <v>0.7</v>
      </c>
      <c r="G266" s="52" t="n">
        <v>4</v>
      </c>
      <c r="H266" s="162" t="n">
        <v>2.8</v>
      </c>
      <c r="I266" s="162" t="n">
        <v>3.048</v>
      </c>
      <c r="J266" s="52" t="n">
        <v>156</v>
      </c>
      <c r="K266" s="52" t="inlineStr">
        <is>
          <t>12</t>
        </is>
      </c>
      <c r="L266" s="53" t="inlineStr">
        <is>
          <t>СК2</t>
        </is>
      </c>
      <c r="M266" s="52" t="n">
        <v>45</v>
      </c>
      <c r="N266" s="10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163" t="n"/>
      <c r="P266" s="163" t="n"/>
      <c r="Q266" s="163" t="n"/>
      <c r="R266" s="128" t="n"/>
      <c r="S266" s="54" t="n"/>
      <c r="T266" s="54" t="n"/>
      <c r="U266" s="55" t="inlineStr">
        <is>
          <t>кг</t>
        </is>
      </c>
      <c r="V266" s="164" t="n">
        <v>0</v>
      </c>
      <c r="W266" s="165">
        <f>IFERROR(IF(V266="",0,CEILING((V266/$H266),1)*$H266),"")</f>
        <v/>
      </c>
      <c r="X266" s="58">
        <f>IFERROR(IF(W266=0,"",ROUNDUP(W266/H266,0)*0.00753),"")</f>
        <v/>
      </c>
      <c r="Y266" s="59" t="n"/>
      <c r="Z266" s="60" t="n"/>
      <c r="AD266" s="61" t="n"/>
      <c r="BA266" s="62" t="inlineStr">
        <is>
          <t>КИ</t>
        </is>
      </c>
    </row>
    <row r="267">
      <c r="A267" s="109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66" t="n"/>
      <c r="N267" s="110" t="inlineStr">
        <is>
          <t>Итого</t>
        </is>
      </c>
      <c r="O267" s="134" t="n"/>
      <c r="P267" s="134" t="n"/>
      <c r="Q267" s="134" t="n"/>
      <c r="R267" s="134" t="n"/>
      <c r="S267" s="134" t="n"/>
      <c r="T267" s="135" t="n"/>
      <c r="U267" s="63" t="inlineStr">
        <is>
          <t>кор</t>
        </is>
      </c>
      <c r="V267" s="167">
        <f>IFERROR(V265/H265,"0")+IFERROR(V266/H266,"0")</f>
        <v/>
      </c>
      <c r="W267" s="167">
        <f>IFERROR(W265/H265,"0")+IFERROR(W266/H266,"0")</f>
        <v/>
      </c>
      <c r="X267" s="167">
        <f>IFERROR(IF(X265="",0,X265),"0")+IFERROR(IF(X266="",0,X266),"0")</f>
        <v/>
      </c>
      <c r="Y267" s="168" t="n"/>
      <c r="Z267" s="168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66" t="n"/>
      <c r="N268" s="110" t="inlineStr">
        <is>
          <t>Итого</t>
        </is>
      </c>
      <c r="O268" s="134" t="n"/>
      <c r="P268" s="134" t="n"/>
      <c r="Q268" s="134" t="n"/>
      <c r="R268" s="134" t="n"/>
      <c r="S268" s="134" t="n"/>
      <c r="T268" s="135" t="n"/>
      <c r="U268" s="63" t="inlineStr">
        <is>
          <t>кг</t>
        </is>
      </c>
      <c r="V268" s="167">
        <f>IFERROR(SUM(V265:V266),"0")</f>
        <v/>
      </c>
      <c r="W268" s="167">
        <f>IFERROR(SUM(W265:W266),"0")</f>
        <v/>
      </c>
      <c r="X268" s="63" t="n"/>
      <c r="Y268" s="168" t="n"/>
      <c r="Z268" s="168" t="n"/>
    </row>
    <row r="269" ht="16.5" customHeight="1">
      <c r="A269" s="105" t="inlineStr">
        <is>
          <t>Бавария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05" t="n"/>
      <c r="Z269" s="105" t="n"/>
    </row>
    <row r="270" ht="14.25" customHeight="1">
      <c r="A270" s="106" t="inlineStr">
        <is>
          <t>Копченые колбасы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06" t="n"/>
      <c r="Z270" s="106" t="n"/>
    </row>
    <row r="271" ht="27" customHeight="1">
      <c r="A271" s="49" t="inlineStr">
        <is>
          <t>SU002252</t>
        </is>
      </c>
      <c r="B271" s="49" t="inlineStr">
        <is>
          <t>P002461</t>
        </is>
      </c>
      <c r="C271" s="50" t="n">
        <v>4301031066</v>
      </c>
      <c r="D271" s="107" t="n">
        <v>4607091383836</v>
      </c>
      <c r="E271" s="128" t="n"/>
      <c r="F271" s="162" t="n">
        <v>0.3</v>
      </c>
      <c r="G271" s="52" t="n">
        <v>6</v>
      </c>
      <c r="H271" s="162" t="n">
        <v>1.8</v>
      </c>
      <c r="I271" s="162" t="n">
        <v>2.048</v>
      </c>
      <c r="J271" s="52" t="n">
        <v>156</v>
      </c>
      <c r="K271" s="52" t="inlineStr">
        <is>
          <t>12</t>
        </is>
      </c>
      <c r="L271" s="53" t="inlineStr">
        <is>
          <t>СК2</t>
        </is>
      </c>
      <c r="M271" s="52" t="n">
        <v>40</v>
      </c>
      <c r="N271" s="10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163" t="n"/>
      <c r="P271" s="163" t="n"/>
      <c r="Q271" s="163" t="n"/>
      <c r="R271" s="128" t="n"/>
      <c r="S271" s="54" t="n"/>
      <c r="T271" s="54" t="n"/>
      <c r="U271" s="55" t="inlineStr">
        <is>
          <t>кг</t>
        </is>
      </c>
      <c r="V271" s="164" t="n">
        <v>0</v>
      </c>
      <c r="W271" s="165">
        <f>IFERROR(IF(V271="",0,CEILING((V271/$H271),1)*$H271),"")</f>
        <v/>
      </c>
      <c r="X271" s="58">
        <f>IFERROR(IF(W271=0,"",ROUNDUP(W271/H271,0)*0.00753),"")</f>
        <v/>
      </c>
      <c r="Y271" s="59" t="n"/>
      <c r="Z271" s="60" t="n"/>
      <c r="AD271" s="61" t="n"/>
      <c r="BA271" s="62" t="inlineStr">
        <is>
          <t>КИ</t>
        </is>
      </c>
    </row>
    <row r="272">
      <c r="A272" s="10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66" t="n"/>
      <c r="N272" s="110" t="inlineStr">
        <is>
          <t>Итого</t>
        </is>
      </c>
      <c r="O272" s="134" t="n"/>
      <c r="P272" s="134" t="n"/>
      <c r="Q272" s="134" t="n"/>
      <c r="R272" s="134" t="n"/>
      <c r="S272" s="134" t="n"/>
      <c r="T272" s="135" t="n"/>
      <c r="U272" s="63" t="inlineStr">
        <is>
          <t>кор</t>
        </is>
      </c>
      <c r="V272" s="167">
        <f>IFERROR(V271/H271,"0")</f>
        <v/>
      </c>
      <c r="W272" s="167">
        <f>IFERROR(W271/H271,"0")</f>
        <v/>
      </c>
      <c r="X272" s="167">
        <f>IFERROR(IF(X271="",0,X271),"0")</f>
        <v/>
      </c>
      <c r="Y272" s="168" t="n"/>
      <c r="Z272" s="168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66" t="n"/>
      <c r="N273" s="110" t="inlineStr">
        <is>
          <t>Итого</t>
        </is>
      </c>
      <c r="O273" s="134" t="n"/>
      <c r="P273" s="134" t="n"/>
      <c r="Q273" s="134" t="n"/>
      <c r="R273" s="134" t="n"/>
      <c r="S273" s="134" t="n"/>
      <c r="T273" s="135" t="n"/>
      <c r="U273" s="63" t="inlineStr">
        <is>
          <t>кг</t>
        </is>
      </c>
      <c r="V273" s="167">
        <f>IFERROR(SUM(V271:V271),"0")</f>
        <v/>
      </c>
      <c r="W273" s="167">
        <f>IFERROR(SUM(W271:W271),"0")</f>
        <v/>
      </c>
      <c r="X273" s="63" t="n"/>
      <c r="Y273" s="168" t="n"/>
      <c r="Z273" s="168" t="n"/>
    </row>
    <row r="274" ht="14.25" customHeight="1">
      <c r="A274" s="106" t="inlineStr">
        <is>
          <t>Сосиски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06" t="n"/>
      <c r="Z274" s="106" t="n"/>
    </row>
    <row r="275" ht="27" customHeight="1">
      <c r="A275" s="49" t="inlineStr">
        <is>
          <t>SU001835</t>
        </is>
      </c>
      <c r="B275" s="49" t="inlineStr">
        <is>
          <t>P002202</t>
        </is>
      </c>
      <c r="C275" s="50" t="n">
        <v>4301051142</v>
      </c>
      <c r="D275" s="107" t="n">
        <v>4607091387919</v>
      </c>
      <c r="E275" s="128" t="n"/>
      <c r="F275" s="162" t="n">
        <v>1.35</v>
      </c>
      <c r="G275" s="52" t="n">
        <v>6</v>
      </c>
      <c r="H275" s="162" t="n">
        <v>8.1</v>
      </c>
      <c r="I275" s="162" t="n">
        <v>8.664</v>
      </c>
      <c r="J275" s="52" t="n">
        <v>56</v>
      </c>
      <c r="K275" s="52" t="inlineStr">
        <is>
          <t>8</t>
        </is>
      </c>
      <c r="L275" s="53" t="inlineStr">
        <is>
          <t>СК2</t>
        </is>
      </c>
      <c r="M275" s="52" t="n">
        <v>45</v>
      </c>
      <c r="N275" s="1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163" t="n"/>
      <c r="P275" s="163" t="n"/>
      <c r="Q275" s="163" t="n"/>
      <c r="R275" s="128" t="n"/>
      <c r="S275" s="54" t="n"/>
      <c r="T275" s="54" t="n"/>
      <c r="U275" s="55" t="inlineStr">
        <is>
          <t>кг</t>
        </is>
      </c>
      <c r="V275" s="164" t="n">
        <v>48</v>
      </c>
      <c r="W275" s="165">
        <f>IFERROR(IF(V275="",0,CEILING((V275/$H275),1)*$H275),"")</f>
        <v/>
      </c>
      <c r="X275" s="58">
        <f>IFERROR(IF(W275=0,"",ROUNDUP(W275/H275,0)*0.02175),"")</f>
        <v/>
      </c>
      <c r="Y275" s="59" t="n"/>
      <c r="Z275" s="60" t="n"/>
      <c r="AD275" s="61" t="n"/>
      <c r="BA275" s="62" t="inlineStr">
        <is>
          <t>КИ</t>
        </is>
      </c>
    </row>
    <row r="276" ht="27" customHeight="1">
      <c r="A276" s="49" t="inlineStr">
        <is>
          <t>SU001836</t>
        </is>
      </c>
      <c r="B276" s="49" t="inlineStr">
        <is>
          <t>P002201</t>
        </is>
      </c>
      <c r="C276" s="50" t="n">
        <v>4301051109</v>
      </c>
      <c r="D276" s="107" t="n">
        <v>4607091383942</v>
      </c>
      <c r="E276" s="128" t="n"/>
      <c r="F276" s="162" t="n">
        <v>0.42</v>
      </c>
      <c r="G276" s="52" t="n">
        <v>6</v>
      </c>
      <c r="H276" s="162" t="n">
        <v>2.52</v>
      </c>
      <c r="I276" s="162" t="n">
        <v>2.792</v>
      </c>
      <c r="J276" s="52" t="n">
        <v>156</v>
      </c>
      <c r="K276" s="52" t="inlineStr">
        <is>
          <t>12</t>
        </is>
      </c>
      <c r="L276" s="53" t="inlineStr">
        <is>
          <t>СК3</t>
        </is>
      </c>
      <c r="M276" s="52" t="n">
        <v>45</v>
      </c>
      <c r="N276" s="10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163" t="n"/>
      <c r="P276" s="163" t="n"/>
      <c r="Q276" s="163" t="n"/>
      <c r="R276" s="128" t="n"/>
      <c r="S276" s="54" t="n"/>
      <c r="T276" s="54" t="n"/>
      <c r="U276" s="55" t="inlineStr">
        <is>
          <t>кг</t>
        </is>
      </c>
      <c r="V276" s="164" t="n">
        <v>37</v>
      </c>
      <c r="W276" s="165">
        <f>IFERROR(IF(V276="",0,CEILING((V276/$H276),1)*$H276),"")</f>
        <v/>
      </c>
      <c r="X276" s="58">
        <f>IFERROR(IF(W276=0,"",ROUNDUP(W276/H276,0)*0.00753),"")</f>
        <v/>
      </c>
      <c r="Y276" s="59" t="n"/>
      <c r="Z276" s="60" t="n"/>
      <c r="AD276" s="61" t="n"/>
      <c r="BA276" s="62" t="inlineStr">
        <is>
          <t>КИ</t>
        </is>
      </c>
    </row>
    <row r="277" ht="27" customHeight="1">
      <c r="A277" s="49" t="inlineStr">
        <is>
          <t>SU001970</t>
        </is>
      </c>
      <c r="B277" s="49" t="inlineStr">
        <is>
          <t>P003579</t>
        </is>
      </c>
      <c r="C277" s="50" t="n">
        <v>4301051518</v>
      </c>
      <c r="D277" s="107" t="n">
        <v>4607091383959</v>
      </c>
      <c r="E277" s="128" t="n"/>
      <c r="F277" s="162" t="n">
        <v>0.42</v>
      </c>
      <c r="G277" s="52" t="n">
        <v>6</v>
      </c>
      <c r="H277" s="162" t="n">
        <v>2.52</v>
      </c>
      <c r="I277" s="162" t="n">
        <v>2.78</v>
      </c>
      <c r="J277" s="52" t="n">
        <v>156</v>
      </c>
      <c r="K277" s="52" t="inlineStr">
        <is>
          <t>12</t>
        </is>
      </c>
      <c r="L277" s="53" t="inlineStr">
        <is>
          <t>СК2</t>
        </is>
      </c>
      <c r="M277" s="52" t="n">
        <v>40</v>
      </c>
      <c r="N277" s="115" t="inlineStr">
        <is>
          <t>Сосиски «Баварские с сыром» Фикс.вес 0,42 п/а ТМ «Стародворье»</t>
        </is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25</v>
      </c>
      <c r="W277" s="165">
        <f>IFERROR(IF(V277="",0,CEILING((V277/$H277),1)*$H277),"")</f>
        <v/>
      </c>
      <c r="X277" s="58">
        <f>IFERROR(IF(W277=0,"",ROUNDUP(W277/H277,0)*0.00753),"")</f>
        <v/>
      </c>
      <c r="Y277" s="59" t="n"/>
      <c r="Z277" s="60" t="n"/>
      <c r="AD277" s="61" t="n"/>
      <c r="BA277" s="62" t="inlineStr">
        <is>
          <t>КИ</t>
        </is>
      </c>
    </row>
    <row r="278">
      <c r="A278" s="10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66" t="n"/>
      <c r="N278" s="110" t="inlineStr">
        <is>
          <t>Итого</t>
        </is>
      </c>
      <c r="O278" s="134" t="n"/>
      <c r="P278" s="134" t="n"/>
      <c r="Q278" s="134" t="n"/>
      <c r="R278" s="134" t="n"/>
      <c r="S278" s="134" t="n"/>
      <c r="T278" s="135" t="n"/>
      <c r="U278" s="63" t="inlineStr">
        <is>
          <t>кор</t>
        </is>
      </c>
      <c r="V278" s="167">
        <f>IFERROR(V275/H275,"0")+IFERROR(V276/H276,"0")+IFERROR(V277/H277,"0")</f>
        <v/>
      </c>
      <c r="W278" s="167">
        <f>IFERROR(W275/H275,"0")+IFERROR(W276/H276,"0")+IFERROR(W277/H277,"0")</f>
        <v/>
      </c>
      <c r="X278" s="167">
        <f>IFERROR(IF(X275="",0,X275),"0")+IFERROR(IF(X276="",0,X276),"0")+IFERROR(IF(X277="",0,X277),"0")</f>
        <v/>
      </c>
      <c r="Y278" s="168" t="n"/>
      <c r="Z278" s="16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66" t="n"/>
      <c r="N279" s="110" t="inlineStr">
        <is>
          <t>Итого</t>
        </is>
      </c>
      <c r="O279" s="134" t="n"/>
      <c r="P279" s="134" t="n"/>
      <c r="Q279" s="134" t="n"/>
      <c r="R279" s="134" t="n"/>
      <c r="S279" s="134" t="n"/>
      <c r="T279" s="135" t="n"/>
      <c r="U279" s="63" t="inlineStr">
        <is>
          <t>кг</t>
        </is>
      </c>
      <c r="V279" s="167">
        <f>IFERROR(SUM(V275:V277),"0")</f>
        <v/>
      </c>
      <c r="W279" s="167">
        <f>IFERROR(SUM(W275:W277),"0")</f>
        <v/>
      </c>
      <c r="X279" s="63" t="n"/>
      <c r="Y279" s="168" t="n"/>
      <c r="Z279" s="168" t="n"/>
    </row>
    <row r="280" ht="14.25" customHeight="1">
      <c r="A280" s="106" t="inlineStr">
        <is>
          <t>Сардельки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06" t="n"/>
      <c r="Z280" s="106" t="n"/>
    </row>
    <row r="281" ht="27" customHeight="1">
      <c r="A281" s="49" t="inlineStr">
        <is>
          <t>SU002173</t>
        </is>
      </c>
      <c r="B281" s="49" t="inlineStr">
        <is>
          <t>P002361</t>
        </is>
      </c>
      <c r="C281" s="50" t="n">
        <v>4301060324</v>
      </c>
      <c r="D281" s="107" t="n">
        <v>4607091388831</v>
      </c>
      <c r="E281" s="128" t="n"/>
      <c r="F281" s="162" t="n">
        <v>0.38</v>
      </c>
      <c r="G281" s="52" t="n">
        <v>6</v>
      </c>
      <c r="H281" s="162" t="n">
        <v>2.28</v>
      </c>
      <c r="I281" s="162" t="n">
        <v>2.552</v>
      </c>
      <c r="J281" s="52" t="n">
        <v>156</v>
      </c>
      <c r="K281" s="52" t="inlineStr">
        <is>
          <t>12</t>
        </is>
      </c>
      <c r="L281" s="53" t="inlineStr">
        <is>
          <t>СК2</t>
        </is>
      </c>
      <c r="M281" s="52" t="n">
        <v>40</v>
      </c>
      <c r="N281" s="1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163" t="n"/>
      <c r="P281" s="163" t="n"/>
      <c r="Q281" s="163" t="n"/>
      <c r="R281" s="128" t="n"/>
      <c r="S281" s="54" t="n"/>
      <c r="T281" s="54" t="n"/>
      <c r="U281" s="55" t="inlineStr">
        <is>
          <t>кг</t>
        </is>
      </c>
      <c r="V281" s="164" t="n">
        <v>0</v>
      </c>
      <c r="W281" s="165">
        <f>IFERROR(IF(V281="",0,CEILING((V281/$H281),1)*$H281),"")</f>
        <v/>
      </c>
      <c r="X281" s="58">
        <f>IFERROR(IF(W281=0,"",ROUNDUP(W281/H281,0)*0.00753),"")</f>
        <v/>
      </c>
      <c r="Y281" s="59" t="n"/>
      <c r="Z281" s="60" t="n"/>
      <c r="AD281" s="61" t="n"/>
      <c r="BA281" s="62" t="inlineStr">
        <is>
          <t>КИ</t>
        </is>
      </c>
    </row>
    <row r="282">
      <c r="A282" s="10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66" t="n"/>
      <c r="N282" s="110" t="inlineStr">
        <is>
          <t>Итого</t>
        </is>
      </c>
      <c r="O282" s="134" t="n"/>
      <c r="P282" s="134" t="n"/>
      <c r="Q282" s="134" t="n"/>
      <c r="R282" s="134" t="n"/>
      <c r="S282" s="134" t="n"/>
      <c r="T282" s="135" t="n"/>
      <c r="U282" s="63" t="inlineStr">
        <is>
          <t>кор</t>
        </is>
      </c>
      <c r="V282" s="167">
        <f>IFERROR(V281/H281,"0")</f>
        <v/>
      </c>
      <c r="W282" s="167">
        <f>IFERROR(W281/H281,"0")</f>
        <v/>
      </c>
      <c r="X282" s="167">
        <f>IFERROR(IF(X281="",0,X281),"0")</f>
        <v/>
      </c>
      <c r="Y282" s="168" t="n"/>
      <c r="Z282" s="16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66" t="n"/>
      <c r="N283" s="110" t="inlineStr">
        <is>
          <t>Итого</t>
        </is>
      </c>
      <c r="O283" s="134" t="n"/>
      <c r="P283" s="134" t="n"/>
      <c r="Q283" s="134" t="n"/>
      <c r="R283" s="134" t="n"/>
      <c r="S283" s="134" t="n"/>
      <c r="T283" s="135" t="n"/>
      <c r="U283" s="63" t="inlineStr">
        <is>
          <t>кг</t>
        </is>
      </c>
      <c r="V283" s="167">
        <f>IFERROR(SUM(V281:V281),"0")</f>
        <v/>
      </c>
      <c r="W283" s="167">
        <f>IFERROR(SUM(W281:W281),"0")</f>
        <v/>
      </c>
      <c r="X283" s="63" t="n"/>
      <c r="Y283" s="168" t="n"/>
      <c r="Z283" s="168" t="n"/>
    </row>
    <row r="284" ht="14.25" customHeight="1">
      <c r="A284" s="106" t="inlineStr">
        <is>
          <t>Сырокопченые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06" t="n"/>
      <c r="Z284" s="106" t="n"/>
    </row>
    <row r="285" ht="27" customHeight="1">
      <c r="A285" s="49" t="inlineStr">
        <is>
          <t>SU002092</t>
        </is>
      </c>
      <c r="B285" s="49" t="inlineStr">
        <is>
          <t>P002290</t>
        </is>
      </c>
      <c r="C285" s="50" t="n">
        <v>4301032015</v>
      </c>
      <c r="D285" s="107" t="n">
        <v>4607091383102</v>
      </c>
      <c r="E285" s="128" t="n"/>
      <c r="F285" s="162" t="n">
        <v>0.17</v>
      </c>
      <c r="G285" s="52" t="n">
        <v>15</v>
      </c>
      <c r="H285" s="162" t="n">
        <v>2.55</v>
      </c>
      <c r="I285" s="162" t="n">
        <v>2.975</v>
      </c>
      <c r="J285" s="52" t="n">
        <v>156</v>
      </c>
      <c r="K285" s="52" t="inlineStr">
        <is>
          <t>12</t>
        </is>
      </c>
      <c r="L285" s="53" t="inlineStr">
        <is>
          <t>АК</t>
        </is>
      </c>
      <c r="M285" s="52" t="n">
        <v>180</v>
      </c>
      <c r="N285" s="1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163" t="n"/>
      <c r="P285" s="163" t="n"/>
      <c r="Q285" s="163" t="n"/>
      <c r="R285" s="128" t="n"/>
      <c r="S285" s="54" t="n"/>
      <c r="T285" s="54" t="n"/>
      <c r="U285" s="55" t="inlineStr">
        <is>
          <t>кг</t>
        </is>
      </c>
      <c r="V285" s="164" t="n">
        <v>0</v>
      </c>
      <c r="W285" s="165">
        <f>IFERROR(IF(V285="",0,CEILING((V285/$H285),1)*$H285),"")</f>
        <v/>
      </c>
      <c r="X285" s="58">
        <f>IFERROR(IF(W285=0,"",ROUNDUP(W285/H285,0)*0.00753),"")</f>
        <v/>
      </c>
      <c r="Y285" s="59" t="n"/>
      <c r="Z285" s="60" t="n"/>
      <c r="AD285" s="61" t="n"/>
      <c r="BA285" s="62" t="inlineStr">
        <is>
          <t>КИ</t>
        </is>
      </c>
    </row>
    <row r="286">
      <c r="A286" s="109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66" t="n"/>
      <c r="N286" s="110" t="inlineStr">
        <is>
          <t>Итого</t>
        </is>
      </c>
      <c r="O286" s="134" t="n"/>
      <c r="P286" s="134" t="n"/>
      <c r="Q286" s="134" t="n"/>
      <c r="R286" s="134" t="n"/>
      <c r="S286" s="134" t="n"/>
      <c r="T286" s="135" t="n"/>
      <c r="U286" s="63" t="inlineStr">
        <is>
          <t>кор</t>
        </is>
      </c>
      <c r="V286" s="167">
        <f>IFERROR(V285/H285,"0")</f>
        <v/>
      </c>
      <c r="W286" s="167">
        <f>IFERROR(W285/H285,"0")</f>
        <v/>
      </c>
      <c r="X286" s="167">
        <f>IFERROR(IF(X285="",0,X285),"0")</f>
        <v/>
      </c>
      <c r="Y286" s="168" t="n"/>
      <c r="Z286" s="168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66" t="n"/>
      <c r="N287" s="110" t="inlineStr">
        <is>
          <t>Итого</t>
        </is>
      </c>
      <c r="O287" s="134" t="n"/>
      <c r="P287" s="134" t="n"/>
      <c r="Q287" s="134" t="n"/>
      <c r="R287" s="134" t="n"/>
      <c r="S287" s="134" t="n"/>
      <c r="T287" s="135" t="n"/>
      <c r="U287" s="63" t="inlineStr">
        <is>
          <t>кг</t>
        </is>
      </c>
      <c r="V287" s="167">
        <f>IFERROR(SUM(V285:V285),"0")</f>
        <v/>
      </c>
      <c r="W287" s="167">
        <f>IFERROR(SUM(W285:W285),"0")</f>
        <v/>
      </c>
      <c r="X287" s="63" t="n"/>
      <c r="Y287" s="168" t="n"/>
      <c r="Z287" s="168" t="n"/>
    </row>
    <row r="288" ht="27.75" customHeight="1">
      <c r="A288" s="104" t="inlineStr">
        <is>
          <t>Особый рецепт</t>
        </is>
      </c>
      <c r="B288" s="161" t="n"/>
      <c r="C288" s="161" t="n"/>
      <c r="D288" s="161" t="n"/>
      <c r="E288" s="161" t="n"/>
      <c r="F288" s="161" t="n"/>
      <c r="G288" s="161" t="n"/>
      <c r="H288" s="161" t="n"/>
      <c r="I288" s="161" t="n"/>
      <c r="J288" s="161" t="n"/>
      <c r="K288" s="161" t="n"/>
      <c r="L288" s="161" t="n"/>
      <c r="M288" s="161" t="n"/>
      <c r="N288" s="161" t="n"/>
      <c r="O288" s="161" t="n"/>
      <c r="P288" s="161" t="n"/>
      <c r="Q288" s="161" t="n"/>
      <c r="R288" s="161" t="n"/>
      <c r="S288" s="161" t="n"/>
      <c r="T288" s="161" t="n"/>
      <c r="U288" s="161" t="n"/>
      <c r="V288" s="161" t="n"/>
      <c r="W288" s="161" t="n"/>
      <c r="X288" s="161" t="n"/>
      <c r="Y288" s="46" t="n"/>
      <c r="Z288" s="46" t="n"/>
    </row>
    <row r="289" ht="16.5" customHeight="1">
      <c r="A289" s="105" t="inlineStr">
        <is>
          <t>Особая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05" t="n"/>
      <c r="Z289" s="105" t="n"/>
    </row>
    <row r="290" ht="14.25" customHeight="1">
      <c r="A290" s="106" t="inlineStr">
        <is>
          <t>Вареные колбасы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06" t="n"/>
      <c r="Z290" s="106" t="n"/>
    </row>
    <row r="291" ht="27" customHeight="1">
      <c r="A291" s="49" t="inlineStr">
        <is>
          <t>SU000251</t>
        </is>
      </c>
      <c r="B291" s="49" t="inlineStr">
        <is>
          <t>P002584</t>
        </is>
      </c>
      <c r="C291" s="50" t="n">
        <v>4301011339</v>
      </c>
      <c r="D291" s="107" t="n">
        <v>4607091383997</v>
      </c>
      <c r="E291" s="128" t="n"/>
      <c r="F291" s="162" t="n">
        <v>2.5</v>
      </c>
      <c r="G291" s="52" t="n">
        <v>6</v>
      </c>
      <c r="H291" s="162" t="n">
        <v>15</v>
      </c>
      <c r="I291" s="162" t="n">
        <v>15.48</v>
      </c>
      <c r="J291" s="52" t="n">
        <v>48</v>
      </c>
      <c r="K291" s="52" t="inlineStr">
        <is>
          <t>8</t>
        </is>
      </c>
      <c r="L291" s="53" t="inlineStr">
        <is>
          <t>СК2</t>
        </is>
      </c>
      <c r="M291" s="52" t="n">
        <v>60</v>
      </c>
      <c r="N291" s="10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163" t="n"/>
      <c r="P291" s="163" t="n"/>
      <c r="Q291" s="163" t="n"/>
      <c r="R291" s="128" t="n"/>
      <c r="S291" s="54" t="n"/>
      <c r="T291" s="54" t="n"/>
      <c r="U291" s="55" t="inlineStr">
        <is>
          <t>кг</t>
        </is>
      </c>
      <c r="V291" s="164" t="n">
        <v>3350</v>
      </c>
      <c r="W291" s="165">
        <f>IFERROR(IF(V291="",0,CEILING((V291/$H291),1)*$H291),"")</f>
        <v/>
      </c>
      <c r="X291" s="58">
        <f>IFERROR(IF(W291=0,"",ROUNDUP(W291/H291,0)*0.02175),"")</f>
        <v/>
      </c>
      <c r="Y291" s="59" t="n"/>
      <c r="Z291" s="60" t="n"/>
      <c r="AD291" s="61" t="n"/>
      <c r="BA291" s="62" t="inlineStr">
        <is>
          <t>КИ</t>
        </is>
      </c>
    </row>
    <row r="292" ht="27" customHeight="1">
      <c r="A292" s="49" t="inlineStr">
        <is>
          <t>SU000251</t>
        </is>
      </c>
      <c r="B292" s="49" t="inlineStr">
        <is>
          <t>P002581</t>
        </is>
      </c>
      <c r="C292" s="50" t="n">
        <v>4301011239</v>
      </c>
      <c r="D292" s="107" t="n">
        <v>4607091383997</v>
      </c>
      <c r="E292" s="128" t="n"/>
      <c r="F292" s="162" t="n">
        <v>2.5</v>
      </c>
      <c r="G292" s="52" t="n">
        <v>6</v>
      </c>
      <c r="H292" s="162" t="n">
        <v>15</v>
      </c>
      <c r="I292" s="162" t="n">
        <v>15.48</v>
      </c>
      <c r="J292" s="52" t="n">
        <v>48</v>
      </c>
      <c r="K292" s="52" t="inlineStr">
        <is>
          <t>8</t>
        </is>
      </c>
      <c r="L292" s="53" t="inlineStr">
        <is>
          <t>ВЗ</t>
        </is>
      </c>
      <c r="M292" s="52" t="n">
        <v>60</v>
      </c>
      <c r="N292" s="1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163" t="n"/>
      <c r="P292" s="163" t="n"/>
      <c r="Q292" s="163" t="n"/>
      <c r="R292" s="128" t="n"/>
      <c r="S292" s="54" t="n"/>
      <c r="T292" s="54" t="n"/>
      <c r="U292" s="55" t="inlineStr">
        <is>
          <t>кг</t>
        </is>
      </c>
      <c r="V292" s="164" t="n">
        <v>0</v>
      </c>
      <c r="W292" s="165">
        <f>IFERROR(IF(V292="",0,CEILING((V292/$H292),1)*$H292),"")</f>
        <v/>
      </c>
      <c r="X292" s="58">
        <f>IFERROR(IF(W292=0,"",ROUNDUP(W292/H292,0)*0.02039),"")</f>
        <v/>
      </c>
      <c r="Y292" s="59" t="n"/>
      <c r="Z292" s="60" t="n"/>
      <c r="AD292" s="61" t="n"/>
      <c r="BA292" s="62" t="inlineStr">
        <is>
          <t>КИ</t>
        </is>
      </c>
    </row>
    <row r="293" ht="27" customHeight="1">
      <c r="A293" s="49" t="inlineStr">
        <is>
          <t>SU001578</t>
        </is>
      </c>
      <c r="B293" s="49" t="inlineStr">
        <is>
          <t>P002562</t>
        </is>
      </c>
      <c r="C293" s="50" t="n">
        <v>4301011326</v>
      </c>
      <c r="D293" s="107" t="n">
        <v>4607091384130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10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300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D293" s="61" t="n"/>
      <c r="BA293" s="62" t="inlineStr">
        <is>
          <t>КИ</t>
        </is>
      </c>
    </row>
    <row r="294" ht="27" customHeight="1">
      <c r="A294" s="49" t="inlineStr">
        <is>
          <t>SU001578</t>
        </is>
      </c>
      <c r="B294" s="49" t="inlineStr">
        <is>
          <t>P002582</t>
        </is>
      </c>
      <c r="C294" s="50" t="n">
        <v>4301011240</v>
      </c>
      <c r="D294" s="107" t="n">
        <v>4607091384130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10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D294" s="61" t="n"/>
      <c r="BA294" s="62" t="inlineStr">
        <is>
          <t>КИ</t>
        </is>
      </c>
    </row>
    <row r="295" ht="16.5" customHeight="1">
      <c r="A295" s="49" t="inlineStr">
        <is>
          <t>SU000102</t>
        </is>
      </c>
      <c r="B295" s="49" t="inlineStr">
        <is>
          <t>P002564</t>
        </is>
      </c>
      <c r="C295" s="50" t="n">
        <v>4301011330</v>
      </c>
      <c r="D295" s="107" t="n">
        <v>4607091384147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10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D295" s="61" t="n"/>
      <c r="BA295" s="62" t="inlineStr">
        <is>
          <t>КИ</t>
        </is>
      </c>
    </row>
    <row r="296" ht="16.5" customHeight="1">
      <c r="A296" s="49" t="inlineStr">
        <is>
          <t>SU000102</t>
        </is>
      </c>
      <c r="B296" s="49" t="inlineStr">
        <is>
          <t>P002580</t>
        </is>
      </c>
      <c r="C296" s="50" t="n">
        <v>4301011238</v>
      </c>
      <c r="D296" s="107" t="n">
        <v>4607091384147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115" t="inlineStr">
        <is>
          <t>Вареные колбасы Особая Особая Весовые П/а Особый рецепт</t>
        </is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D296" s="61" t="n"/>
      <c r="BA296" s="62" t="inlineStr">
        <is>
          <t>КИ</t>
        </is>
      </c>
    </row>
    <row r="297" ht="27" customHeight="1">
      <c r="A297" s="49" t="inlineStr">
        <is>
          <t>SU001989</t>
        </is>
      </c>
      <c r="B297" s="49" t="inlineStr">
        <is>
          <t>P002560</t>
        </is>
      </c>
      <c r="C297" s="50" t="n">
        <v>4301011327</v>
      </c>
      <c r="D297" s="107" t="n">
        <v>4607091384154</v>
      </c>
      <c r="E297" s="128" t="n"/>
      <c r="F297" s="162" t="n">
        <v>0.5</v>
      </c>
      <c r="G297" s="52" t="n">
        <v>10</v>
      </c>
      <c r="H297" s="162" t="n">
        <v>5</v>
      </c>
      <c r="I297" s="162" t="n">
        <v>5.21</v>
      </c>
      <c r="J297" s="52" t="n">
        <v>120</v>
      </c>
      <c r="K297" s="52" t="inlineStr">
        <is>
          <t>12</t>
        </is>
      </c>
      <c r="L297" s="53" t="inlineStr">
        <is>
          <t>СК2</t>
        </is>
      </c>
      <c r="M297" s="52" t="n">
        <v>60</v>
      </c>
      <c r="N297" s="10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IFERROR(IF(W297=0,"",ROUNDUP(W297/H297,0)*0.00937),"")</f>
        <v/>
      </c>
      <c r="Y297" s="59" t="n"/>
      <c r="Z297" s="60" t="n"/>
      <c r="AD297" s="61" t="n"/>
      <c r="BA297" s="62" t="inlineStr">
        <is>
          <t>КИ</t>
        </is>
      </c>
    </row>
    <row r="298" ht="27" customHeight="1">
      <c r="A298" s="49" t="inlineStr">
        <is>
          <t>SU000256</t>
        </is>
      </c>
      <c r="B298" s="49" t="inlineStr">
        <is>
          <t>P002565</t>
        </is>
      </c>
      <c r="C298" s="50" t="n">
        <v>4301011332</v>
      </c>
      <c r="D298" s="107" t="n">
        <v>4607091384161</v>
      </c>
      <c r="E298" s="128" t="n"/>
      <c r="F298" s="162" t="n">
        <v>0.5</v>
      </c>
      <c r="G298" s="52" t="n">
        <v>10</v>
      </c>
      <c r="H298" s="162" t="n">
        <v>5</v>
      </c>
      <c r="I298" s="162" t="n">
        <v>5.21</v>
      </c>
      <c r="J298" s="52" t="n">
        <v>120</v>
      </c>
      <c r="K298" s="52" t="inlineStr">
        <is>
          <t>12</t>
        </is>
      </c>
      <c r="L298" s="53" t="inlineStr">
        <is>
          <t>СК2</t>
        </is>
      </c>
      <c r="M298" s="52" t="n">
        <v>60</v>
      </c>
      <c r="N298" s="10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IFERROR(IF(W298=0,"",ROUNDUP(W298/H298,0)*0.00937),"")</f>
        <v/>
      </c>
      <c r="Y298" s="59" t="n"/>
      <c r="Z298" s="60" t="n"/>
      <c r="AD298" s="61" t="n"/>
      <c r="BA298" s="62" t="inlineStr">
        <is>
          <t>КИ</t>
        </is>
      </c>
    </row>
    <row r="299">
      <c r="A299" s="109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66" t="n"/>
      <c r="N299" s="110" t="inlineStr">
        <is>
          <t>Итого</t>
        </is>
      </c>
      <c r="O299" s="134" t="n"/>
      <c r="P299" s="134" t="n"/>
      <c r="Q299" s="134" t="n"/>
      <c r="R299" s="134" t="n"/>
      <c r="S299" s="134" t="n"/>
      <c r="T299" s="135" t="n"/>
      <c r="U299" s="63" t="inlineStr">
        <is>
          <t>кор</t>
        </is>
      </c>
      <c r="V299" s="167">
        <f>IFERROR(V291/H291,"0")+IFERROR(V292/H292,"0")+IFERROR(V293/H293,"0")+IFERROR(V294/H294,"0")+IFERROR(V295/H295,"0")+IFERROR(V296/H296,"0")+IFERROR(V297/H297,"0")+IFERROR(V298/H298,"0")</f>
        <v/>
      </c>
      <c r="W299" s="167">
        <f>IFERROR(W291/H291,"0")+IFERROR(W292/H292,"0")+IFERROR(W293/H293,"0")+IFERROR(W294/H294,"0")+IFERROR(W295/H295,"0")+IFERROR(W296/H296,"0")+IFERROR(W297/H297,"0")+IFERROR(W298/H298,"0")</f>
        <v/>
      </c>
      <c r="X299" s="16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168" t="n"/>
      <c r="Z299" s="168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66" t="n"/>
      <c r="N300" s="110" t="inlineStr">
        <is>
          <t>Итого</t>
        </is>
      </c>
      <c r="O300" s="134" t="n"/>
      <c r="P300" s="134" t="n"/>
      <c r="Q300" s="134" t="n"/>
      <c r="R300" s="134" t="n"/>
      <c r="S300" s="134" t="n"/>
      <c r="T300" s="135" t="n"/>
      <c r="U300" s="63" t="inlineStr">
        <is>
          <t>кг</t>
        </is>
      </c>
      <c r="V300" s="167">
        <f>IFERROR(SUM(V291:V298),"0")</f>
        <v/>
      </c>
      <c r="W300" s="167">
        <f>IFERROR(SUM(W291:W298),"0")</f>
        <v/>
      </c>
      <c r="X300" s="63" t="n"/>
      <c r="Y300" s="168" t="n"/>
      <c r="Z300" s="168" t="n"/>
    </row>
    <row r="301" ht="14.25" customHeight="1">
      <c r="A301" s="106" t="inlineStr">
        <is>
          <t>Ветчины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06" t="n"/>
      <c r="Z301" s="106" t="n"/>
    </row>
    <row r="302" ht="16.5" customHeight="1">
      <c r="A302" s="49" t="inlineStr">
        <is>
          <t>SU003121</t>
        </is>
      </c>
      <c r="B302" s="49" t="inlineStr">
        <is>
          <t>P003715</t>
        </is>
      </c>
      <c r="C302" s="50" t="n">
        <v>4301020270</v>
      </c>
      <c r="D302" s="107" t="n">
        <v>4680115883314</v>
      </c>
      <c r="E302" s="128" t="n"/>
      <c r="F302" s="162" t="n">
        <v>1.35</v>
      </c>
      <c r="G302" s="52" t="n">
        <v>8</v>
      </c>
      <c r="H302" s="162" t="n">
        <v>10.8</v>
      </c>
      <c r="I302" s="162" t="n">
        <v>11.28</v>
      </c>
      <c r="J302" s="52" t="n">
        <v>56</v>
      </c>
      <c r="K302" s="52" t="inlineStr">
        <is>
          <t>8</t>
        </is>
      </c>
      <c r="L302" s="53" t="inlineStr">
        <is>
          <t>СК3</t>
        </is>
      </c>
      <c r="M302" s="52" t="n">
        <v>50</v>
      </c>
      <c r="N302" s="115" t="inlineStr">
        <is>
          <t>Ветчины «Славница» Весовой п/а ТМ «Особый рецепт»</t>
        </is>
      </c>
      <c r="O302" s="163" t="n"/>
      <c r="P302" s="163" t="n"/>
      <c r="Q302" s="163" t="n"/>
      <c r="R302" s="128" t="n"/>
      <c r="S302" s="54" t="n"/>
      <c r="T302" s="54" t="n"/>
      <c r="U302" s="55" t="inlineStr">
        <is>
          <t>кг</t>
        </is>
      </c>
      <c r="V302" s="164" t="n">
        <v>0</v>
      </c>
      <c r="W302" s="165">
        <f>IFERROR(IF(V302="",0,CEILING((V302/$H302),1)*$H302),"")</f>
        <v/>
      </c>
      <c r="X302" s="58">
        <f>IFERROR(IF(W302=0,"",ROUNDUP(W302/H302,0)*0.02175),"")</f>
        <v/>
      </c>
      <c r="Y302" s="59" t="n"/>
      <c r="Z302" s="60" t="inlineStr">
        <is>
          <t>Новинка</t>
        </is>
      </c>
      <c r="AD302" s="61" t="n"/>
      <c r="BA302" s="62" t="inlineStr">
        <is>
          <t>КИ</t>
        </is>
      </c>
    </row>
    <row r="303" ht="27" customHeight="1">
      <c r="A303" s="49" t="inlineStr">
        <is>
          <t>SU000126</t>
        </is>
      </c>
      <c r="B303" s="49" t="inlineStr">
        <is>
          <t>P002555</t>
        </is>
      </c>
      <c r="C303" s="50" t="n">
        <v>4301020178</v>
      </c>
      <c r="D303" s="107" t="n">
        <v>4607091383980</v>
      </c>
      <c r="E303" s="128" t="n"/>
      <c r="F303" s="162" t="n">
        <v>2.5</v>
      </c>
      <c r="G303" s="52" t="n">
        <v>6</v>
      </c>
      <c r="H303" s="162" t="n">
        <v>15</v>
      </c>
      <c r="I303" s="162" t="n">
        <v>15.48</v>
      </c>
      <c r="J303" s="52" t="n">
        <v>48</v>
      </c>
      <c r="K303" s="52" t="inlineStr">
        <is>
          <t>8</t>
        </is>
      </c>
      <c r="L303" s="53" t="inlineStr">
        <is>
          <t>СК1</t>
        </is>
      </c>
      <c r="M303" s="52" t="n">
        <v>50</v>
      </c>
      <c r="N303" s="1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163" t="n"/>
      <c r="P303" s="163" t="n"/>
      <c r="Q303" s="163" t="n"/>
      <c r="R303" s="128" t="n"/>
      <c r="S303" s="54" t="n"/>
      <c r="T303" s="54" t="n"/>
      <c r="U303" s="55" t="inlineStr">
        <is>
          <t>кг</t>
        </is>
      </c>
      <c r="V303" s="164" t="n">
        <v>4710</v>
      </c>
      <c r="W303" s="165">
        <f>IFERROR(IF(V303="",0,CEILING((V303/$H303),1)*$H303),"")</f>
        <v/>
      </c>
      <c r="X303" s="58">
        <f>IFERROR(IF(W303=0,"",ROUNDUP(W303/H303,0)*0.02175),"")</f>
        <v/>
      </c>
      <c r="Y303" s="59" t="n"/>
      <c r="Z303" s="60" t="n"/>
      <c r="AD303" s="61" t="n"/>
      <c r="BA303" s="62" t="inlineStr">
        <is>
          <t>КИ</t>
        </is>
      </c>
    </row>
    <row r="304" ht="27" customHeight="1">
      <c r="A304" s="49" t="inlineStr">
        <is>
          <t>SU002027</t>
        </is>
      </c>
      <c r="B304" s="49" t="inlineStr">
        <is>
          <t>P002556</t>
        </is>
      </c>
      <c r="C304" s="50" t="n">
        <v>4301020179</v>
      </c>
      <c r="D304" s="107" t="n">
        <v>4607091384178</v>
      </c>
      <c r="E304" s="128" t="n"/>
      <c r="F304" s="162" t="n">
        <v>0.4</v>
      </c>
      <c r="G304" s="52" t="n">
        <v>10</v>
      </c>
      <c r="H304" s="162" t="n">
        <v>4</v>
      </c>
      <c r="I304" s="162" t="n">
        <v>4.24</v>
      </c>
      <c r="J304" s="52" t="n">
        <v>120</v>
      </c>
      <c r="K304" s="52" t="inlineStr">
        <is>
          <t>12</t>
        </is>
      </c>
      <c r="L304" s="53" t="inlineStr">
        <is>
          <t>СК1</t>
        </is>
      </c>
      <c r="M304" s="52" t="n">
        <v>50</v>
      </c>
      <c r="N304" s="1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IFERROR(IF(W304=0,"",ROUNDUP(W304/H304,0)*0.00937),"")</f>
        <v/>
      </c>
      <c r="Y304" s="59" t="n"/>
      <c r="Z304" s="60" t="n"/>
      <c r="AD304" s="61" t="n"/>
      <c r="BA304" s="62" t="inlineStr">
        <is>
          <t>КИ</t>
        </is>
      </c>
    </row>
    <row r="305">
      <c r="A305" s="10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66" t="n"/>
      <c r="N305" s="110" t="inlineStr">
        <is>
          <t>Итого</t>
        </is>
      </c>
      <c r="O305" s="134" t="n"/>
      <c r="P305" s="134" t="n"/>
      <c r="Q305" s="134" t="n"/>
      <c r="R305" s="134" t="n"/>
      <c r="S305" s="134" t="n"/>
      <c r="T305" s="135" t="n"/>
      <c r="U305" s="63" t="inlineStr">
        <is>
          <t>кор</t>
        </is>
      </c>
      <c r="V305" s="167">
        <f>IFERROR(V302/H302,"0")+IFERROR(V303/H303,"0")+IFERROR(V304/H304,"0")</f>
        <v/>
      </c>
      <c r="W305" s="167">
        <f>IFERROR(W302/H302,"0")+IFERROR(W303/H303,"0")+IFERROR(W304/H304,"0")</f>
        <v/>
      </c>
      <c r="X305" s="167">
        <f>IFERROR(IF(X302="",0,X302),"0")+IFERROR(IF(X303="",0,X303),"0")+IFERROR(IF(X304="",0,X304),"0")</f>
        <v/>
      </c>
      <c r="Y305" s="168" t="n"/>
      <c r="Z305" s="16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66" t="n"/>
      <c r="N306" s="110" t="inlineStr">
        <is>
          <t>Итого</t>
        </is>
      </c>
      <c r="O306" s="134" t="n"/>
      <c r="P306" s="134" t="n"/>
      <c r="Q306" s="134" t="n"/>
      <c r="R306" s="134" t="n"/>
      <c r="S306" s="134" t="n"/>
      <c r="T306" s="135" t="n"/>
      <c r="U306" s="63" t="inlineStr">
        <is>
          <t>кг</t>
        </is>
      </c>
      <c r="V306" s="167">
        <f>IFERROR(SUM(V302:V304),"0")</f>
        <v/>
      </c>
      <c r="W306" s="167">
        <f>IFERROR(SUM(W302:W304),"0")</f>
        <v/>
      </c>
      <c r="X306" s="63" t="n"/>
      <c r="Y306" s="168" t="n"/>
      <c r="Z306" s="168" t="n"/>
    </row>
    <row r="307" ht="14.25" customHeight="1">
      <c r="A307" s="106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06" t="n"/>
      <c r="Z307" s="106" t="n"/>
    </row>
    <row r="308" ht="27" customHeight="1">
      <c r="A308" s="49" t="inlineStr">
        <is>
          <t>SU000246</t>
        </is>
      </c>
      <c r="B308" s="49" t="inlineStr">
        <is>
          <t>P002690</t>
        </is>
      </c>
      <c r="C308" s="50" t="n">
        <v>4301051298</v>
      </c>
      <c r="D308" s="107" t="n">
        <v>4607091384260</v>
      </c>
      <c r="E308" s="128" t="n"/>
      <c r="F308" s="162" t="n">
        <v>1.3</v>
      </c>
      <c r="G308" s="52" t="n">
        <v>6</v>
      </c>
      <c r="H308" s="162" t="n">
        <v>7.8</v>
      </c>
      <c r="I308" s="162" t="n">
        <v>8.364000000000001</v>
      </c>
      <c r="J308" s="52" t="n">
        <v>56</v>
      </c>
      <c r="K308" s="52" t="inlineStr">
        <is>
          <t>8</t>
        </is>
      </c>
      <c r="L308" s="53" t="inlineStr">
        <is>
          <t>СК2</t>
        </is>
      </c>
      <c r="M308" s="52" t="n">
        <v>35</v>
      </c>
      <c r="N308" s="10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163" t="n"/>
      <c r="P308" s="163" t="n"/>
      <c r="Q308" s="163" t="n"/>
      <c r="R308" s="128" t="n"/>
      <c r="S308" s="54" t="n"/>
      <c r="T308" s="54" t="n"/>
      <c r="U308" s="55" t="inlineStr">
        <is>
          <t>кг</t>
        </is>
      </c>
      <c r="V308" s="164" t="n">
        <v>220</v>
      </c>
      <c r="W308" s="165">
        <f>IFERROR(IF(V308="",0,CEILING((V308/$H308),1)*$H308),"")</f>
        <v/>
      </c>
      <c r="X308" s="58">
        <f>IFERROR(IF(W308=0,"",ROUNDUP(W308/H308,0)*0.02175),"")</f>
        <v/>
      </c>
      <c r="Y308" s="59" t="n"/>
      <c r="Z308" s="60" t="n"/>
      <c r="AD308" s="61" t="n"/>
      <c r="BA308" s="62" t="inlineStr">
        <is>
          <t>КИ</t>
        </is>
      </c>
    </row>
    <row r="309">
      <c r="A309" s="109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66" t="n"/>
      <c r="N309" s="110" t="inlineStr">
        <is>
          <t>Итого</t>
        </is>
      </c>
      <c r="O309" s="134" t="n"/>
      <c r="P309" s="134" t="n"/>
      <c r="Q309" s="134" t="n"/>
      <c r="R309" s="134" t="n"/>
      <c r="S309" s="134" t="n"/>
      <c r="T309" s="135" t="n"/>
      <c r="U309" s="63" t="inlineStr">
        <is>
          <t>кор</t>
        </is>
      </c>
      <c r="V309" s="167">
        <f>IFERROR(V308/H308,"0")</f>
        <v/>
      </c>
      <c r="W309" s="167">
        <f>IFERROR(W308/H308,"0")</f>
        <v/>
      </c>
      <c r="X309" s="167">
        <f>IFERROR(IF(X308="",0,X308),"0")</f>
        <v/>
      </c>
      <c r="Y309" s="168" t="n"/>
      <c r="Z309" s="16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66" t="n"/>
      <c r="N310" s="110" t="inlineStr">
        <is>
          <t>Итого</t>
        </is>
      </c>
      <c r="O310" s="134" t="n"/>
      <c r="P310" s="134" t="n"/>
      <c r="Q310" s="134" t="n"/>
      <c r="R310" s="134" t="n"/>
      <c r="S310" s="134" t="n"/>
      <c r="T310" s="135" t="n"/>
      <c r="U310" s="63" t="inlineStr">
        <is>
          <t>кг</t>
        </is>
      </c>
      <c r="V310" s="167">
        <f>IFERROR(SUM(V308:V308),"0")</f>
        <v/>
      </c>
      <c r="W310" s="167">
        <f>IFERROR(SUM(W308:W308),"0")</f>
        <v/>
      </c>
      <c r="X310" s="63" t="n"/>
      <c r="Y310" s="168" t="n"/>
      <c r="Z310" s="168" t="n"/>
    </row>
    <row r="311" ht="14.25" customHeight="1">
      <c r="A311" s="106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06" t="n"/>
      <c r="Z311" s="106" t="n"/>
    </row>
    <row r="312" ht="16.5" customHeight="1">
      <c r="A312" s="49" t="inlineStr">
        <is>
          <t>SU002287</t>
        </is>
      </c>
      <c r="B312" s="49" t="inlineStr">
        <is>
          <t>P002490</t>
        </is>
      </c>
      <c r="C312" s="50" t="n">
        <v>4301060314</v>
      </c>
      <c r="D312" s="107" t="n">
        <v>4607091384673</v>
      </c>
      <c r="E312" s="128" t="n"/>
      <c r="F312" s="162" t="n">
        <v>1.3</v>
      </c>
      <c r="G312" s="52" t="n">
        <v>6</v>
      </c>
      <c r="H312" s="162" t="n">
        <v>7.8</v>
      </c>
      <c r="I312" s="162" t="n">
        <v>8.364000000000001</v>
      </c>
      <c r="J312" s="52" t="n">
        <v>56</v>
      </c>
      <c r="K312" s="52" t="inlineStr">
        <is>
          <t>8</t>
        </is>
      </c>
      <c r="L312" s="53" t="inlineStr">
        <is>
          <t>СК2</t>
        </is>
      </c>
      <c r="M312" s="52" t="n">
        <v>30</v>
      </c>
      <c r="N312" s="1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163" t="n"/>
      <c r="P312" s="163" t="n"/>
      <c r="Q312" s="163" t="n"/>
      <c r="R312" s="128" t="n"/>
      <c r="S312" s="54" t="n"/>
      <c r="T312" s="54" t="n"/>
      <c r="U312" s="55" t="inlineStr">
        <is>
          <t>кг</t>
        </is>
      </c>
      <c r="V312" s="164" t="n">
        <v>0</v>
      </c>
      <c r="W312" s="165">
        <f>IFERROR(IF(V312="",0,CEILING((V312/$H312),1)*$H312),"")</f>
        <v/>
      </c>
      <c r="X312" s="58">
        <f>IFERROR(IF(W312=0,"",ROUNDUP(W312/H312,0)*0.02175),"")</f>
        <v/>
      </c>
      <c r="Y312" s="59" t="n"/>
      <c r="Z312" s="60" t="n"/>
      <c r="AD312" s="61" t="n"/>
      <c r="BA312" s="62" t="inlineStr">
        <is>
          <t>КИ</t>
        </is>
      </c>
    </row>
    <row r="313">
      <c r="A313" s="109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66" t="n"/>
      <c r="N313" s="110" t="inlineStr">
        <is>
          <t>Итого</t>
        </is>
      </c>
      <c r="O313" s="134" t="n"/>
      <c r="P313" s="134" t="n"/>
      <c r="Q313" s="134" t="n"/>
      <c r="R313" s="134" t="n"/>
      <c r="S313" s="134" t="n"/>
      <c r="T313" s="135" t="n"/>
      <c r="U313" s="63" t="inlineStr">
        <is>
          <t>кор</t>
        </is>
      </c>
      <c r="V313" s="167">
        <f>IFERROR(V312/H312,"0")</f>
        <v/>
      </c>
      <c r="W313" s="167">
        <f>IFERROR(W312/H312,"0")</f>
        <v/>
      </c>
      <c r="X313" s="167">
        <f>IFERROR(IF(X312="",0,X312),"0")</f>
        <v/>
      </c>
      <c r="Y313" s="168" t="n"/>
      <c r="Z313" s="16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66" t="n"/>
      <c r="N314" s="110" t="inlineStr">
        <is>
          <t>Итого</t>
        </is>
      </c>
      <c r="O314" s="134" t="n"/>
      <c r="P314" s="134" t="n"/>
      <c r="Q314" s="134" t="n"/>
      <c r="R314" s="134" t="n"/>
      <c r="S314" s="134" t="n"/>
      <c r="T314" s="135" t="n"/>
      <c r="U314" s="63" t="inlineStr">
        <is>
          <t>кг</t>
        </is>
      </c>
      <c r="V314" s="167">
        <f>IFERROR(SUM(V312:V312),"0")</f>
        <v/>
      </c>
      <c r="W314" s="167">
        <f>IFERROR(SUM(W312:W312),"0")</f>
        <v/>
      </c>
      <c r="X314" s="63" t="n"/>
      <c r="Y314" s="168" t="n"/>
      <c r="Z314" s="168" t="n"/>
    </row>
    <row r="315" ht="16.5" customHeight="1">
      <c r="A315" s="105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05" t="n"/>
      <c r="Z315" s="105" t="n"/>
    </row>
    <row r="316" ht="14.25" customHeight="1">
      <c r="A316" s="106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06" t="n"/>
      <c r="Z316" s="106" t="n"/>
    </row>
    <row r="317" ht="27" customHeight="1">
      <c r="A317" s="49" t="inlineStr">
        <is>
          <t>SU002073</t>
        </is>
      </c>
      <c r="B317" s="49" t="inlineStr">
        <is>
          <t>P002563</t>
        </is>
      </c>
      <c r="C317" s="50" t="n">
        <v>4301011324</v>
      </c>
      <c r="D317" s="107" t="n">
        <v>4607091384185</v>
      </c>
      <c r="E317" s="128" t="n"/>
      <c r="F317" s="162" t="n">
        <v>0.8</v>
      </c>
      <c r="G317" s="52" t="n">
        <v>15</v>
      </c>
      <c r="H317" s="162" t="n">
        <v>12</v>
      </c>
      <c r="I317" s="162" t="n">
        <v>12.48</v>
      </c>
      <c r="J317" s="52" t="n">
        <v>56</v>
      </c>
      <c r="K317" s="52" t="inlineStr">
        <is>
          <t>8</t>
        </is>
      </c>
      <c r="L317" s="53" t="inlineStr">
        <is>
          <t>СК2</t>
        </is>
      </c>
      <c r="M317" s="52" t="n">
        <v>60</v>
      </c>
      <c r="N317" s="1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163" t="n"/>
      <c r="P317" s="163" t="n"/>
      <c r="Q317" s="163" t="n"/>
      <c r="R317" s="128" t="n"/>
      <c r="S317" s="54" t="n"/>
      <c r="T317" s="54" t="n"/>
      <c r="U317" s="55" t="inlineStr">
        <is>
          <t>кг</t>
        </is>
      </c>
      <c r="V317" s="164" t="n">
        <v>36</v>
      </c>
      <c r="W317" s="165">
        <f>IFERROR(IF(V317="",0,CEILING((V317/$H317),1)*$H317),"")</f>
        <v/>
      </c>
      <c r="X317" s="58">
        <f>IFERROR(IF(W317=0,"",ROUNDUP(W317/H317,0)*0.02175),"")</f>
        <v/>
      </c>
      <c r="Y317" s="59" t="n"/>
      <c r="Z317" s="60" t="n"/>
      <c r="AD317" s="61" t="n"/>
      <c r="BA317" s="62" t="inlineStr">
        <is>
          <t>КИ</t>
        </is>
      </c>
    </row>
    <row r="318" ht="27" customHeight="1">
      <c r="A318" s="49" t="inlineStr">
        <is>
          <t>SU002187</t>
        </is>
      </c>
      <c r="B318" s="49" t="inlineStr">
        <is>
          <t>P002559</t>
        </is>
      </c>
      <c r="C318" s="50" t="n">
        <v>4301011312</v>
      </c>
      <c r="D318" s="107" t="n">
        <v>4607091384192</v>
      </c>
      <c r="E318" s="128" t="n"/>
      <c r="F318" s="162" t="n">
        <v>1.8</v>
      </c>
      <c r="G318" s="52" t="n">
        <v>6</v>
      </c>
      <c r="H318" s="162" t="n">
        <v>10.8</v>
      </c>
      <c r="I318" s="162" t="n">
        <v>11.28</v>
      </c>
      <c r="J318" s="52" t="n">
        <v>56</v>
      </c>
      <c r="K318" s="52" t="inlineStr">
        <is>
          <t>8</t>
        </is>
      </c>
      <c r="L318" s="53" t="inlineStr">
        <is>
          <t>СК1</t>
        </is>
      </c>
      <c r="M318" s="52" t="n">
        <v>60</v>
      </c>
      <c r="N318" s="1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163" t="n"/>
      <c r="P318" s="163" t="n"/>
      <c r="Q318" s="163" t="n"/>
      <c r="R318" s="128" t="n"/>
      <c r="S318" s="54" t="n"/>
      <c r="T318" s="54" t="n"/>
      <c r="U318" s="55" t="inlineStr">
        <is>
          <t>кг</t>
        </is>
      </c>
      <c r="V318" s="164" t="n">
        <v>0</v>
      </c>
      <c r="W318" s="165">
        <f>IFERROR(IF(V318="",0,CEILING((V318/$H318),1)*$H318),"")</f>
        <v/>
      </c>
      <c r="X318" s="58">
        <f>IFERROR(IF(W318=0,"",ROUNDUP(W318/H318,0)*0.02175),"")</f>
        <v/>
      </c>
      <c r="Y318" s="59" t="n"/>
      <c r="Z318" s="60" t="n"/>
      <c r="AD318" s="61" t="n"/>
      <c r="BA318" s="62" t="inlineStr">
        <is>
          <t>КИ</t>
        </is>
      </c>
    </row>
    <row r="319" ht="27" customHeight="1">
      <c r="A319" s="49" t="inlineStr">
        <is>
          <t>SU002899</t>
        </is>
      </c>
      <c r="B319" s="49" t="inlineStr">
        <is>
          <t>P003323</t>
        </is>
      </c>
      <c r="C319" s="50" t="n">
        <v>4301011483</v>
      </c>
      <c r="D319" s="107" t="n">
        <v>4680115881907</v>
      </c>
      <c r="E319" s="128" t="n"/>
      <c r="F319" s="162" t="n">
        <v>1.8</v>
      </c>
      <c r="G319" s="52" t="n">
        <v>6</v>
      </c>
      <c r="H319" s="162" t="n">
        <v>10.8</v>
      </c>
      <c r="I319" s="162" t="n">
        <v>11.28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10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D319" s="61" t="n"/>
      <c r="BA319" s="62" t="inlineStr">
        <is>
          <t>КИ</t>
        </is>
      </c>
    </row>
    <row r="320" ht="27" customHeight="1">
      <c r="A320" s="49" t="inlineStr">
        <is>
          <t>SU002462</t>
        </is>
      </c>
      <c r="B320" s="49" t="inlineStr">
        <is>
          <t>P002768</t>
        </is>
      </c>
      <c r="C320" s="50" t="n">
        <v>4301011303</v>
      </c>
      <c r="D320" s="107" t="n">
        <v>4607091384680</v>
      </c>
      <c r="E320" s="128" t="n"/>
      <c r="F320" s="162" t="n">
        <v>0.4</v>
      </c>
      <c r="G320" s="52" t="n">
        <v>10</v>
      </c>
      <c r="H320" s="162" t="n">
        <v>4</v>
      </c>
      <c r="I320" s="162" t="n">
        <v>4.21</v>
      </c>
      <c r="J320" s="52" t="n">
        <v>120</v>
      </c>
      <c r="K320" s="52" t="inlineStr">
        <is>
          <t>12</t>
        </is>
      </c>
      <c r="L320" s="53" t="inlineStr">
        <is>
          <t>СК2</t>
        </is>
      </c>
      <c r="M320" s="52" t="n">
        <v>60</v>
      </c>
      <c r="N320" s="10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IFERROR(IF(W320=0,"",ROUNDUP(W320/H320,0)*0.00937),"")</f>
        <v/>
      </c>
      <c r="Y320" s="59" t="n"/>
      <c r="Z320" s="60" t="n"/>
      <c r="AD320" s="61" t="n"/>
      <c r="BA320" s="62" t="inlineStr">
        <is>
          <t>КИ</t>
        </is>
      </c>
    </row>
    <row r="321">
      <c r="A321" s="109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66" t="n"/>
      <c r="N321" s="110" t="inlineStr">
        <is>
          <t>Итого</t>
        </is>
      </c>
      <c r="O321" s="134" t="n"/>
      <c r="P321" s="134" t="n"/>
      <c r="Q321" s="134" t="n"/>
      <c r="R321" s="134" t="n"/>
      <c r="S321" s="134" t="n"/>
      <c r="T321" s="135" t="n"/>
      <c r="U321" s="63" t="inlineStr">
        <is>
          <t>кор</t>
        </is>
      </c>
      <c r="V321" s="167">
        <f>IFERROR(V317/H317,"0")+IFERROR(V318/H318,"0")+IFERROR(V319/H319,"0")+IFERROR(V320/H320,"0")</f>
        <v/>
      </c>
      <c r="W321" s="167">
        <f>IFERROR(W317/H317,"0")+IFERROR(W318/H318,"0")+IFERROR(W319/H319,"0")+IFERROR(W320/H320,"0")</f>
        <v/>
      </c>
      <c r="X321" s="167">
        <f>IFERROR(IF(X317="",0,X317),"0")+IFERROR(IF(X318="",0,X318),"0")+IFERROR(IF(X319="",0,X319),"0")+IFERROR(IF(X320="",0,X320),"0")</f>
        <v/>
      </c>
      <c r="Y321" s="168" t="n"/>
      <c r="Z321" s="16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66" t="n"/>
      <c r="N322" s="110" t="inlineStr">
        <is>
          <t>Итого</t>
        </is>
      </c>
      <c r="O322" s="134" t="n"/>
      <c r="P322" s="134" t="n"/>
      <c r="Q322" s="134" t="n"/>
      <c r="R322" s="134" t="n"/>
      <c r="S322" s="134" t="n"/>
      <c r="T322" s="135" t="n"/>
      <c r="U322" s="63" t="inlineStr">
        <is>
          <t>кг</t>
        </is>
      </c>
      <c r="V322" s="167">
        <f>IFERROR(SUM(V317:V320),"0")</f>
        <v/>
      </c>
      <c r="W322" s="167">
        <f>IFERROR(SUM(W317:W320),"0")</f>
        <v/>
      </c>
      <c r="X322" s="63" t="n"/>
      <c r="Y322" s="168" t="n"/>
      <c r="Z322" s="168" t="n"/>
    </row>
    <row r="323" ht="14.25" customHeight="1">
      <c r="A323" s="106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06" t="n"/>
      <c r="Z323" s="106" t="n"/>
    </row>
    <row r="324" ht="27" customHeight="1">
      <c r="A324" s="49" t="inlineStr">
        <is>
          <t>SU002360</t>
        </is>
      </c>
      <c r="B324" s="49" t="inlineStr">
        <is>
          <t>P002629</t>
        </is>
      </c>
      <c r="C324" s="50" t="n">
        <v>4301031139</v>
      </c>
      <c r="D324" s="107" t="n">
        <v>4607091384802</v>
      </c>
      <c r="E324" s="128" t="n"/>
      <c r="F324" s="162" t="n">
        <v>0.73</v>
      </c>
      <c r="G324" s="52" t="n">
        <v>6</v>
      </c>
      <c r="H324" s="162" t="n">
        <v>4.38</v>
      </c>
      <c r="I324" s="162" t="n">
        <v>4.58</v>
      </c>
      <c r="J324" s="52" t="n">
        <v>156</v>
      </c>
      <c r="K324" s="52" t="inlineStr">
        <is>
          <t>12</t>
        </is>
      </c>
      <c r="L324" s="53" t="inlineStr">
        <is>
          <t>СК2</t>
        </is>
      </c>
      <c r="M324" s="52" t="n">
        <v>35</v>
      </c>
      <c r="N324" s="1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163" t="n"/>
      <c r="P324" s="163" t="n"/>
      <c r="Q324" s="163" t="n"/>
      <c r="R324" s="128" t="n"/>
      <c r="S324" s="54" t="n"/>
      <c r="T324" s="54" t="n"/>
      <c r="U324" s="55" t="inlineStr">
        <is>
          <t>кг</t>
        </is>
      </c>
      <c r="V324" s="164" t="n">
        <v>120</v>
      </c>
      <c r="W324" s="165">
        <f>IFERROR(IF(V324="",0,CEILING((V324/$H324),1)*$H324),"")</f>
        <v/>
      </c>
      <c r="X324" s="58">
        <f>IFERROR(IF(W324=0,"",ROUNDUP(W324/H324,0)*0.00753),"")</f>
        <v/>
      </c>
      <c r="Y324" s="59" t="n"/>
      <c r="Z324" s="60" t="n"/>
      <c r="AD324" s="61" t="n"/>
      <c r="BA324" s="62" t="inlineStr">
        <is>
          <t>КИ</t>
        </is>
      </c>
    </row>
    <row r="325" ht="27" customHeight="1">
      <c r="A325" s="49" t="inlineStr">
        <is>
          <t>SU002361</t>
        </is>
      </c>
      <c r="B325" s="49" t="inlineStr">
        <is>
          <t>P002630</t>
        </is>
      </c>
      <c r="C325" s="50" t="n">
        <v>4301031140</v>
      </c>
      <c r="D325" s="107" t="n">
        <v>4607091384826</v>
      </c>
      <c r="E325" s="128" t="n"/>
      <c r="F325" s="162" t="n">
        <v>0.35</v>
      </c>
      <c r="G325" s="52" t="n">
        <v>8</v>
      </c>
      <c r="H325" s="162" t="n">
        <v>2.8</v>
      </c>
      <c r="I325" s="162" t="n">
        <v>2.9</v>
      </c>
      <c r="J325" s="52" t="n">
        <v>234</v>
      </c>
      <c r="K325" s="52" t="inlineStr">
        <is>
          <t>18</t>
        </is>
      </c>
      <c r="L325" s="53" t="inlineStr">
        <is>
          <t>СК2</t>
        </is>
      </c>
      <c r="M325" s="52" t="n">
        <v>35</v>
      </c>
      <c r="N325" s="1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163" t="n"/>
      <c r="P325" s="163" t="n"/>
      <c r="Q325" s="163" t="n"/>
      <c r="R325" s="128" t="n"/>
      <c r="S325" s="54" t="n"/>
      <c r="T325" s="54" t="n"/>
      <c r="U325" s="55" t="inlineStr">
        <is>
          <t>кг</t>
        </is>
      </c>
      <c r="V325" s="164" t="n">
        <v>0</v>
      </c>
      <c r="W325" s="165">
        <f>IFERROR(IF(V325="",0,CEILING((V325/$H325),1)*$H325),"")</f>
        <v/>
      </c>
      <c r="X325" s="58">
        <f>IFERROR(IF(W325=0,"",ROUNDUP(W325/H325,0)*0.00502),"")</f>
        <v/>
      </c>
      <c r="Y325" s="59" t="n"/>
      <c r="Z325" s="60" t="n"/>
      <c r="AD325" s="61" t="n"/>
      <c r="BA325" s="62" t="inlineStr">
        <is>
          <t>КИ</t>
        </is>
      </c>
    </row>
    <row r="326">
      <c r="A326" s="10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66" t="n"/>
      <c r="N326" s="110" t="inlineStr">
        <is>
          <t>Итого</t>
        </is>
      </c>
      <c r="O326" s="134" t="n"/>
      <c r="P326" s="134" t="n"/>
      <c r="Q326" s="134" t="n"/>
      <c r="R326" s="134" t="n"/>
      <c r="S326" s="134" t="n"/>
      <c r="T326" s="135" t="n"/>
      <c r="U326" s="63" t="inlineStr">
        <is>
          <t>кор</t>
        </is>
      </c>
      <c r="V326" s="167">
        <f>IFERROR(V324/H324,"0")+IFERROR(V325/H325,"0")</f>
        <v/>
      </c>
      <c r="W326" s="167">
        <f>IFERROR(W324/H324,"0")+IFERROR(W325/H325,"0")</f>
        <v/>
      </c>
      <c r="X326" s="167">
        <f>IFERROR(IF(X324="",0,X324),"0")+IFERROR(IF(X325="",0,X325),"0")</f>
        <v/>
      </c>
      <c r="Y326" s="168" t="n"/>
      <c r="Z326" s="16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66" t="n"/>
      <c r="N327" s="110" t="inlineStr">
        <is>
          <t>Итого</t>
        </is>
      </c>
      <c r="O327" s="134" t="n"/>
      <c r="P327" s="134" t="n"/>
      <c r="Q327" s="134" t="n"/>
      <c r="R327" s="134" t="n"/>
      <c r="S327" s="134" t="n"/>
      <c r="T327" s="135" t="n"/>
      <c r="U327" s="63" t="inlineStr">
        <is>
          <t>кг</t>
        </is>
      </c>
      <c r="V327" s="167">
        <f>IFERROR(SUM(V324:V325),"0")</f>
        <v/>
      </c>
      <c r="W327" s="167">
        <f>IFERROR(SUM(W324:W325),"0")</f>
        <v/>
      </c>
      <c r="X327" s="63" t="n"/>
      <c r="Y327" s="168" t="n"/>
      <c r="Z327" s="168" t="n"/>
    </row>
    <row r="328" ht="14.25" customHeight="1">
      <c r="A328" s="106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06" t="n"/>
      <c r="Z328" s="106" t="n"/>
    </row>
    <row r="329" ht="27" customHeight="1">
      <c r="A329" s="49" t="inlineStr">
        <is>
          <t>SU002074</t>
        </is>
      </c>
      <c r="B329" s="49" t="inlineStr">
        <is>
          <t>P002693</t>
        </is>
      </c>
      <c r="C329" s="50" t="n">
        <v>4301051303</v>
      </c>
      <c r="D329" s="107" t="n">
        <v>4607091384246</v>
      </c>
      <c r="E329" s="128" t="n"/>
      <c r="F329" s="162" t="n">
        <v>1.3</v>
      </c>
      <c r="G329" s="52" t="n">
        <v>6</v>
      </c>
      <c r="H329" s="162" t="n">
        <v>7.8</v>
      </c>
      <c r="I329" s="162" t="n">
        <v>8.364000000000001</v>
      </c>
      <c r="J329" s="52" t="n">
        <v>56</v>
      </c>
      <c r="K329" s="52" t="inlineStr">
        <is>
          <t>8</t>
        </is>
      </c>
      <c r="L329" s="53" t="inlineStr">
        <is>
          <t>СК2</t>
        </is>
      </c>
      <c r="M329" s="52" t="n">
        <v>40</v>
      </c>
      <c r="N329" s="10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163" t="n"/>
      <c r="P329" s="163" t="n"/>
      <c r="Q329" s="163" t="n"/>
      <c r="R329" s="128" t="n"/>
      <c r="S329" s="54" t="n"/>
      <c r="T329" s="54" t="n"/>
      <c r="U329" s="55" t="inlineStr">
        <is>
          <t>кг</t>
        </is>
      </c>
      <c r="V329" s="164" t="n">
        <v>120</v>
      </c>
      <c r="W329" s="165">
        <f>IFERROR(IF(V329="",0,CEILING((V329/$H329),1)*$H329),"")</f>
        <v/>
      </c>
      <c r="X329" s="58">
        <f>IFERROR(IF(W329=0,"",ROUNDUP(W329/H329,0)*0.02175),"")</f>
        <v/>
      </c>
      <c r="Y329" s="59" t="n"/>
      <c r="Z329" s="60" t="n"/>
      <c r="AD329" s="61" t="n"/>
      <c r="BA329" s="62" t="inlineStr">
        <is>
          <t>КИ</t>
        </is>
      </c>
    </row>
    <row r="330" ht="27" customHeight="1">
      <c r="A330" s="49" t="inlineStr">
        <is>
          <t>SU002896</t>
        </is>
      </c>
      <c r="B330" s="49" t="inlineStr">
        <is>
          <t>P003330</t>
        </is>
      </c>
      <c r="C330" s="50" t="n">
        <v>4301051445</v>
      </c>
      <c r="D330" s="107" t="n">
        <v>4680115881976</v>
      </c>
      <c r="E330" s="128" t="n"/>
      <c r="F330" s="162" t="n">
        <v>1.3</v>
      </c>
      <c r="G330" s="52" t="n">
        <v>6</v>
      </c>
      <c r="H330" s="162" t="n">
        <v>7.8</v>
      </c>
      <c r="I330" s="162" t="n">
        <v>8.279999999999999</v>
      </c>
      <c r="J330" s="52" t="n">
        <v>56</v>
      </c>
      <c r="K330" s="52" t="inlineStr">
        <is>
          <t>8</t>
        </is>
      </c>
      <c r="L330" s="53" t="inlineStr">
        <is>
          <t>СК2</t>
        </is>
      </c>
      <c r="M330" s="52" t="n">
        <v>40</v>
      </c>
      <c r="N330" s="10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163" t="n"/>
      <c r="P330" s="163" t="n"/>
      <c r="Q330" s="163" t="n"/>
      <c r="R330" s="128" t="n"/>
      <c r="S330" s="54" t="n"/>
      <c r="T330" s="54" t="n"/>
      <c r="U330" s="55" t="inlineStr">
        <is>
          <t>кг</t>
        </is>
      </c>
      <c r="V330" s="164" t="n">
        <v>0</v>
      </c>
      <c r="W330" s="165">
        <f>IFERROR(IF(V330="",0,CEILING((V330/$H330),1)*$H330),"")</f>
        <v/>
      </c>
      <c r="X330" s="58">
        <f>IFERROR(IF(W330=0,"",ROUNDUP(W330/H330,0)*0.02175),"")</f>
        <v/>
      </c>
      <c r="Y330" s="59" t="n"/>
      <c r="Z330" s="60" t="n"/>
      <c r="AD330" s="61" t="n"/>
      <c r="BA330" s="62" t="inlineStr">
        <is>
          <t>КИ</t>
        </is>
      </c>
    </row>
    <row r="331" ht="27" customHeight="1">
      <c r="A331" s="49" t="inlineStr">
        <is>
          <t>SU002205</t>
        </is>
      </c>
      <c r="B331" s="49" t="inlineStr">
        <is>
          <t>P002694</t>
        </is>
      </c>
      <c r="C331" s="50" t="n">
        <v>4301051297</v>
      </c>
      <c r="D331" s="107" t="n">
        <v>4607091384253</v>
      </c>
      <c r="E331" s="128" t="n"/>
      <c r="F331" s="162" t="n">
        <v>0.4</v>
      </c>
      <c r="G331" s="52" t="n">
        <v>6</v>
      </c>
      <c r="H331" s="162" t="n">
        <v>2.4</v>
      </c>
      <c r="I331" s="162" t="n">
        <v>2.684</v>
      </c>
      <c r="J331" s="52" t="n">
        <v>156</v>
      </c>
      <c r="K331" s="52" t="inlineStr">
        <is>
          <t>12</t>
        </is>
      </c>
      <c r="L331" s="53" t="inlineStr">
        <is>
          <t>СК2</t>
        </is>
      </c>
      <c r="M331" s="52" t="n">
        <v>40</v>
      </c>
      <c r="N331" s="1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IFERROR(IF(W331=0,"",ROUNDUP(W331/H331,0)*0.00753),"")</f>
        <v/>
      </c>
      <c r="Y331" s="59" t="n"/>
      <c r="Z331" s="60" t="n"/>
      <c r="AD331" s="61" t="n"/>
      <c r="BA331" s="62" t="inlineStr">
        <is>
          <t>КИ</t>
        </is>
      </c>
    </row>
    <row r="332" ht="27" customHeight="1">
      <c r="A332" s="49" t="inlineStr">
        <is>
          <t>SU002895</t>
        </is>
      </c>
      <c r="B332" s="49" t="inlineStr">
        <is>
          <t>P003329</t>
        </is>
      </c>
      <c r="C332" s="50" t="n">
        <v>4301051444</v>
      </c>
      <c r="D332" s="107" t="n">
        <v>4680115881969</v>
      </c>
      <c r="E332" s="128" t="n"/>
      <c r="F332" s="162" t="n">
        <v>0.4</v>
      </c>
      <c r="G332" s="52" t="n">
        <v>6</v>
      </c>
      <c r="H332" s="162" t="n">
        <v>2.4</v>
      </c>
      <c r="I332" s="162" t="n">
        <v>2.6</v>
      </c>
      <c r="J332" s="52" t="n">
        <v>156</v>
      </c>
      <c r="K332" s="52" t="inlineStr">
        <is>
          <t>12</t>
        </is>
      </c>
      <c r="L332" s="53" t="inlineStr">
        <is>
          <t>СК2</t>
        </is>
      </c>
      <c r="M332" s="52" t="n">
        <v>40</v>
      </c>
      <c r="N332" s="1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IFERROR(IF(W332=0,"",ROUNDUP(W332/H332,0)*0.00753),"")</f>
        <v/>
      </c>
      <c r="Y332" s="59" t="n"/>
      <c r="Z332" s="60" t="n"/>
      <c r="AD332" s="61" t="n"/>
      <c r="BA332" s="62" t="inlineStr">
        <is>
          <t>КИ</t>
        </is>
      </c>
    </row>
    <row r="333">
      <c r="A333" s="109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66" t="n"/>
      <c r="N333" s="110" t="inlineStr">
        <is>
          <t>Итого</t>
        </is>
      </c>
      <c r="O333" s="134" t="n"/>
      <c r="P333" s="134" t="n"/>
      <c r="Q333" s="134" t="n"/>
      <c r="R333" s="134" t="n"/>
      <c r="S333" s="134" t="n"/>
      <c r="T333" s="135" t="n"/>
      <c r="U333" s="63" t="inlineStr">
        <is>
          <t>кор</t>
        </is>
      </c>
      <c r="V333" s="167">
        <f>IFERROR(V329/H329,"0")+IFERROR(V330/H330,"0")+IFERROR(V331/H331,"0")+IFERROR(V332/H332,"0")</f>
        <v/>
      </c>
      <c r="W333" s="167">
        <f>IFERROR(W329/H329,"0")+IFERROR(W330/H330,"0")+IFERROR(W331/H331,"0")+IFERROR(W332/H332,"0")</f>
        <v/>
      </c>
      <c r="X333" s="167">
        <f>IFERROR(IF(X329="",0,X329),"0")+IFERROR(IF(X330="",0,X330),"0")+IFERROR(IF(X331="",0,X331),"0")+IFERROR(IF(X332="",0,X332),"0")</f>
        <v/>
      </c>
      <c r="Y333" s="168" t="n"/>
      <c r="Z333" s="16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66" t="n"/>
      <c r="N334" s="110" t="inlineStr">
        <is>
          <t>Итого</t>
        </is>
      </c>
      <c r="O334" s="134" t="n"/>
      <c r="P334" s="134" t="n"/>
      <c r="Q334" s="134" t="n"/>
      <c r="R334" s="134" t="n"/>
      <c r="S334" s="134" t="n"/>
      <c r="T334" s="135" t="n"/>
      <c r="U334" s="63" t="inlineStr">
        <is>
          <t>кг</t>
        </is>
      </c>
      <c r="V334" s="167">
        <f>IFERROR(SUM(V329:V332),"0")</f>
        <v/>
      </c>
      <c r="W334" s="167">
        <f>IFERROR(SUM(W329:W332),"0")</f>
        <v/>
      </c>
      <c r="X334" s="63" t="n"/>
      <c r="Y334" s="168" t="n"/>
      <c r="Z334" s="168" t="n"/>
    </row>
    <row r="335" ht="14.25" customHeight="1">
      <c r="A335" s="106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06" t="n"/>
      <c r="Z335" s="106" t="n"/>
    </row>
    <row r="336" ht="27" customHeight="1">
      <c r="A336" s="49" t="inlineStr">
        <is>
          <t>SU002472</t>
        </is>
      </c>
      <c r="B336" s="49" t="inlineStr">
        <is>
          <t>P002973</t>
        </is>
      </c>
      <c r="C336" s="50" t="n">
        <v>4301060322</v>
      </c>
      <c r="D336" s="107" t="n">
        <v>4607091389357</v>
      </c>
      <c r="E336" s="128" t="n"/>
      <c r="F336" s="162" t="n">
        <v>1.3</v>
      </c>
      <c r="G336" s="52" t="n">
        <v>6</v>
      </c>
      <c r="H336" s="162" t="n">
        <v>7.8</v>
      </c>
      <c r="I336" s="162" t="n">
        <v>8.279999999999999</v>
      </c>
      <c r="J336" s="52" t="n">
        <v>56</v>
      </c>
      <c r="K336" s="52" t="inlineStr">
        <is>
          <t>8</t>
        </is>
      </c>
      <c r="L336" s="53" t="inlineStr">
        <is>
          <t>СК2</t>
        </is>
      </c>
      <c r="M336" s="52" t="n">
        <v>40</v>
      </c>
      <c r="N336" s="10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163" t="n"/>
      <c r="P336" s="163" t="n"/>
      <c r="Q336" s="163" t="n"/>
      <c r="R336" s="128" t="n"/>
      <c r="S336" s="54" t="n"/>
      <c r="T336" s="54" t="n"/>
      <c r="U336" s="55" t="inlineStr">
        <is>
          <t>кг</t>
        </is>
      </c>
      <c r="V336" s="164" t="n">
        <v>70</v>
      </c>
      <c r="W336" s="165">
        <f>IFERROR(IF(V336="",0,CEILING((V336/$H336),1)*$H336),"")</f>
        <v/>
      </c>
      <c r="X336" s="58">
        <f>IFERROR(IF(W336=0,"",ROUNDUP(W336/H336,0)*0.02175),"")</f>
        <v/>
      </c>
      <c r="Y336" s="59" t="n"/>
      <c r="Z336" s="60" t="n"/>
      <c r="AD336" s="61" t="n"/>
      <c r="BA336" s="62" t="inlineStr">
        <is>
          <t>КИ</t>
        </is>
      </c>
    </row>
    <row r="337">
      <c r="A337" s="10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66" t="n"/>
      <c r="N337" s="110" t="inlineStr">
        <is>
          <t>Итого</t>
        </is>
      </c>
      <c r="O337" s="134" t="n"/>
      <c r="P337" s="134" t="n"/>
      <c r="Q337" s="134" t="n"/>
      <c r="R337" s="134" t="n"/>
      <c r="S337" s="134" t="n"/>
      <c r="T337" s="135" t="n"/>
      <c r="U337" s="63" t="inlineStr">
        <is>
          <t>кор</t>
        </is>
      </c>
      <c r="V337" s="167">
        <f>IFERROR(V336/H336,"0")</f>
        <v/>
      </c>
      <c r="W337" s="167">
        <f>IFERROR(W336/H336,"0")</f>
        <v/>
      </c>
      <c r="X337" s="167">
        <f>IFERROR(IF(X336="",0,X336),"0")</f>
        <v/>
      </c>
      <c r="Y337" s="168" t="n"/>
      <c r="Z337" s="16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66" t="n"/>
      <c r="N338" s="110" t="inlineStr">
        <is>
          <t>Итого</t>
        </is>
      </c>
      <c r="O338" s="134" t="n"/>
      <c r="P338" s="134" t="n"/>
      <c r="Q338" s="134" t="n"/>
      <c r="R338" s="134" t="n"/>
      <c r="S338" s="134" t="n"/>
      <c r="T338" s="135" t="n"/>
      <c r="U338" s="63" t="inlineStr">
        <is>
          <t>кг</t>
        </is>
      </c>
      <c r="V338" s="167">
        <f>IFERROR(SUM(V336:V336),"0")</f>
        <v/>
      </c>
      <c r="W338" s="167">
        <f>IFERROR(SUM(W336:W336),"0")</f>
        <v/>
      </c>
      <c r="X338" s="63" t="n"/>
      <c r="Y338" s="168" t="n"/>
      <c r="Z338" s="168" t="n"/>
    </row>
    <row r="339" ht="27.75" customHeight="1">
      <c r="A339" s="104" t="inlineStr">
        <is>
          <t>Баварушка</t>
        </is>
      </c>
      <c r="B339" s="161" t="n"/>
      <c r="C339" s="161" t="n"/>
      <c r="D339" s="161" t="n"/>
      <c r="E339" s="161" t="n"/>
      <c r="F339" s="161" t="n"/>
      <c r="G339" s="161" t="n"/>
      <c r="H339" s="161" t="n"/>
      <c r="I339" s="161" t="n"/>
      <c r="J339" s="161" t="n"/>
      <c r="K339" s="161" t="n"/>
      <c r="L339" s="161" t="n"/>
      <c r="M339" s="161" t="n"/>
      <c r="N339" s="161" t="n"/>
      <c r="O339" s="161" t="n"/>
      <c r="P339" s="161" t="n"/>
      <c r="Q339" s="161" t="n"/>
      <c r="R339" s="161" t="n"/>
      <c r="S339" s="161" t="n"/>
      <c r="T339" s="161" t="n"/>
      <c r="U339" s="161" t="n"/>
      <c r="V339" s="161" t="n"/>
      <c r="W339" s="161" t="n"/>
      <c r="X339" s="161" t="n"/>
      <c r="Y339" s="46" t="n"/>
      <c r="Z339" s="46" t="n"/>
    </row>
    <row r="340" ht="16.5" customHeight="1">
      <c r="A340" s="105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05" t="n"/>
      <c r="Z340" s="105" t="n"/>
    </row>
    <row r="341" ht="14.25" customHeight="1">
      <c r="A341" s="106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06" t="n"/>
      <c r="Z341" s="106" t="n"/>
    </row>
    <row r="342" ht="27" customHeight="1">
      <c r="A342" s="49" t="inlineStr">
        <is>
          <t>SU002477</t>
        </is>
      </c>
      <c r="B342" s="49" t="inlineStr">
        <is>
          <t>P003148</t>
        </is>
      </c>
      <c r="C342" s="50" t="n">
        <v>4301011428</v>
      </c>
      <c r="D342" s="107" t="n">
        <v>4607091389708</v>
      </c>
      <c r="E342" s="128" t="n"/>
      <c r="F342" s="162" t="n">
        <v>0.45</v>
      </c>
      <c r="G342" s="52" t="n">
        <v>6</v>
      </c>
      <c r="H342" s="162" t="n">
        <v>2.7</v>
      </c>
      <c r="I342" s="162" t="n">
        <v>2.9</v>
      </c>
      <c r="J342" s="52" t="n">
        <v>156</v>
      </c>
      <c r="K342" s="52" t="inlineStr">
        <is>
          <t>12</t>
        </is>
      </c>
      <c r="L342" s="53" t="inlineStr">
        <is>
          <t>СК1</t>
        </is>
      </c>
      <c r="M342" s="52" t="n">
        <v>50</v>
      </c>
      <c r="N342" s="1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163" t="n"/>
      <c r="P342" s="163" t="n"/>
      <c r="Q342" s="163" t="n"/>
      <c r="R342" s="128" t="n"/>
      <c r="S342" s="54" t="n"/>
      <c r="T342" s="54" t="n"/>
      <c r="U342" s="55" t="inlineStr">
        <is>
          <t>кг</t>
        </is>
      </c>
      <c r="V342" s="164" t="n">
        <v>0</v>
      </c>
      <c r="W342" s="165">
        <f>IFERROR(IF(V342="",0,CEILING((V342/$H342),1)*$H342),"")</f>
        <v/>
      </c>
      <c r="X342" s="58">
        <f>IFERROR(IF(W342=0,"",ROUNDUP(W342/H342,0)*0.00753),"")</f>
        <v/>
      </c>
      <c r="Y342" s="59" t="n"/>
      <c r="Z342" s="60" t="n"/>
      <c r="AD342" s="61" t="n"/>
      <c r="BA342" s="62" t="inlineStr">
        <is>
          <t>КИ</t>
        </is>
      </c>
    </row>
    <row r="343" ht="27" customHeight="1">
      <c r="A343" s="49" t="inlineStr">
        <is>
          <t>SU002476</t>
        </is>
      </c>
      <c r="B343" s="49" t="inlineStr">
        <is>
          <t>P003147</t>
        </is>
      </c>
      <c r="C343" s="50" t="n">
        <v>4301011427</v>
      </c>
      <c r="D343" s="107" t="n">
        <v>4607091389692</v>
      </c>
      <c r="E343" s="128" t="n"/>
      <c r="F343" s="162" t="n">
        <v>0.45</v>
      </c>
      <c r="G343" s="52" t="n">
        <v>6</v>
      </c>
      <c r="H343" s="162" t="n">
        <v>2.7</v>
      </c>
      <c r="I343" s="162" t="n">
        <v>2.9</v>
      </c>
      <c r="J343" s="52" t="n">
        <v>156</v>
      </c>
      <c r="K343" s="52" t="inlineStr">
        <is>
          <t>12</t>
        </is>
      </c>
      <c r="L343" s="53" t="inlineStr">
        <is>
          <t>СК1</t>
        </is>
      </c>
      <c r="M343" s="52" t="n">
        <v>50</v>
      </c>
      <c r="N343" s="10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163" t="n"/>
      <c r="P343" s="163" t="n"/>
      <c r="Q343" s="163" t="n"/>
      <c r="R343" s="128" t="n"/>
      <c r="S343" s="54" t="n"/>
      <c r="T343" s="54" t="n"/>
      <c r="U343" s="55" t="inlineStr">
        <is>
          <t>кг</t>
        </is>
      </c>
      <c r="V343" s="164" t="n">
        <v>0</v>
      </c>
      <c r="W343" s="165">
        <f>IFERROR(IF(V343="",0,CEILING((V343/$H343),1)*$H343),"")</f>
        <v/>
      </c>
      <c r="X343" s="58">
        <f>IFERROR(IF(W343=0,"",ROUNDUP(W343/H343,0)*0.00753),"")</f>
        <v/>
      </c>
      <c r="Y343" s="59" t="n"/>
      <c r="Z343" s="60" t="n"/>
      <c r="AD343" s="61" t="n"/>
      <c r="BA343" s="62" t="inlineStr">
        <is>
          <t>КИ</t>
        </is>
      </c>
    </row>
    <row r="344">
      <c r="A344" s="10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66" t="n"/>
      <c r="N344" s="110" t="inlineStr">
        <is>
          <t>Итого</t>
        </is>
      </c>
      <c r="O344" s="134" t="n"/>
      <c r="P344" s="134" t="n"/>
      <c r="Q344" s="134" t="n"/>
      <c r="R344" s="134" t="n"/>
      <c r="S344" s="134" t="n"/>
      <c r="T344" s="135" t="n"/>
      <c r="U344" s="63" t="inlineStr">
        <is>
          <t>кор</t>
        </is>
      </c>
      <c r="V344" s="167">
        <f>IFERROR(V342/H342,"0")+IFERROR(V343/H343,"0")</f>
        <v/>
      </c>
      <c r="W344" s="167">
        <f>IFERROR(W342/H342,"0")+IFERROR(W343/H343,"0")</f>
        <v/>
      </c>
      <c r="X344" s="167">
        <f>IFERROR(IF(X342="",0,X342),"0")+IFERROR(IF(X343="",0,X343),"0")</f>
        <v/>
      </c>
      <c r="Y344" s="168" t="n"/>
      <c r="Z344" s="16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66" t="n"/>
      <c r="N345" s="110" t="inlineStr">
        <is>
          <t>Итого</t>
        </is>
      </c>
      <c r="O345" s="134" t="n"/>
      <c r="P345" s="134" t="n"/>
      <c r="Q345" s="134" t="n"/>
      <c r="R345" s="134" t="n"/>
      <c r="S345" s="134" t="n"/>
      <c r="T345" s="135" t="n"/>
      <c r="U345" s="63" t="inlineStr">
        <is>
          <t>кг</t>
        </is>
      </c>
      <c r="V345" s="167">
        <f>IFERROR(SUM(V342:V343),"0")</f>
        <v/>
      </c>
      <c r="W345" s="167">
        <f>IFERROR(SUM(W342:W343),"0")</f>
        <v/>
      </c>
      <c r="X345" s="63" t="n"/>
      <c r="Y345" s="168" t="n"/>
      <c r="Z345" s="168" t="n"/>
    </row>
    <row r="346" ht="14.25" customHeight="1">
      <c r="A346" s="106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06" t="n"/>
      <c r="Z346" s="106" t="n"/>
    </row>
    <row r="347" ht="27" customHeight="1">
      <c r="A347" s="49" t="inlineStr">
        <is>
          <t>SU002614</t>
        </is>
      </c>
      <c r="B347" s="49" t="inlineStr">
        <is>
          <t>P003138</t>
        </is>
      </c>
      <c r="C347" s="50" t="n">
        <v>4301031177</v>
      </c>
      <c r="D347" s="107" t="n">
        <v>4607091389753</v>
      </c>
      <c r="E347" s="128" t="n"/>
      <c r="F347" s="162" t="n">
        <v>0.7</v>
      </c>
      <c r="G347" s="52" t="n">
        <v>6</v>
      </c>
      <c r="H347" s="162" t="n">
        <v>4.2</v>
      </c>
      <c r="I347" s="162" t="n">
        <v>4.43</v>
      </c>
      <c r="J347" s="52" t="n">
        <v>156</v>
      </c>
      <c r="K347" s="52" t="inlineStr">
        <is>
          <t>12</t>
        </is>
      </c>
      <c r="L347" s="53" t="inlineStr">
        <is>
          <t>СК2</t>
        </is>
      </c>
      <c r="M347" s="52" t="n">
        <v>45</v>
      </c>
      <c r="N347" s="10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163" t="n"/>
      <c r="P347" s="163" t="n"/>
      <c r="Q347" s="163" t="n"/>
      <c r="R347" s="128" t="n"/>
      <c r="S347" s="54" t="n"/>
      <c r="T347" s="54" t="n"/>
      <c r="U347" s="55" t="inlineStr">
        <is>
          <t>кг</t>
        </is>
      </c>
      <c r="V347" s="164" t="n">
        <v>325</v>
      </c>
      <c r="W347" s="165">
        <f>IFERROR(IF(V347="",0,CEILING((V347/$H347),1)*$H347),"")</f>
        <v/>
      </c>
      <c r="X347" s="58">
        <f>IFERROR(IF(W347=0,"",ROUNDUP(W347/H347,0)*0.00753),"")</f>
        <v/>
      </c>
      <c r="Y347" s="59" t="n"/>
      <c r="Z347" s="60" t="n"/>
      <c r="AD347" s="61" t="n"/>
      <c r="BA347" s="62" t="inlineStr">
        <is>
          <t>КИ</t>
        </is>
      </c>
    </row>
    <row r="348" ht="27" customHeight="1">
      <c r="A348" s="49" t="inlineStr">
        <is>
          <t>SU002615</t>
        </is>
      </c>
      <c r="B348" s="49" t="inlineStr">
        <is>
          <t>P003136</t>
        </is>
      </c>
      <c r="C348" s="50" t="n">
        <v>4301031174</v>
      </c>
      <c r="D348" s="107" t="n">
        <v>4607091389760</v>
      </c>
      <c r="E348" s="128" t="n"/>
      <c r="F348" s="162" t="n">
        <v>0.7</v>
      </c>
      <c r="G348" s="52" t="n">
        <v>6</v>
      </c>
      <c r="H348" s="162" t="n">
        <v>4.2</v>
      </c>
      <c r="I348" s="162" t="n">
        <v>4.43</v>
      </c>
      <c r="J348" s="52" t="n">
        <v>156</v>
      </c>
      <c r="K348" s="52" t="inlineStr">
        <is>
          <t>12</t>
        </is>
      </c>
      <c r="L348" s="53" t="inlineStr">
        <is>
          <t>СК2</t>
        </is>
      </c>
      <c r="M348" s="52" t="n">
        <v>45</v>
      </c>
      <c r="N348" s="10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163" t="n"/>
      <c r="P348" s="163" t="n"/>
      <c r="Q348" s="163" t="n"/>
      <c r="R348" s="128" t="n"/>
      <c r="S348" s="54" t="n"/>
      <c r="T348" s="54" t="n"/>
      <c r="U348" s="55" t="inlineStr">
        <is>
          <t>кг</t>
        </is>
      </c>
      <c r="V348" s="164" t="n">
        <v>110</v>
      </c>
      <c r="W348" s="165">
        <f>IFERROR(IF(V348="",0,CEILING((V348/$H348),1)*$H348),"")</f>
        <v/>
      </c>
      <c r="X348" s="58">
        <f>IFERROR(IF(W348=0,"",ROUNDUP(W348/H348,0)*0.00753),"")</f>
        <v/>
      </c>
      <c r="Y348" s="59" t="n"/>
      <c r="Z348" s="60" t="n"/>
      <c r="AD348" s="61" t="n"/>
      <c r="BA348" s="62" t="inlineStr">
        <is>
          <t>КИ</t>
        </is>
      </c>
    </row>
    <row r="349" ht="27" customHeight="1">
      <c r="A349" s="49" t="inlineStr">
        <is>
          <t>SU002613</t>
        </is>
      </c>
      <c r="B349" s="49" t="inlineStr">
        <is>
          <t>P003133</t>
        </is>
      </c>
      <c r="C349" s="50" t="n">
        <v>4301031175</v>
      </c>
      <c r="D349" s="107" t="n">
        <v>4607091389746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10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300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D349" s="61" t="n"/>
      <c r="BA349" s="62" t="inlineStr">
        <is>
          <t>КИ</t>
        </is>
      </c>
    </row>
    <row r="350" ht="37.5" customHeight="1">
      <c r="A350" s="49" t="inlineStr">
        <is>
          <t>SU003035</t>
        </is>
      </c>
      <c r="B350" s="49" t="inlineStr">
        <is>
          <t>P003496</t>
        </is>
      </c>
      <c r="C350" s="50" t="n">
        <v>4301031236</v>
      </c>
      <c r="D350" s="107" t="n">
        <v>4680115882928</v>
      </c>
      <c r="E350" s="128" t="n"/>
      <c r="F350" s="162" t="n">
        <v>0.28</v>
      </c>
      <c r="G350" s="52" t="n">
        <v>6</v>
      </c>
      <c r="H350" s="162" t="n">
        <v>1.68</v>
      </c>
      <c r="I350" s="162" t="n">
        <v>2.6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35</v>
      </c>
      <c r="N350" s="10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0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D350" s="61" t="n"/>
      <c r="BA350" s="62" t="inlineStr">
        <is>
          <t>КИ</t>
        </is>
      </c>
    </row>
    <row r="351" ht="27" customHeight="1">
      <c r="A351" s="49" t="inlineStr">
        <is>
          <t>SU003083</t>
        </is>
      </c>
      <c r="B351" s="49" t="inlineStr">
        <is>
          <t>P003646</t>
        </is>
      </c>
      <c r="C351" s="50" t="n">
        <v>4301031257</v>
      </c>
      <c r="D351" s="107" t="n">
        <v>4680115883147</v>
      </c>
      <c r="E351" s="128" t="n"/>
      <c r="F351" s="162" t="n">
        <v>0.28</v>
      </c>
      <c r="G351" s="52" t="n">
        <v>6</v>
      </c>
      <c r="H351" s="162" t="n">
        <v>1.68</v>
      </c>
      <c r="I351" s="162" t="n">
        <v>1.81</v>
      </c>
      <c r="J351" s="52" t="n">
        <v>234</v>
      </c>
      <c r="K351" s="52" t="inlineStr">
        <is>
          <t>18</t>
        </is>
      </c>
      <c r="L351" s="53" t="inlineStr">
        <is>
          <t>СК2</t>
        </is>
      </c>
      <c r="M351" s="52" t="n">
        <v>45</v>
      </c>
      <c r="N351" s="1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IFERROR(IF(W351=0,"",ROUNDUP(W351/H351,0)*0.00502),"")</f>
        <v/>
      </c>
      <c r="Y351" s="59" t="n"/>
      <c r="Z351" s="60" t="n"/>
      <c r="AD351" s="61" t="n"/>
      <c r="BA351" s="62" t="inlineStr">
        <is>
          <t>КИ</t>
        </is>
      </c>
    </row>
    <row r="352" ht="27" customHeight="1">
      <c r="A352" s="49" t="inlineStr">
        <is>
          <t>SU002538</t>
        </is>
      </c>
      <c r="B352" s="49" t="inlineStr">
        <is>
          <t>P003139</t>
        </is>
      </c>
      <c r="C352" s="50" t="n">
        <v>4301031178</v>
      </c>
      <c r="D352" s="107" t="n">
        <v>4607091384338</v>
      </c>
      <c r="E352" s="128" t="n"/>
      <c r="F352" s="162" t="n">
        <v>0.35</v>
      </c>
      <c r="G352" s="52" t="n">
        <v>6</v>
      </c>
      <c r="H352" s="162" t="n">
        <v>2.1</v>
      </c>
      <c r="I352" s="162" t="n">
        <v>2.23</v>
      </c>
      <c r="J352" s="52" t="n">
        <v>234</v>
      </c>
      <c r="K352" s="52" t="inlineStr">
        <is>
          <t>18</t>
        </is>
      </c>
      <c r="L352" s="53" t="inlineStr">
        <is>
          <t>СК2</t>
        </is>
      </c>
      <c r="M352" s="52" t="n">
        <v>45</v>
      </c>
      <c r="N352" s="10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IFERROR(IF(W352=0,"",ROUNDUP(W352/H352,0)*0.00502),"")</f>
        <v/>
      </c>
      <c r="Y352" s="59" t="n"/>
      <c r="Z352" s="60" t="n"/>
      <c r="AD352" s="61" t="n"/>
      <c r="BA352" s="62" t="inlineStr">
        <is>
          <t>КИ</t>
        </is>
      </c>
    </row>
    <row r="353" ht="37.5" customHeight="1">
      <c r="A353" s="49" t="inlineStr">
        <is>
          <t>SU003079</t>
        </is>
      </c>
      <c r="B353" s="49" t="inlineStr">
        <is>
          <t>P003643</t>
        </is>
      </c>
      <c r="C353" s="50" t="n">
        <v>4301031254</v>
      </c>
      <c r="D353" s="107" t="n">
        <v>4680115883154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1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D353" s="61" t="n"/>
      <c r="BA353" s="62" t="inlineStr">
        <is>
          <t>КИ</t>
        </is>
      </c>
    </row>
    <row r="354" ht="37.5" customHeight="1">
      <c r="A354" s="49" t="inlineStr">
        <is>
          <t>SU002602</t>
        </is>
      </c>
      <c r="B354" s="49" t="inlineStr">
        <is>
          <t>P003132</t>
        </is>
      </c>
      <c r="C354" s="50" t="n">
        <v>4301031171</v>
      </c>
      <c r="D354" s="107" t="n">
        <v>4607091389524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10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0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D354" s="61" t="n"/>
      <c r="BA354" s="62" t="inlineStr">
        <is>
          <t>КИ</t>
        </is>
      </c>
    </row>
    <row r="355" ht="27" customHeight="1">
      <c r="A355" s="49" t="inlineStr">
        <is>
          <t>SU003080</t>
        </is>
      </c>
      <c r="B355" s="49" t="inlineStr">
        <is>
          <t>P003647</t>
        </is>
      </c>
      <c r="C355" s="50" t="n">
        <v>4301031258</v>
      </c>
      <c r="D355" s="107" t="n">
        <v>4680115883161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10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D355" s="61" t="n"/>
      <c r="BA355" s="62" t="inlineStr">
        <is>
          <t>КИ</t>
        </is>
      </c>
    </row>
    <row r="356" ht="27" customHeight="1">
      <c r="A356" s="49" t="inlineStr">
        <is>
          <t>SU002603</t>
        </is>
      </c>
      <c r="B356" s="49" t="inlineStr">
        <is>
          <t>P003131</t>
        </is>
      </c>
      <c r="C356" s="50" t="n">
        <v>4301031170</v>
      </c>
      <c r="D356" s="107" t="n">
        <v>4607091384345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10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0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D356" s="61" t="n"/>
      <c r="BA356" s="62" t="inlineStr">
        <is>
          <t>КИ</t>
        </is>
      </c>
    </row>
    <row r="357" ht="27" customHeight="1">
      <c r="A357" s="49" t="inlineStr">
        <is>
          <t>SU003081</t>
        </is>
      </c>
      <c r="B357" s="49" t="inlineStr">
        <is>
          <t>P003645</t>
        </is>
      </c>
      <c r="C357" s="50" t="n">
        <v>4301031256</v>
      </c>
      <c r="D357" s="107" t="n">
        <v>4680115883178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1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D357" s="61" t="n"/>
      <c r="BA357" s="62" t="inlineStr">
        <is>
          <t>КИ</t>
        </is>
      </c>
    </row>
    <row r="358" ht="27" customHeight="1">
      <c r="A358" s="49" t="inlineStr">
        <is>
          <t>SU002606</t>
        </is>
      </c>
      <c r="B358" s="49" t="inlineStr">
        <is>
          <t>P003134</t>
        </is>
      </c>
      <c r="C358" s="50" t="n">
        <v>4301031172</v>
      </c>
      <c r="D358" s="107" t="n">
        <v>4607091389531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10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0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D358" s="61" t="n"/>
      <c r="BA358" s="62" t="inlineStr">
        <is>
          <t>КИ</t>
        </is>
      </c>
    </row>
    <row r="359" ht="27" customHeight="1">
      <c r="A359" s="49" t="inlineStr">
        <is>
          <t>SU003082</t>
        </is>
      </c>
      <c r="B359" s="49" t="inlineStr">
        <is>
          <t>P003644</t>
        </is>
      </c>
      <c r="C359" s="50" t="n">
        <v>4301031255</v>
      </c>
      <c r="D359" s="107" t="n">
        <v>4680115883185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115" t="inlineStr">
        <is>
          <t>В/к колбасы «Филейбургская с душистым чесноком» срез Фикс.вес 0,28 фиброуз в/у Баварушка</t>
        </is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D359" s="61" t="n"/>
      <c r="BA359" s="62" t="inlineStr">
        <is>
          <t>КИ</t>
        </is>
      </c>
    </row>
    <row r="360">
      <c r="A360" s="10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66" t="n"/>
      <c r="N360" s="110" t="inlineStr">
        <is>
          <t>Итого</t>
        </is>
      </c>
      <c r="O360" s="134" t="n"/>
      <c r="P360" s="134" t="n"/>
      <c r="Q360" s="134" t="n"/>
      <c r="R360" s="134" t="n"/>
      <c r="S360" s="134" t="n"/>
      <c r="T360" s="135" t="n"/>
      <c r="U360" s="63" t="inlineStr">
        <is>
          <t>кор</t>
        </is>
      </c>
      <c r="V360" s="16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16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16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168" t="n"/>
      <c r="Z360" s="16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66" t="n"/>
      <c r="N361" s="110" t="inlineStr">
        <is>
          <t>Итого</t>
        </is>
      </c>
      <c r="O361" s="134" t="n"/>
      <c r="P361" s="134" t="n"/>
      <c r="Q361" s="134" t="n"/>
      <c r="R361" s="134" t="n"/>
      <c r="S361" s="134" t="n"/>
      <c r="T361" s="135" t="n"/>
      <c r="U361" s="63" t="inlineStr">
        <is>
          <t>кг</t>
        </is>
      </c>
      <c r="V361" s="167">
        <f>IFERROR(SUM(V347:V359),"0")</f>
        <v/>
      </c>
      <c r="W361" s="167">
        <f>IFERROR(SUM(W347:W359),"0")</f>
        <v/>
      </c>
      <c r="X361" s="63" t="n"/>
      <c r="Y361" s="168" t="n"/>
      <c r="Z361" s="168" t="n"/>
    </row>
    <row r="362" ht="14.25" customHeight="1">
      <c r="A362" s="106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06" t="n"/>
      <c r="Z362" s="106" t="n"/>
    </row>
    <row r="363" ht="27" customHeight="1">
      <c r="A363" s="49" t="inlineStr">
        <is>
          <t>SU002448</t>
        </is>
      </c>
      <c r="B363" s="49" t="inlineStr">
        <is>
          <t>P002914</t>
        </is>
      </c>
      <c r="C363" s="50" t="n">
        <v>4301051258</v>
      </c>
      <c r="D363" s="107" t="n">
        <v>4607091389685</v>
      </c>
      <c r="E363" s="128" t="n"/>
      <c r="F363" s="162" t="n">
        <v>1.3</v>
      </c>
      <c r="G363" s="52" t="n">
        <v>6</v>
      </c>
      <c r="H363" s="162" t="n">
        <v>7.8</v>
      </c>
      <c r="I363" s="162" t="n">
        <v>8.346</v>
      </c>
      <c r="J363" s="52" t="n">
        <v>56</v>
      </c>
      <c r="K363" s="52" t="inlineStr">
        <is>
          <t>8</t>
        </is>
      </c>
      <c r="L363" s="53" t="inlineStr">
        <is>
          <t>СК3</t>
        </is>
      </c>
      <c r="M363" s="52" t="n">
        <v>45</v>
      </c>
      <c r="N363" s="1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163" t="n"/>
      <c r="P363" s="163" t="n"/>
      <c r="Q363" s="163" t="n"/>
      <c r="R363" s="128" t="n"/>
      <c r="S363" s="54" t="n"/>
      <c r="T363" s="54" t="n"/>
      <c r="U363" s="55" t="inlineStr">
        <is>
          <t>кг</t>
        </is>
      </c>
      <c r="V363" s="164" t="n">
        <v>30</v>
      </c>
      <c r="W363" s="165">
        <f>IFERROR(IF(V363="",0,CEILING((V363/$H363),1)*$H363),"")</f>
        <v/>
      </c>
      <c r="X363" s="58">
        <f>IFERROR(IF(W363=0,"",ROUNDUP(W363/H363,0)*0.02175),"")</f>
        <v/>
      </c>
      <c r="Y363" s="59" t="n"/>
      <c r="Z363" s="60" t="n"/>
      <c r="AD363" s="61" t="n"/>
      <c r="BA363" s="62" t="inlineStr">
        <is>
          <t>КИ</t>
        </is>
      </c>
    </row>
    <row r="364" ht="27" customHeight="1">
      <c r="A364" s="49" t="inlineStr">
        <is>
          <t>SU002557</t>
        </is>
      </c>
      <c r="B364" s="49" t="inlineStr">
        <is>
          <t>P003318</t>
        </is>
      </c>
      <c r="C364" s="50" t="n">
        <v>4301051431</v>
      </c>
      <c r="D364" s="107" t="n">
        <v>4607091389654</v>
      </c>
      <c r="E364" s="128" t="n"/>
      <c r="F364" s="162" t="n">
        <v>0.33</v>
      </c>
      <c r="G364" s="52" t="n">
        <v>6</v>
      </c>
      <c r="H364" s="162" t="n">
        <v>1.98</v>
      </c>
      <c r="I364" s="162" t="n">
        <v>2.258</v>
      </c>
      <c r="J364" s="52" t="n">
        <v>156</v>
      </c>
      <c r="K364" s="52" t="inlineStr">
        <is>
          <t>12</t>
        </is>
      </c>
      <c r="L364" s="53" t="inlineStr">
        <is>
          <t>СК3</t>
        </is>
      </c>
      <c r="M364" s="52" t="n">
        <v>45</v>
      </c>
      <c r="N364" s="1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163" t="n"/>
      <c r="P364" s="163" t="n"/>
      <c r="Q364" s="163" t="n"/>
      <c r="R364" s="128" t="n"/>
      <c r="S364" s="54" t="n"/>
      <c r="T364" s="54" t="n"/>
      <c r="U364" s="55" t="inlineStr">
        <is>
          <t>кг</t>
        </is>
      </c>
      <c r="V364" s="164" t="n">
        <v>0</v>
      </c>
      <c r="W364" s="165">
        <f>IFERROR(IF(V364="",0,CEILING((V364/$H364),1)*$H364),"")</f>
        <v/>
      </c>
      <c r="X364" s="58">
        <f>IFERROR(IF(W364=0,"",ROUNDUP(W364/H364,0)*0.00753),"")</f>
        <v/>
      </c>
      <c r="Y364" s="59" t="n"/>
      <c r="Z364" s="60" t="n"/>
      <c r="AD364" s="61" t="n"/>
      <c r="BA364" s="62" t="inlineStr">
        <is>
          <t>КИ</t>
        </is>
      </c>
    </row>
    <row r="365" ht="27" customHeight="1">
      <c r="A365" s="49" t="inlineStr">
        <is>
          <t>SU002285</t>
        </is>
      </c>
      <c r="B365" s="49" t="inlineStr">
        <is>
          <t>P002969</t>
        </is>
      </c>
      <c r="C365" s="50" t="n">
        <v>4301051284</v>
      </c>
      <c r="D365" s="107" t="n">
        <v>4607091384352</v>
      </c>
      <c r="E365" s="128" t="n"/>
      <c r="F365" s="162" t="n">
        <v>0.6</v>
      </c>
      <c r="G365" s="52" t="n">
        <v>4</v>
      </c>
      <c r="H365" s="162" t="n">
        <v>2.4</v>
      </c>
      <c r="I365" s="162" t="n">
        <v>2.646</v>
      </c>
      <c r="J365" s="52" t="n">
        <v>120</v>
      </c>
      <c r="K365" s="52" t="inlineStr">
        <is>
          <t>12</t>
        </is>
      </c>
      <c r="L365" s="53" t="inlineStr">
        <is>
          <t>СК3</t>
        </is>
      </c>
      <c r="M365" s="52" t="n">
        <v>45</v>
      </c>
      <c r="N365" s="1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IFERROR(IF(W365=0,"",ROUNDUP(W365/H365,0)*0.00937),"")</f>
        <v/>
      </c>
      <c r="Y365" s="59" t="n"/>
      <c r="Z365" s="60" t="n"/>
      <c r="AD365" s="61" t="n"/>
      <c r="BA365" s="62" t="inlineStr">
        <is>
          <t>КИ</t>
        </is>
      </c>
    </row>
    <row r="366" ht="27" customHeight="1">
      <c r="A366" s="49" t="inlineStr">
        <is>
          <t>SU002419</t>
        </is>
      </c>
      <c r="B366" s="49" t="inlineStr">
        <is>
          <t>P002913</t>
        </is>
      </c>
      <c r="C366" s="50" t="n">
        <v>4301051257</v>
      </c>
      <c r="D366" s="107" t="n">
        <v>4607091389661</v>
      </c>
      <c r="E366" s="128" t="n"/>
      <c r="F366" s="162" t="n">
        <v>0.55</v>
      </c>
      <c r="G366" s="52" t="n">
        <v>4</v>
      </c>
      <c r="H366" s="162" t="n">
        <v>2.2</v>
      </c>
      <c r="I366" s="162" t="n">
        <v>2.492</v>
      </c>
      <c r="J366" s="52" t="n">
        <v>120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10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0</v>
      </c>
      <c r="W366" s="165">
        <f>IFERROR(IF(V366="",0,CEILING((V366/$H366),1)*$H366),"")</f>
        <v/>
      </c>
      <c r="X366" s="58">
        <f>IFERROR(IF(W366=0,"",ROUNDUP(W366/H366,0)*0.00937),"")</f>
        <v/>
      </c>
      <c r="Y366" s="59" t="n"/>
      <c r="Z366" s="60" t="n"/>
      <c r="AD366" s="61" t="n"/>
      <c r="BA366" s="62" t="inlineStr">
        <is>
          <t>КИ</t>
        </is>
      </c>
    </row>
    <row r="367">
      <c r="A367" s="109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66" t="n"/>
      <c r="N367" s="110" t="inlineStr">
        <is>
          <t>Итого</t>
        </is>
      </c>
      <c r="O367" s="134" t="n"/>
      <c r="P367" s="134" t="n"/>
      <c r="Q367" s="134" t="n"/>
      <c r="R367" s="134" t="n"/>
      <c r="S367" s="134" t="n"/>
      <c r="T367" s="135" t="n"/>
      <c r="U367" s="63" t="inlineStr">
        <is>
          <t>кор</t>
        </is>
      </c>
      <c r="V367" s="167">
        <f>IFERROR(V363/H363,"0")+IFERROR(V364/H364,"0")+IFERROR(V365/H365,"0")+IFERROR(V366/H366,"0")</f>
        <v/>
      </c>
      <c r="W367" s="167">
        <f>IFERROR(W363/H363,"0")+IFERROR(W364/H364,"0")+IFERROR(W365/H365,"0")+IFERROR(W366/H366,"0")</f>
        <v/>
      </c>
      <c r="X367" s="167">
        <f>IFERROR(IF(X363="",0,X363),"0")+IFERROR(IF(X364="",0,X364),"0")+IFERROR(IF(X365="",0,X365),"0")+IFERROR(IF(X366="",0,X366),"0")</f>
        <v/>
      </c>
      <c r="Y367" s="168" t="n"/>
      <c r="Z367" s="16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66" t="n"/>
      <c r="N368" s="110" t="inlineStr">
        <is>
          <t>Итого</t>
        </is>
      </c>
      <c r="O368" s="134" t="n"/>
      <c r="P368" s="134" t="n"/>
      <c r="Q368" s="134" t="n"/>
      <c r="R368" s="134" t="n"/>
      <c r="S368" s="134" t="n"/>
      <c r="T368" s="135" t="n"/>
      <c r="U368" s="63" t="inlineStr">
        <is>
          <t>кг</t>
        </is>
      </c>
      <c r="V368" s="167">
        <f>IFERROR(SUM(V363:V366),"0")</f>
        <v/>
      </c>
      <c r="W368" s="167">
        <f>IFERROR(SUM(W363:W366),"0")</f>
        <v/>
      </c>
      <c r="X368" s="63" t="n"/>
      <c r="Y368" s="168" t="n"/>
      <c r="Z368" s="168" t="n"/>
    </row>
    <row r="369" ht="14.25" customHeight="1">
      <c r="A369" s="106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06" t="n"/>
      <c r="Z369" s="106" t="n"/>
    </row>
    <row r="370" ht="27" customHeight="1">
      <c r="A370" s="49" t="inlineStr">
        <is>
          <t>SU002846</t>
        </is>
      </c>
      <c r="B370" s="49" t="inlineStr">
        <is>
          <t>P003254</t>
        </is>
      </c>
      <c r="C370" s="50" t="n">
        <v>4301060352</v>
      </c>
      <c r="D370" s="107" t="n">
        <v>4680115881648</v>
      </c>
      <c r="E370" s="128" t="n"/>
      <c r="F370" s="162" t="n">
        <v>1</v>
      </c>
      <c r="G370" s="52" t="n">
        <v>4</v>
      </c>
      <c r="H370" s="162" t="n">
        <v>4</v>
      </c>
      <c r="I370" s="162" t="n">
        <v>4.404</v>
      </c>
      <c r="J370" s="52" t="n">
        <v>104</v>
      </c>
      <c r="K370" s="52" t="inlineStr">
        <is>
          <t>8</t>
        </is>
      </c>
      <c r="L370" s="53" t="inlineStr">
        <is>
          <t>СК2</t>
        </is>
      </c>
      <c r="M370" s="52" t="n">
        <v>35</v>
      </c>
      <c r="N370" s="1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163" t="n"/>
      <c r="P370" s="163" t="n"/>
      <c r="Q370" s="163" t="n"/>
      <c r="R370" s="128" t="n"/>
      <c r="S370" s="54" t="n"/>
      <c r="T370" s="54" t="n"/>
      <c r="U370" s="55" t="inlineStr">
        <is>
          <t>кг</t>
        </is>
      </c>
      <c r="V370" s="164" t="n">
        <v>0</v>
      </c>
      <c r="W370" s="165">
        <f>IFERROR(IF(V370="",0,CEILING((V370/$H370),1)*$H370),"")</f>
        <v/>
      </c>
      <c r="X370" s="58">
        <f>IFERROR(IF(W370=0,"",ROUNDUP(W370/H370,0)*0.01196),"")</f>
        <v/>
      </c>
      <c r="Y370" s="59" t="n"/>
      <c r="Z370" s="60" t="n"/>
      <c r="AD370" s="61" t="n"/>
      <c r="BA370" s="62" t="inlineStr">
        <is>
          <t>КИ</t>
        </is>
      </c>
    </row>
    <row r="371">
      <c r="A371" s="109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66" t="n"/>
      <c r="N371" s="110" t="inlineStr">
        <is>
          <t>Итого</t>
        </is>
      </c>
      <c r="O371" s="134" t="n"/>
      <c r="P371" s="134" t="n"/>
      <c r="Q371" s="134" t="n"/>
      <c r="R371" s="134" t="n"/>
      <c r="S371" s="134" t="n"/>
      <c r="T371" s="135" t="n"/>
      <c r="U371" s="63" t="inlineStr">
        <is>
          <t>кор</t>
        </is>
      </c>
      <c r="V371" s="167">
        <f>IFERROR(V370/H370,"0")</f>
        <v/>
      </c>
      <c r="W371" s="167">
        <f>IFERROR(W370/H370,"0")</f>
        <v/>
      </c>
      <c r="X371" s="167">
        <f>IFERROR(IF(X370="",0,X370),"0")</f>
        <v/>
      </c>
      <c r="Y371" s="168" t="n"/>
      <c r="Z371" s="16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66" t="n"/>
      <c r="N372" s="110" t="inlineStr">
        <is>
          <t>Итого</t>
        </is>
      </c>
      <c r="O372" s="134" t="n"/>
      <c r="P372" s="134" t="n"/>
      <c r="Q372" s="134" t="n"/>
      <c r="R372" s="134" t="n"/>
      <c r="S372" s="134" t="n"/>
      <c r="T372" s="135" t="n"/>
      <c r="U372" s="63" t="inlineStr">
        <is>
          <t>кг</t>
        </is>
      </c>
      <c r="V372" s="167">
        <f>IFERROR(SUM(V370:V370),"0")</f>
        <v/>
      </c>
      <c r="W372" s="167">
        <f>IFERROR(SUM(W370:W370),"0")</f>
        <v/>
      </c>
      <c r="X372" s="63" t="n"/>
      <c r="Y372" s="168" t="n"/>
      <c r="Z372" s="168" t="n"/>
    </row>
    <row r="373" ht="14.25" customHeight="1">
      <c r="A373" s="106" t="inlineStr">
        <is>
          <t>Сыровяленые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06" t="n"/>
      <c r="Z373" s="106" t="n"/>
    </row>
    <row r="374" ht="27" customHeight="1">
      <c r="A374" s="49" t="inlineStr">
        <is>
          <t>SU003060</t>
        </is>
      </c>
      <c r="B374" s="49" t="inlineStr">
        <is>
          <t>P003624</t>
        </is>
      </c>
      <c r="C374" s="50" t="n">
        <v>4301170009</v>
      </c>
      <c r="D374" s="107" t="n">
        <v>4680115882997</v>
      </c>
      <c r="E374" s="128" t="n"/>
      <c r="F374" s="162" t="n">
        <v>0.13</v>
      </c>
      <c r="G374" s="52" t="n">
        <v>10</v>
      </c>
      <c r="H374" s="162" t="n">
        <v>1.3</v>
      </c>
      <c r="I374" s="162" t="n">
        <v>1.46</v>
      </c>
      <c r="J374" s="52" t="n">
        <v>200</v>
      </c>
      <c r="K374" s="52" t="inlineStr">
        <is>
          <t>10</t>
        </is>
      </c>
      <c r="L374" s="53" t="inlineStr">
        <is>
          <t>ДК</t>
        </is>
      </c>
      <c r="M374" s="52" t="n">
        <v>150</v>
      </c>
      <c r="N374" s="115" t="inlineStr">
        <is>
          <t>с/в колбасы «Филейбургская с филе сочного окорока» ф/в 0,13 н/о ТМ «Баварушка»</t>
        </is>
      </c>
      <c r="O374" s="163" t="n"/>
      <c r="P374" s="163" t="n"/>
      <c r="Q374" s="163" t="n"/>
      <c r="R374" s="128" t="n"/>
      <c r="S374" s="54" t="n"/>
      <c r="T374" s="54" t="n"/>
      <c r="U374" s="55" t="inlineStr">
        <is>
          <t>кг</t>
        </is>
      </c>
      <c r="V374" s="164" t="n">
        <v>0</v>
      </c>
      <c r="W374" s="165">
        <f>IFERROR(IF(V374="",0,CEILING((V374/$H374),1)*$H374),"")</f>
        <v/>
      </c>
      <c r="X374" s="58">
        <f>IFERROR(IF(W374=0,"",ROUNDUP(W374/H374,0)*0.00673),"")</f>
        <v/>
      </c>
      <c r="Y374" s="59" t="n"/>
      <c r="Z374" s="60" t="n"/>
      <c r="AD374" s="61" t="n"/>
      <c r="BA374" s="62" t="inlineStr">
        <is>
          <t>КИ</t>
        </is>
      </c>
    </row>
    <row r="375">
      <c r="A375" s="109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66" t="n"/>
      <c r="N375" s="110" t="inlineStr">
        <is>
          <t>Итого</t>
        </is>
      </c>
      <c r="O375" s="134" t="n"/>
      <c r="P375" s="134" t="n"/>
      <c r="Q375" s="134" t="n"/>
      <c r="R375" s="134" t="n"/>
      <c r="S375" s="134" t="n"/>
      <c r="T375" s="135" t="n"/>
      <c r="U375" s="63" t="inlineStr">
        <is>
          <t>кор</t>
        </is>
      </c>
      <c r="V375" s="167">
        <f>IFERROR(V374/H374,"0")</f>
        <v/>
      </c>
      <c r="W375" s="167">
        <f>IFERROR(W374/H374,"0")</f>
        <v/>
      </c>
      <c r="X375" s="167">
        <f>IFERROR(IF(X374="",0,X374),"0")</f>
        <v/>
      </c>
      <c r="Y375" s="168" t="n"/>
      <c r="Z375" s="168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66" t="n"/>
      <c r="N376" s="110" t="inlineStr">
        <is>
          <t>Итого</t>
        </is>
      </c>
      <c r="O376" s="134" t="n"/>
      <c r="P376" s="134" t="n"/>
      <c r="Q376" s="134" t="n"/>
      <c r="R376" s="134" t="n"/>
      <c r="S376" s="134" t="n"/>
      <c r="T376" s="135" t="n"/>
      <c r="U376" s="63" t="inlineStr">
        <is>
          <t>кг</t>
        </is>
      </c>
      <c r="V376" s="167">
        <f>IFERROR(SUM(V374:V374),"0")</f>
        <v/>
      </c>
      <c r="W376" s="167">
        <f>IFERROR(SUM(W374:W374),"0")</f>
        <v/>
      </c>
      <c r="X376" s="63" t="n"/>
      <c r="Y376" s="168" t="n"/>
      <c r="Z376" s="168" t="n"/>
    </row>
    <row r="377" ht="16.5" customHeight="1">
      <c r="A377" s="105" t="inlineStr">
        <is>
          <t>Балыкбургская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05" t="n"/>
      <c r="Z377" s="105" t="n"/>
    </row>
    <row r="378" ht="14.25" customHeight="1">
      <c r="A378" s="106" t="inlineStr">
        <is>
          <t>Ветчины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06" t="n"/>
      <c r="Z378" s="106" t="n"/>
    </row>
    <row r="379" ht="27" customHeight="1">
      <c r="A379" s="49" t="inlineStr">
        <is>
          <t>SU002542</t>
        </is>
      </c>
      <c r="B379" s="49" t="inlineStr">
        <is>
          <t>P002847</t>
        </is>
      </c>
      <c r="C379" s="50" t="n">
        <v>4301020196</v>
      </c>
      <c r="D379" s="107" t="n">
        <v>4607091389388</v>
      </c>
      <c r="E379" s="128" t="n"/>
      <c r="F379" s="162" t="n">
        <v>1.3</v>
      </c>
      <c r="G379" s="52" t="n">
        <v>4</v>
      </c>
      <c r="H379" s="162" t="n">
        <v>5.2</v>
      </c>
      <c r="I379" s="162" t="n">
        <v>5.608</v>
      </c>
      <c r="J379" s="52" t="n">
        <v>104</v>
      </c>
      <c r="K379" s="52" t="inlineStr">
        <is>
          <t>8</t>
        </is>
      </c>
      <c r="L379" s="53" t="inlineStr">
        <is>
          <t>СК3</t>
        </is>
      </c>
      <c r="M379" s="52" t="n">
        <v>35</v>
      </c>
      <c r="N379" s="1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163" t="n"/>
      <c r="P379" s="163" t="n"/>
      <c r="Q379" s="163" t="n"/>
      <c r="R379" s="128" t="n"/>
      <c r="S379" s="54" t="n"/>
      <c r="T379" s="54" t="n"/>
      <c r="U379" s="55" t="inlineStr">
        <is>
          <t>кг</t>
        </is>
      </c>
      <c r="V379" s="164" t="n">
        <v>30</v>
      </c>
      <c r="W379" s="165">
        <f>IFERROR(IF(V379="",0,CEILING((V379/$H379),1)*$H379),"")</f>
        <v/>
      </c>
      <c r="X379" s="58">
        <f>IFERROR(IF(W379=0,"",ROUNDUP(W379/H379,0)*0.01196),"")</f>
        <v/>
      </c>
      <c r="Y379" s="59" t="n"/>
      <c r="Z379" s="60" t="n"/>
      <c r="AD379" s="61" t="n"/>
      <c r="BA379" s="62" t="inlineStr">
        <is>
          <t>КИ</t>
        </is>
      </c>
    </row>
    <row r="380" ht="27" customHeight="1">
      <c r="A380" s="49" t="inlineStr">
        <is>
          <t>SU002319</t>
        </is>
      </c>
      <c r="B380" s="49" t="inlineStr">
        <is>
          <t>P002597</t>
        </is>
      </c>
      <c r="C380" s="50" t="n">
        <v>4301020185</v>
      </c>
      <c r="D380" s="107" t="n">
        <v>4607091389364</v>
      </c>
      <c r="E380" s="128" t="n"/>
      <c r="F380" s="162" t="n">
        <v>0.42</v>
      </c>
      <c r="G380" s="52" t="n">
        <v>6</v>
      </c>
      <c r="H380" s="162" t="n">
        <v>2.52</v>
      </c>
      <c r="I380" s="162" t="n">
        <v>2.75</v>
      </c>
      <c r="J380" s="52" t="n">
        <v>156</v>
      </c>
      <c r="K380" s="52" t="inlineStr">
        <is>
          <t>12</t>
        </is>
      </c>
      <c r="L380" s="53" t="inlineStr">
        <is>
          <t>СК3</t>
        </is>
      </c>
      <c r="M380" s="52" t="n">
        <v>35</v>
      </c>
      <c r="N380" s="10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163" t="n"/>
      <c r="P380" s="163" t="n"/>
      <c r="Q380" s="163" t="n"/>
      <c r="R380" s="128" t="n"/>
      <c r="S380" s="54" t="n"/>
      <c r="T380" s="54" t="n"/>
      <c r="U380" s="55" t="inlineStr">
        <is>
          <t>кг</t>
        </is>
      </c>
      <c r="V380" s="164" t="n">
        <v>0</v>
      </c>
      <c r="W380" s="165">
        <f>IFERROR(IF(V380="",0,CEILING((V380/$H380),1)*$H380),"")</f>
        <v/>
      </c>
      <c r="X380" s="58">
        <f>IFERROR(IF(W380=0,"",ROUNDUP(W380/H380,0)*0.00753),"")</f>
        <v/>
      </c>
      <c r="Y380" s="59" t="n"/>
      <c r="Z380" s="60" t="n"/>
      <c r="AD380" s="61" t="n"/>
      <c r="BA380" s="62" t="inlineStr">
        <is>
          <t>КИ</t>
        </is>
      </c>
    </row>
    <row r="381">
      <c r="A381" s="109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66" t="n"/>
      <c r="N381" s="110" t="inlineStr">
        <is>
          <t>Итого</t>
        </is>
      </c>
      <c r="O381" s="134" t="n"/>
      <c r="P381" s="134" t="n"/>
      <c r="Q381" s="134" t="n"/>
      <c r="R381" s="134" t="n"/>
      <c r="S381" s="134" t="n"/>
      <c r="T381" s="135" t="n"/>
      <c r="U381" s="63" t="inlineStr">
        <is>
          <t>кор</t>
        </is>
      </c>
      <c r="V381" s="167">
        <f>IFERROR(V379/H379,"0")+IFERROR(V380/H380,"0")</f>
        <v/>
      </c>
      <c r="W381" s="167">
        <f>IFERROR(W379/H379,"0")+IFERROR(W380/H380,"0")</f>
        <v/>
      </c>
      <c r="X381" s="167">
        <f>IFERROR(IF(X379="",0,X379),"0")+IFERROR(IF(X380="",0,X380),"0")</f>
        <v/>
      </c>
      <c r="Y381" s="168" t="n"/>
      <c r="Z381" s="16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66" t="n"/>
      <c r="N382" s="110" t="inlineStr">
        <is>
          <t>Итого</t>
        </is>
      </c>
      <c r="O382" s="134" t="n"/>
      <c r="P382" s="134" t="n"/>
      <c r="Q382" s="134" t="n"/>
      <c r="R382" s="134" t="n"/>
      <c r="S382" s="134" t="n"/>
      <c r="T382" s="135" t="n"/>
      <c r="U382" s="63" t="inlineStr">
        <is>
          <t>кг</t>
        </is>
      </c>
      <c r="V382" s="167">
        <f>IFERROR(SUM(V379:V380),"0")</f>
        <v/>
      </c>
      <c r="W382" s="167">
        <f>IFERROR(SUM(W379:W380),"0")</f>
        <v/>
      </c>
      <c r="X382" s="63" t="n"/>
      <c r="Y382" s="168" t="n"/>
      <c r="Z382" s="168" t="n"/>
    </row>
    <row r="383" ht="14.25" customHeight="1">
      <c r="A383" s="106" t="inlineStr">
        <is>
          <t>Копченые колбасы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06" t="n"/>
      <c r="Z383" s="106" t="n"/>
    </row>
    <row r="384" ht="27" customHeight="1">
      <c r="A384" s="49" t="inlineStr">
        <is>
          <t>SU002612</t>
        </is>
      </c>
      <c r="B384" s="49" t="inlineStr">
        <is>
          <t>P003140</t>
        </is>
      </c>
      <c r="C384" s="50" t="n">
        <v>4301031212</v>
      </c>
      <c r="D384" s="107" t="n">
        <v>4607091389739</v>
      </c>
      <c r="E384" s="128" t="n"/>
      <c r="F384" s="162" t="n">
        <v>0.7</v>
      </c>
      <c r="G384" s="52" t="n">
        <v>6</v>
      </c>
      <c r="H384" s="162" t="n">
        <v>4.2</v>
      </c>
      <c r="I384" s="162" t="n">
        <v>4.43</v>
      </c>
      <c r="J384" s="52" t="n">
        <v>156</v>
      </c>
      <c r="K384" s="52" t="inlineStr">
        <is>
          <t>12</t>
        </is>
      </c>
      <c r="L384" s="53" t="inlineStr">
        <is>
          <t>СК1</t>
        </is>
      </c>
      <c r="M384" s="52" t="n">
        <v>45</v>
      </c>
      <c r="N384" s="1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163" t="n"/>
      <c r="P384" s="163" t="n"/>
      <c r="Q384" s="163" t="n"/>
      <c r="R384" s="128" t="n"/>
      <c r="S384" s="54" t="n"/>
      <c r="T384" s="54" t="n"/>
      <c r="U384" s="55" t="inlineStr">
        <is>
          <t>кг</t>
        </is>
      </c>
      <c r="V384" s="164" t="n">
        <v>470</v>
      </c>
      <c r="W384" s="165">
        <f>IFERROR(IF(V384="",0,CEILING((V384/$H384),1)*$H384),"")</f>
        <v/>
      </c>
      <c r="X384" s="58">
        <f>IFERROR(IF(W384=0,"",ROUNDUP(W384/H384,0)*0.00753),"")</f>
        <v/>
      </c>
      <c r="Y384" s="59" t="n"/>
      <c r="Z384" s="60" t="n"/>
      <c r="AD384" s="61" t="n"/>
      <c r="BA384" s="62" t="inlineStr">
        <is>
          <t>КИ</t>
        </is>
      </c>
    </row>
    <row r="385" ht="27" customHeight="1">
      <c r="A385" s="49" t="inlineStr">
        <is>
          <t>SU003071</t>
        </is>
      </c>
      <c r="B385" s="49" t="inlineStr">
        <is>
          <t>P003612</t>
        </is>
      </c>
      <c r="C385" s="50" t="n">
        <v>4301031247</v>
      </c>
      <c r="D385" s="107" t="n">
        <v>4680115883048</v>
      </c>
      <c r="E385" s="128" t="n"/>
      <c r="F385" s="162" t="n">
        <v>1</v>
      </c>
      <c r="G385" s="52" t="n">
        <v>4</v>
      </c>
      <c r="H385" s="162" t="n">
        <v>4</v>
      </c>
      <c r="I385" s="162" t="n">
        <v>4.21</v>
      </c>
      <c r="J385" s="52" t="n">
        <v>120</v>
      </c>
      <c r="K385" s="52" t="inlineStr">
        <is>
          <t>12</t>
        </is>
      </c>
      <c r="L385" s="53" t="inlineStr">
        <is>
          <t>СК2</t>
        </is>
      </c>
      <c r="M385" s="52" t="n">
        <v>40</v>
      </c>
      <c r="N385" s="1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163" t="n"/>
      <c r="P385" s="163" t="n"/>
      <c r="Q385" s="163" t="n"/>
      <c r="R385" s="128" t="n"/>
      <c r="S385" s="54" t="n"/>
      <c r="T385" s="54" t="n"/>
      <c r="U385" s="55" t="inlineStr">
        <is>
          <t>кг</t>
        </is>
      </c>
      <c r="V385" s="164" t="n">
        <v>0</v>
      </c>
      <c r="W385" s="165">
        <f>IFERROR(IF(V385="",0,CEILING((V385/$H385),1)*$H385),"")</f>
        <v/>
      </c>
      <c r="X385" s="58">
        <f>IFERROR(IF(W385=0,"",ROUNDUP(W385/H385,0)*0.00937),"")</f>
        <v/>
      </c>
      <c r="Y385" s="59" t="n"/>
      <c r="Z385" s="60" t="n"/>
      <c r="AD385" s="61" t="n"/>
      <c r="BA385" s="62" t="inlineStr">
        <is>
          <t>КИ</t>
        </is>
      </c>
    </row>
    <row r="386" ht="27" customHeight="1">
      <c r="A386" s="49" t="inlineStr">
        <is>
          <t>SU002545</t>
        </is>
      </c>
      <c r="B386" s="49" t="inlineStr">
        <is>
          <t>P003137</t>
        </is>
      </c>
      <c r="C386" s="50" t="n">
        <v>4301031176</v>
      </c>
      <c r="D386" s="107" t="n">
        <v>4607091389425</v>
      </c>
      <c r="E386" s="128" t="n"/>
      <c r="F386" s="162" t="n">
        <v>0.35</v>
      </c>
      <c r="G386" s="52" t="n">
        <v>6</v>
      </c>
      <c r="H386" s="162" t="n">
        <v>2.1</v>
      </c>
      <c r="I386" s="162" t="n">
        <v>2.23</v>
      </c>
      <c r="J386" s="52" t="n">
        <v>234</v>
      </c>
      <c r="K386" s="52" t="inlineStr">
        <is>
          <t>18</t>
        </is>
      </c>
      <c r="L386" s="53" t="inlineStr">
        <is>
          <t>СК2</t>
        </is>
      </c>
      <c r="M386" s="52" t="n">
        <v>45</v>
      </c>
      <c r="N386" s="10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IFERROR(IF(W386=0,"",ROUNDUP(W386/H386,0)*0.00502),"")</f>
        <v/>
      </c>
      <c r="Y386" s="59" t="n"/>
      <c r="Z386" s="60" t="n"/>
      <c r="AD386" s="61" t="n"/>
      <c r="BA386" s="62" t="inlineStr">
        <is>
          <t>КИ</t>
        </is>
      </c>
    </row>
    <row r="387" ht="27" customHeight="1">
      <c r="A387" s="49" t="inlineStr">
        <is>
          <t>SU002917</t>
        </is>
      </c>
      <c r="B387" s="49" t="inlineStr">
        <is>
          <t>P003343</t>
        </is>
      </c>
      <c r="C387" s="50" t="n">
        <v>4301031215</v>
      </c>
      <c r="D387" s="107" t="n">
        <v>4680115882911</v>
      </c>
      <c r="E387" s="128" t="n"/>
      <c r="F387" s="162" t="n">
        <v>0.4</v>
      </c>
      <c r="G387" s="52" t="n">
        <v>6</v>
      </c>
      <c r="H387" s="162" t="n">
        <v>2.4</v>
      </c>
      <c r="I387" s="162" t="n">
        <v>2.53</v>
      </c>
      <c r="J387" s="52" t="n">
        <v>234</v>
      </c>
      <c r="K387" s="52" t="inlineStr">
        <is>
          <t>18</t>
        </is>
      </c>
      <c r="L387" s="53" t="inlineStr">
        <is>
          <t>СК2</t>
        </is>
      </c>
      <c r="M387" s="52" t="n">
        <v>40</v>
      </c>
      <c r="N387" s="115" t="inlineStr">
        <is>
          <t>П/к колбасы «Балыкбургская по-баварски» Фикс.вес 0,4 н/о мгс ТМ «Баварушка»</t>
        </is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IFERROR(IF(W387=0,"",ROUNDUP(W387/H387,0)*0.00502),"")</f>
        <v/>
      </c>
      <c r="Y387" s="59" t="n"/>
      <c r="Z387" s="60" t="n"/>
      <c r="AD387" s="61" t="n"/>
      <c r="BA387" s="62" t="inlineStr">
        <is>
          <t>КИ</t>
        </is>
      </c>
    </row>
    <row r="388" ht="27" customHeight="1">
      <c r="A388" s="49" t="inlineStr">
        <is>
          <t>SU002726</t>
        </is>
      </c>
      <c r="B388" s="49" t="inlineStr">
        <is>
          <t>P003095</t>
        </is>
      </c>
      <c r="C388" s="50" t="n">
        <v>4301031167</v>
      </c>
      <c r="D388" s="107" t="n">
        <v>4680115880771</v>
      </c>
      <c r="E388" s="128" t="n"/>
      <c r="F388" s="162" t="n">
        <v>0.28</v>
      </c>
      <c r="G388" s="52" t="n">
        <v>6</v>
      </c>
      <c r="H388" s="162" t="n">
        <v>1.68</v>
      </c>
      <c r="I388" s="162" t="n">
        <v>1.81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10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D388" s="61" t="n"/>
      <c r="BA388" s="62" t="inlineStr">
        <is>
          <t>КИ</t>
        </is>
      </c>
    </row>
    <row r="389" ht="27" customHeight="1">
      <c r="A389" s="49" t="inlineStr">
        <is>
          <t>SU002604</t>
        </is>
      </c>
      <c r="B389" s="49" t="inlineStr">
        <is>
          <t>P003135</t>
        </is>
      </c>
      <c r="C389" s="50" t="n">
        <v>4301031173</v>
      </c>
      <c r="D389" s="107" t="n">
        <v>4607091389500</v>
      </c>
      <c r="E389" s="128" t="n"/>
      <c r="F389" s="162" t="n">
        <v>0.35</v>
      </c>
      <c r="G389" s="52" t="n">
        <v>6</v>
      </c>
      <c r="H389" s="162" t="n">
        <v>2.1</v>
      </c>
      <c r="I389" s="162" t="n">
        <v>2.23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45</v>
      </c>
      <c r="N389" s="1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D389" s="61" t="n"/>
      <c r="BA389" s="62" t="inlineStr">
        <is>
          <t>КИ</t>
        </is>
      </c>
    </row>
    <row r="390" ht="27" customHeight="1">
      <c r="A390" s="49" t="inlineStr">
        <is>
          <t>SU002358</t>
        </is>
      </c>
      <c r="B390" s="49" t="inlineStr">
        <is>
          <t>P002642</t>
        </is>
      </c>
      <c r="C390" s="50" t="n">
        <v>4301031103</v>
      </c>
      <c r="D390" s="107" t="n">
        <v>4680115881983</v>
      </c>
      <c r="E390" s="128" t="n"/>
      <c r="F390" s="162" t="n">
        <v>0.28</v>
      </c>
      <c r="G390" s="52" t="n">
        <v>4</v>
      </c>
      <c r="H390" s="162" t="n">
        <v>1.12</v>
      </c>
      <c r="I390" s="162" t="n">
        <v>1.252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40</v>
      </c>
      <c r="N390" s="1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D390" s="61" t="n"/>
      <c r="BA390" s="62" t="inlineStr">
        <is>
          <t>КИ</t>
        </is>
      </c>
    </row>
    <row r="391">
      <c r="A391" s="10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66" t="n"/>
      <c r="N391" s="110" t="inlineStr">
        <is>
          <t>Итого</t>
        </is>
      </c>
      <c r="O391" s="134" t="n"/>
      <c r="P391" s="134" t="n"/>
      <c r="Q391" s="134" t="n"/>
      <c r="R391" s="134" t="n"/>
      <c r="S391" s="134" t="n"/>
      <c r="T391" s="135" t="n"/>
      <c r="U391" s="63" t="inlineStr">
        <is>
          <t>кор</t>
        </is>
      </c>
      <c r="V391" s="167">
        <f>IFERROR(V384/H384,"0")+IFERROR(V385/H385,"0")+IFERROR(V386/H386,"0")+IFERROR(V387/H387,"0")+IFERROR(V388/H388,"0")+IFERROR(V389/H389,"0")+IFERROR(V390/H390,"0")</f>
        <v/>
      </c>
      <c r="W391" s="167">
        <f>IFERROR(W384/H384,"0")+IFERROR(W385/H385,"0")+IFERROR(W386/H386,"0")+IFERROR(W387/H387,"0")+IFERROR(W388/H388,"0")+IFERROR(W389/H389,"0")+IFERROR(W390/H390,"0")</f>
        <v/>
      </c>
      <c r="X391" s="167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168" t="n"/>
      <c r="Z391" s="168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66" t="n"/>
      <c r="N392" s="110" t="inlineStr">
        <is>
          <t>Итого</t>
        </is>
      </c>
      <c r="O392" s="134" t="n"/>
      <c r="P392" s="134" t="n"/>
      <c r="Q392" s="134" t="n"/>
      <c r="R392" s="134" t="n"/>
      <c r="S392" s="134" t="n"/>
      <c r="T392" s="135" t="n"/>
      <c r="U392" s="63" t="inlineStr">
        <is>
          <t>кг</t>
        </is>
      </c>
      <c r="V392" s="167">
        <f>IFERROR(SUM(V384:V390),"0")</f>
        <v/>
      </c>
      <c r="W392" s="167">
        <f>IFERROR(SUM(W384:W390),"0")</f>
        <v/>
      </c>
      <c r="X392" s="63" t="n"/>
      <c r="Y392" s="168" t="n"/>
      <c r="Z392" s="168" t="n"/>
    </row>
    <row r="393" ht="14.25" customHeight="1">
      <c r="A393" s="106" t="inlineStr">
        <is>
          <t>Сыровяленые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06" t="n"/>
      <c r="Z393" s="106" t="n"/>
    </row>
    <row r="394" ht="27" customHeight="1">
      <c r="A394" s="49" t="inlineStr">
        <is>
          <t>SU003056</t>
        </is>
      </c>
      <c r="B394" s="49" t="inlineStr">
        <is>
          <t>P003622</t>
        </is>
      </c>
      <c r="C394" s="50" t="n">
        <v>4301170008</v>
      </c>
      <c r="D394" s="107" t="n">
        <v>4680115882980</v>
      </c>
      <c r="E394" s="128" t="n"/>
      <c r="F394" s="162" t="n">
        <v>0.13</v>
      </c>
      <c r="G394" s="52" t="n">
        <v>10</v>
      </c>
      <c r="H394" s="162" t="n">
        <v>1.3</v>
      </c>
      <c r="I394" s="162" t="n">
        <v>1.46</v>
      </c>
      <c r="J394" s="52" t="n">
        <v>200</v>
      </c>
      <c r="K394" s="52" t="inlineStr">
        <is>
          <t>10</t>
        </is>
      </c>
      <c r="L394" s="53" t="inlineStr">
        <is>
          <t>ДК</t>
        </is>
      </c>
      <c r="M394" s="52" t="n">
        <v>150</v>
      </c>
      <c r="N394" s="1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163" t="n"/>
      <c r="P394" s="163" t="n"/>
      <c r="Q394" s="163" t="n"/>
      <c r="R394" s="128" t="n"/>
      <c r="S394" s="54" t="n"/>
      <c r="T394" s="54" t="n"/>
      <c r="U394" s="55" t="inlineStr">
        <is>
          <t>кг</t>
        </is>
      </c>
      <c r="V394" s="164" t="n">
        <v>0</v>
      </c>
      <c r="W394" s="165">
        <f>IFERROR(IF(V394="",0,CEILING((V394/$H394),1)*$H394),"")</f>
        <v/>
      </c>
      <c r="X394" s="58">
        <f>IFERROR(IF(W394=0,"",ROUNDUP(W394/H394,0)*0.00673),"")</f>
        <v/>
      </c>
      <c r="Y394" s="59" t="n"/>
      <c r="Z394" s="60" t="n"/>
      <c r="AD394" s="61" t="n"/>
      <c r="BA394" s="62" t="inlineStr">
        <is>
          <t>КИ</t>
        </is>
      </c>
    </row>
    <row r="395">
      <c r="A395" s="109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66" t="n"/>
      <c r="N395" s="110" t="inlineStr">
        <is>
          <t>Итого</t>
        </is>
      </c>
      <c r="O395" s="134" t="n"/>
      <c r="P395" s="134" t="n"/>
      <c r="Q395" s="134" t="n"/>
      <c r="R395" s="134" t="n"/>
      <c r="S395" s="134" t="n"/>
      <c r="T395" s="135" t="n"/>
      <c r="U395" s="63" t="inlineStr">
        <is>
          <t>кор</t>
        </is>
      </c>
      <c r="V395" s="167">
        <f>IFERROR(V394/H394,"0")</f>
        <v/>
      </c>
      <c r="W395" s="167">
        <f>IFERROR(W394/H394,"0")</f>
        <v/>
      </c>
      <c r="X395" s="167">
        <f>IFERROR(IF(X394="",0,X394),"0")</f>
        <v/>
      </c>
      <c r="Y395" s="168" t="n"/>
      <c r="Z395" s="168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66" t="n"/>
      <c r="N396" s="110" t="inlineStr">
        <is>
          <t>Итого</t>
        </is>
      </c>
      <c r="O396" s="134" t="n"/>
      <c r="P396" s="134" t="n"/>
      <c r="Q396" s="134" t="n"/>
      <c r="R396" s="134" t="n"/>
      <c r="S396" s="134" t="n"/>
      <c r="T396" s="135" t="n"/>
      <c r="U396" s="63" t="inlineStr">
        <is>
          <t>кг</t>
        </is>
      </c>
      <c r="V396" s="167">
        <f>IFERROR(SUM(V394:V394),"0")</f>
        <v/>
      </c>
      <c r="W396" s="167">
        <f>IFERROR(SUM(W394:W394),"0")</f>
        <v/>
      </c>
      <c r="X396" s="63" t="n"/>
      <c r="Y396" s="168" t="n"/>
      <c r="Z396" s="168" t="n"/>
    </row>
    <row r="397" ht="27.75" customHeight="1">
      <c r="A397" s="104" t="inlineStr">
        <is>
          <t>Дугушка</t>
        </is>
      </c>
      <c r="B397" s="161" t="n"/>
      <c r="C397" s="161" t="n"/>
      <c r="D397" s="161" t="n"/>
      <c r="E397" s="161" t="n"/>
      <c r="F397" s="161" t="n"/>
      <c r="G397" s="161" t="n"/>
      <c r="H397" s="161" t="n"/>
      <c r="I397" s="161" t="n"/>
      <c r="J397" s="161" t="n"/>
      <c r="K397" s="161" t="n"/>
      <c r="L397" s="161" t="n"/>
      <c r="M397" s="161" t="n"/>
      <c r="N397" s="161" t="n"/>
      <c r="O397" s="161" t="n"/>
      <c r="P397" s="161" t="n"/>
      <c r="Q397" s="161" t="n"/>
      <c r="R397" s="161" t="n"/>
      <c r="S397" s="161" t="n"/>
      <c r="T397" s="161" t="n"/>
      <c r="U397" s="161" t="n"/>
      <c r="V397" s="161" t="n"/>
      <c r="W397" s="161" t="n"/>
      <c r="X397" s="161" t="n"/>
      <c r="Y397" s="46" t="n"/>
      <c r="Z397" s="46" t="n"/>
    </row>
    <row r="398" ht="16.5" customHeight="1">
      <c r="A398" s="105" t="inlineStr">
        <is>
          <t>Дугушка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05" t="n"/>
      <c r="Z398" s="105" t="n"/>
    </row>
    <row r="399" ht="14.25" customHeight="1">
      <c r="A399" s="106" t="inlineStr">
        <is>
          <t>Вареные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06" t="n"/>
      <c r="Z399" s="106" t="n"/>
    </row>
    <row r="400" ht="27" customHeight="1">
      <c r="A400" s="49" t="inlineStr">
        <is>
          <t>SU002011</t>
        </is>
      </c>
      <c r="B400" s="49" t="inlineStr">
        <is>
          <t>P002991</t>
        </is>
      </c>
      <c r="C400" s="50" t="n">
        <v>4301011371</v>
      </c>
      <c r="D400" s="107" t="n">
        <v>4607091389067</v>
      </c>
      <c r="E400" s="128" t="n"/>
      <c r="F400" s="162" t="n">
        <v>0.88</v>
      </c>
      <c r="G400" s="52" t="n">
        <v>6</v>
      </c>
      <c r="H400" s="162" t="n">
        <v>5.28</v>
      </c>
      <c r="I400" s="162" t="n">
        <v>5.64</v>
      </c>
      <c r="J400" s="52" t="n">
        <v>104</v>
      </c>
      <c r="K400" s="52" t="inlineStr">
        <is>
          <t>8</t>
        </is>
      </c>
      <c r="L400" s="53" t="inlineStr">
        <is>
          <t>СК3</t>
        </is>
      </c>
      <c r="M400" s="52" t="n">
        <v>55</v>
      </c>
      <c r="N400" s="1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163" t="n"/>
      <c r="P400" s="163" t="n"/>
      <c r="Q400" s="163" t="n"/>
      <c r="R400" s="128" t="n"/>
      <c r="S400" s="54" t="n"/>
      <c r="T400" s="54" t="n"/>
      <c r="U400" s="55" t="inlineStr">
        <is>
          <t>кг</t>
        </is>
      </c>
      <c r="V400" s="164" t="n">
        <v>5</v>
      </c>
      <c r="W400" s="165">
        <f>IFERROR(IF(V400="",0,CEILING((V400/$H400),1)*$H400),"")</f>
        <v/>
      </c>
      <c r="X400" s="58">
        <f>IFERROR(IF(W400=0,"",ROUNDUP(W400/H400,0)*0.01196),"")</f>
        <v/>
      </c>
      <c r="Y400" s="59" t="n"/>
      <c r="Z400" s="60" t="n"/>
      <c r="AD400" s="61" t="n"/>
      <c r="BA400" s="62" t="inlineStr">
        <is>
          <t>КИ</t>
        </is>
      </c>
    </row>
    <row r="401" ht="27" customHeight="1">
      <c r="A401" s="49" t="inlineStr">
        <is>
          <t>SU002094</t>
        </is>
      </c>
      <c r="B401" s="49" t="inlineStr">
        <is>
          <t>P002975</t>
        </is>
      </c>
      <c r="C401" s="50" t="n">
        <v>4301011363</v>
      </c>
      <c r="D401" s="107" t="n">
        <v>4607091383522</v>
      </c>
      <c r="E401" s="128" t="n"/>
      <c r="F401" s="162" t="n">
        <v>0.88</v>
      </c>
      <c r="G401" s="52" t="n">
        <v>6</v>
      </c>
      <c r="H401" s="162" t="n">
        <v>5.28</v>
      </c>
      <c r="I401" s="162" t="n">
        <v>5.64</v>
      </c>
      <c r="J401" s="52" t="n">
        <v>104</v>
      </c>
      <c r="K401" s="52" t="inlineStr">
        <is>
          <t>8</t>
        </is>
      </c>
      <c r="L401" s="53" t="inlineStr">
        <is>
          <t>СК1</t>
        </is>
      </c>
      <c r="M401" s="52" t="n">
        <v>55</v>
      </c>
      <c r="N401" s="10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163" t="n"/>
      <c r="P401" s="163" t="n"/>
      <c r="Q401" s="163" t="n"/>
      <c r="R401" s="128" t="n"/>
      <c r="S401" s="54" t="n"/>
      <c r="T401" s="54" t="n"/>
      <c r="U401" s="55" t="inlineStr">
        <is>
          <t>кг</t>
        </is>
      </c>
      <c r="V401" s="164" t="n">
        <v>0</v>
      </c>
      <c r="W401" s="165">
        <f>IFERROR(IF(V401="",0,CEILING((V401/$H401),1)*$H401),"")</f>
        <v/>
      </c>
      <c r="X401" s="58">
        <f>IFERROR(IF(W401=0,"",ROUNDUP(W401/H401,0)*0.01196),"")</f>
        <v/>
      </c>
      <c r="Y401" s="59" t="n"/>
      <c r="Z401" s="60" t="n"/>
      <c r="AD401" s="61" t="n"/>
      <c r="BA401" s="62" t="inlineStr">
        <is>
          <t>КИ</t>
        </is>
      </c>
    </row>
    <row r="402" ht="27" customHeight="1">
      <c r="A402" s="49" t="inlineStr">
        <is>
          <t>SU002182</t>
        </is>
      </c>
      <c r="B402" s="49" t="inlineStr">
        <is>
          <t>P002990</t>
        </is>
      </c>
      <c r="C402" s="50" t="n">
        <v>4301011431</v>
      </c>
      <c r="D402" s="107" t="n">
        <v>4607091384437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СК1</t>
        </is>
      </c>
      <c r="M402" s="52" t="n">
        <v>50</v>
      </c>
      <c r="N402" s="10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D402" s="61" t="n"/>
      <c r="BA402" s="62" t="inlineStr">
        <is>
          <t>КИ</t>
        </is>
      </c>
    </row>
    <row r="403" ht="27" customHeight="1">
      <c r="A403" s="49" t="inlineStr">
        <is>
          <t>SU002010</t>
        </is>
      </c>
      <c r="B403" s="49" t="inlineStr">
        <is>
          <t>P002979</t>
        </is>
      </c>
      <c r="C403" s="50" t="n">
        <v>4301011365</v>
      </c>
      <c r="D403" s="107" t="n">
        <v>4607091389104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10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D403" s="61" t="n"/>
      <c r="BA403" s="62" t="inlineStr">
        <is>
          <t>КИ</t>
        </is>
      </c>
    </row>
    <row r="404" ht="27" customHeight="1">
      <c r="A404" s="49" t="inlineStr">
        <is>
          <t>SU002632</t>
        </is>
      </c>
      <c r="B404" s="49" t="inlineStr">
        <is>
          <t>P002982</t>
        </is>
      </c>
      <c r="C404" s="50" t="n">
        <v>4301011367</v>
      </c>
      <c r="D404" s="107" t="n">
        <v>4680115880603</v>
      </c>
      <c r="E404" s="128" t="n"/>
      <c r="F404" s="162" t="n">
        <v>0.6</v>
      </c>
      <c r="G404" s="52" t="n">
        <v>6</v>
      </c>
      <c r="H404" s="162" t="n">
        <v>3.6</v>
      </c>
      <c r="I404" s="162" t="n">
        <v>3.84</v>
      </c>
      <c r="J404" s="52" t="n">
        <v>120</v>
      </c>
      <c r="K404" s="52" t="inlineStr">
        <is>
          <t>12</t>
        </is>
      </c>
      <c r="L404" s="53" t="inlineStr">
        <is>
          <t>СК1</t>
        </is>
      </c>
      <c r="M404" s="52" t="n">
        <v>55</v>
      </c>
      <c r="N404" s="10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IFERROR(IF(W404=0,"",ROUNDUP(W404/H404,0)*0.00937),"")</f>
        <v/>
      </c>
      <c r="Y404" s="59" t="n"/>
      <c r="Z404" s="60" t="n"/>
      <c r="AD404" s="61" t="n"/>
      <c r="BA404" s="62" t="inlineStr">
        <is>
          <t>КИ</t>
        </is>
      </c>
    </row>
    <row r="405" ht="27" customHeight="1">
      <c r="A405" s="49" t="inlineStr">
        <is>
          <t>SU002220</t>
        </is>
      </c>
      <c r="B405" s="49" t="inlineStr">
        <is>
          <t>P002404</t>
        </is>
      </c>
      <c r="C405" s="50" t="n">
        <v>4301011168</v>
      </c>
      <c r="D405" s="107" t="n">
        <v>4607091389999</v>
      </c>
      <c r="E405" s="128" t="n"/>
      <c r="F405" s="162" t="n">
        <v>0.6</v>
      </c>
      <c r="G405" s="52" t="n">
        <v>6</v>
      </c>
      <c r="H405" s="162" t="n">
        <v>3.6</v>
      </c>
      <c r="I405" s="162" t="n">
        <v>3.84</v>
      </c>
      <c r="J405" s="52" t="n">
        <v>120</v>
      </c>
      <c r="K405" s="52" t="inlineStr">
        <is>
          <t>12</t>
        </is>
      </c>
      <c r="L405" s="53" t="inlineStr">
        <is>
          <t>СК1</t>
        </is>
      </c>
      <c r="M405" s="52" t="n">
        <v>55</v>
      </c>
      <c r="N405" s="1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0</v>
      </c>
      <c r="W405" s="165">
        <f>IFERROR(IF(V405="",0,CEILING((V405/$H405),1)*$H405),"")</f>
        <v/>
      </c>
      <c r="X405" s="58">
        <f>IFERROR(IF(W405=0,"",ROUNDUP(W405/H405,0)*0.00937),"")</f>
        <v/>
      </c>
      <c r="Y405" s="59" t="n"/>
      <c r="Z405" s="60" t="n"/>
      <c r="AD405" s="61" t="n"/>
      <c r="BA405" s="62" t="inlineStr">
        <is>
          <t>КИ</t>
        </is>
      </c>
    </row>
    <row r="406" ht="27" customHeight="1">
      <c r="A406" s="49" t="inlineStr">
        <is>
          <t>SU002635</t>
        </is>
      </c>
      <c r="B406" s="49" t="inlineStr">
        <is>
          <t>P002992</t>
        </is>
      </c>
      <c r="C406" s="50" t="n">
        <v>4301011372</v>
      </c>
      <c r="D406" s="107" t="n">
        <v>4680115882782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50</v>
      </c>
      <c r="N406" s="10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D406" s="61" t="n"/>
      <c r="BA406" s="62" t="inlineStr">
        <is>
          <t>КИ</t>
        </is>
      </c>
    </row>
    <row r="407" ht="27" customHeight="1">
      <c r="A407" s="49" t="inlineStr">
        <is>
          <t>SU002020</t>
        </is>
      </c>
      <c r="B407" s="49" t="inlineStr">
        <is>
          <t>P002308</t>
        </is>
      </c>
      <c r="C407" s="50" t="n">
        <v>4301011190</v>
      </c>
      <c r="D407" s="107" t="n">
        <v>4607091389098</v>
      </c>
      <c r="E407" s="128" t="n"/>
      <c r="F407" s="162" t="n">
        <v>0.4</v>
      </c>
      <c r="G407" s="52" t="n">
        <v>6</v>
      </c>
      <c r="H407" s="162" t="n">
        <v>2.4</v>
      </c>
      <c r="I407" s="162" t="n">
        <v>2.6</v>
      </c>
      <c r="J407" s="52" t="n">
        <v>156</v>
      </c>
      <c r="K407" s="52" t="inlineStr">
        <is>
          <t>12</t>
        </is>
      </c>
      <c r="L407" s="53" t="inlineStr">
        <is>
          <t>СК3</t>
        </is>
      </c>
      <c r="M407" s="52" t="n">
        <v>50</v>
      </c>
      <c r="N407" s="10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IFERROR(IF(W407=0,"",ROUNDUP(W407/H407,0)*0.00753),"")</f>
        <v/>
      </c>
      <c r="Y407" s="59" t="n"/>
      <c r="Z407" s="60" t="n"/>
      <c r="AD407" s="61" t="n"/>
      <c r="BA407" s="62" t="inlineStr">
        <is>
          <t>КИ</t>
        </is>
      </c>
    </row>
    <row r="408" ht="27" customHeight="1">
      <c r="A408" s="49" t="inlineStr">
        <is>
          <t>SU002631</t>
        </is>
      </c>
      <c r="B408" s="49" t="inlineStr">
        <is>
          <t>P002981</t>
        </is>
      </c>
      <c r="C408" s="50" t="n">
        <v>4301011366</v>
      </c>
      <c r="D408" s="107" t="n">
        <v>4607091389982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55</v>
      </c>
      <c r="N408" s="1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D408" s="61" t="n"/>
      <c r="BA408" s="62" t="inlineStr">
        <is>
          <t>КИ</t>
        </is>
      </c>
    </row>
    <row r="409">
      <c r="A409" s="109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66" t="n"/>
      <c r="N409" s="110" t="inlineStr">
        <is>
          <t>Итого</t>
        </is>
      </c>
      <c r="O409" s="134" t="n"/>
      <c r="P409" s="134" t="n"/>
      <c r="Q409" s="134" t="n"/>
      <c r="R409" s="134" t="n"/>
      <c r="S409" s="134" t="n"/>
      <c r="T409" s="135" t="n"/>
      <c r="U409" s="63" t="inlineStr">
        <is>
          <t>кор</t>
        </is>
      </c>
      <c r="V409" s="167">
        <f>IFERROR(V400/H400,"0")+IFERROR(V401/H401,"0")+IFERROR(V402/H402,"0")+IFERROR(V403/H403,"0")+IFERROR(V404/H404,"0")+IFERROR(V405/H405,"0")+IFERROR(V406/H406,"0")+IFERROR(V407/H407,"0")+IFERROR(V408/H408,"0")</f>
        <v/>
      </c>
      <c r="W409" s="167">
        <f>IFERROR(W400/H400,"0")+IFERROR(W401/H401,"0")+IFERROR(W402/H402,"0")+IFERROR(W403/H403,"0")+IFERROR(W404/H404,"0")+IFERROR(W405/H405,"0")+IFERROR(W406/H406,"0")+IFERROR(W407/H407,"0")+IFERROR(W408/H408,"0")</f>
        <v/>
      </c>
      <c r="X409" s="16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168" t="n"/>
      <c r="Z409" s="168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66" t="n"/>
      <c r="N410" s="110" t="inlineStr">
        <is>
          <t>Итого</t>
        </is>
      </c>
      <c r="O410" s="134" t="n"/>
      <c r="P410" s="134" t="n"/>
      <c r="Q410" s="134" t="n"/>
      <c r="R410" s="134" t="n"/>
      <c r="S410" s="134" t="n"/>
      <c r="T410" s="135" t="n"/>
      <c r="U410" s="63" t="inlineStr">
        <is>
          <t>кг</t>
        </is>
      </c>
      <c r="V410" s="167">
        <f>IFERROR(SUM(V400:V408),"0")</f>
        <v/>
      </c>
      <c r="W410" s="167">
        <f>IFERROR(SUM(W400:W408),"0")</f>
        <v/>
      </c>
      <c r="X410" s="63" t="n"/>
      <c r="Y410" s="168" t="n"/>
      <c r="Z410" s="168" t="n"/>
    </row>
    <row r="411" ht="14.25" customHeight="1">
      <c r="A411" s="106" t="inlineStr">
        <is>
          <t>Ветчины</t>
        </is>
      </c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06" t="n"/>
      <c r="Z411" s="106" t="n"/>
    </row>
    <row r="412" ht="16.5" customHeight="1">
      <c r="A412" s="49" t="inlineStr">
        <is>
          <t>SU002035</t>
        </is>
      </c>
      <c r="B412" s="49" t="inlineStr">
        <is>
          <t>P003146</t>
        </is>
      </c>
      <c r="C412" s="50" t="n">
        <v>4301020222</v>
      </c>
      <c r="D412" s="107" t="n">
        <v>4607091388930</v>
      </c>
      <c r="E412" s="128" t="n"/>
      <c r="F412" s="162" t="n">
        <v>0.88</v>
      </c>
      <c r="G412" s="52" t="n">
        <v>6</v>
      </c>
      <c r="H412" s="162" t="n">
        <v>5.28</v>
      </c>
      <c r="I412" s="162" t="n">
        <v>5.64</v>
      </c>
      <c r="J412" s="52" t="n">
        <v>104</v>
      </c>
      <c r="K412" s="52" t="inlineStr">
        <is>
          <t>8</t>
        </is>
      </c>
      <c r="L412" s="53" t="inlineStr">
        <is>
          <t>СК1</t>
        </is>
      </c>
      <c r="M412" s="52" t="n">
        <v>55</v>
      </c>
      <c r="N412" s="108">
        <f>HYPERLINK("https://abi.ru/products/Охлажденные/Дугушка/Дугушка/Ветчины/P003146/","Ветчины Дугушка Дугушка Вес б/о Дугушка")</f>
        <v/>
      </c>
      <c r="O412" s="163" t="n"/>
      <c r="P412" s="163" t="n"/>
      <c r="Q412" s="163" t="n"/>
      <c r="R412" s="128" t="n"/>
      <c r="S412" s="54" t="n"/>
      <c r="T412" s="54" t="n"/>
      <c r="U412" s="55" t="inlineStr">
        <is>
          <t>кг</t>
        </is>
      </c>
      <c r="V412" s="164" t="n">
        <v>290</v>
      </c>
      <c r="W412" s="165">
        <f>IFERROR(IF(V412="",0,CEILING((V412/$H412),1)*$H412),"")</f>
        <v/>
      </c>
      <c r="X412" s="58">
        <f>IFERROR(IF(W412=0,"",ROUNDUP(W412/H412,0)*0.01196),"")</f>
        <v/>
      </c>
      <c r="Y412" s="59" t="n"/>
      <c r="Z412" s="60" t="n"/>
      <c r="AD412" s="61" t="n"/>
      <c r="BA412" s="62" t="inlineStr">
        <is>
          <t>КИ</t>
        </is>
      </c>
    </row>
    <row r="413" ht="16.5" customHeight="1">
      <c r="A413" s="49" t="inlineStr">
        <is>
          <t>SU002643</t>
        </is>
      </c>
      <c r="B413" s="49" t="inlineStr">
        <is>
          <t>P002993</t>
        </is>
      </c>
      <c r="C413" s="50" t="n">
        <v>4301020206</v>
      </c>
      <c r="D413" s="107" t="n">
        <v>4680115880054</v>
      </c>
      <c r="E413" s="128" t="n"/>
      <c r="F413" s="162" t="n">
        <v>0.6</v>
      </c>
      <c r="G413" s="52" t="n">
        <v>6</v>
      </c>
      <c r="H413" s="162" t="n">
        <v>3.6</v>
      </c>
      <c r="I413" s="162" t="n">
        <v>3.84</v>
      </c>
      <c r="J413" s="52" t="n">
        <v>120</v>
      </c>
      <c r="K413" s="52" t="inlineStr">
        <is>
          <t>12</t>
        </is>
      </c>
      <c r="L413" s="53" t="inlineStr">
        <is>
          <t>СК1</t>
        </is>
      </c>
      <c r="M413" s="52" t="n">
        <v>55</v>
      </c>
      <c r="N413" s="108">
        <f>HYPERLINK("https://abi.ru/products/Охлажденные/Дугушка/Дугушка/Ветчины/P002993/","Ветчины «Дугушка» Фикс.вес 0,6 П/а ТМ «Дугушка»")</f>
        <v/>
      </c>
      <c r="O413" s="163" t="n"/>
      <c r="P413" s="163" t="n"/>
      <c r="Q413" s="163" t="n"/>
      <c r="R413" s="128" t="n"/>
      <c r="S413" s="54" t="n"/>
      <c r="T413" s="54" t="n"/>
      <c r="U413" s="55" t="inlineStr">
        <is>
          <t>кг</t>
        </is>
      </c>
      <c r="V413" s="164" t="n">
        <v>0</v>
      </c>
      <c r="W413" s="165">
        <f>IFERROR(IF(V413="",0,CEILING((V413/$H413),1)*$H413),"")</f>
        <v/>
      </c>
      <c r="X413" s="58">
        <f>IFERROR(IF(W413=0,"",ROUNDUP(W413/H413,0)*0.00937),"")</f>
        <v/>
      </c>
      <c r="Y413" s="59" t="n"/>
      <c r="Z413" s="60" t="n"/>
      <c r="AD413" s="61" t="n"/>
      <c r="BA413" s="62" t="inlineStr">
        <is>
          <t>КИ</t>
        </is>
      </c>
    </row>
    <row r="414">
      <c r="A414" s="10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66" t="n"/>
      <c r="N414" s="110" t="inlineStr">
        <is>
          <t>Итого</t>
        </is>
      </c>
      <c r="O414" s="134" t="n"/>
      <c r="P414" s="134" t="n"/>
      <c r="Q414" s="134" t="n"/>
      <c r="R414" s="134" t="n"/>
      <c r="S414" s="134" t="n"/>
      <c r="T414" s="135" t="n"/>
      <c r="U414" s="63" t="inlineStr">
        <is>
          <t>кор</t>
        </is>
      </c>
      <c r="V414" s="167">
        <f>IFERROR(V412/H412,"0")+IFERROR(V413/H413,"0")</f>
        <v/>
      </c>
      <c r="W414" s="167">
        <f>IFERROR(W412/H412,"0")+IFERROR(W413/H413,"0")</f>
        <v/>
      </c>
      <c r="X414" s="167">
        <f>IFERROR(IF(X412="",0,X412),"0")+IFERROR(IF(X413="",0,X413),"0")</f>
        <v/>
      </c>
      <c r="Y414" s="168" t="n"/>
      <c r="Z414" s="16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66" t="n"/>
      <c r="N415" s="110" t="inlineStr">
        <is>
          <t>Итого</t>
        </is>
      </c>
      <c r="O415" s="134" t="n"/>
      <c r="P415" s="134" t="n"/>
      <c r="Q415" s="134" t="n"/>
      <c r="R415" s="134" t="n"/>
      <c r="S415" s="134" t="n"/>
      <c r="T415" s="135" t="n"/>
      <c r="U415" s="63" t="inlineStr">
        <is>
          <t>кг</t>
        </is>
      </c>
      <c r="V415" s="167">
        <f>IFERROR(SUM(V412:V413),"0")</f>
        <v/>
      </c>
      <c r="W415" s="167">
        <f>IFERROR(SUM(W412:W413),"0")</f>
        <v/>
      </c>
      <c r="X415" s="63" t="n"/>
      <c r="Y415" s="168" t="n"/>
      <c r="Z415" s="168" t="n"/>
    </row>
    <row r="416" ht="14.25" customHeight="1">
      <c r="A416" s="106" t="inlineStr">
        <is>
          <t>Копченые колбасы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06" t="n"/>
      <c r="Z416" s="106" t="n"/>
    </row>
    <row r="417" ht="27" customHeight="1">
      <c r="A417" s="49" t="inlineStr">
        <is>
          <t>SU002150</t>
        </is>
      </c>
      <c r="B417" s="49" t="inlineStr">
        <is>
          <t>P003636</t>
        </is>
      </c>
      <c r="C417" s="50" t="n">
        <v>4301031252</v>
      </c>
      <c r="D417" s="107" t="n">
        <v>4680115883116</v>
      </c>
      <c r="E417" s="128" t="n"/>
      <c r="F417" s="162" t="n">
        <v>0.88</v>
      </c>
      <c r="G417" s="52" t="n">
        <v>6</v>
      </c>
      <c r="H417" s="162" t="n">
        <v>5.28</v>
      </c>
      <c r="I417" s="162" t="n">
        <v>5.64</v>
      </c>
      <c r="J417" s="52" t="n">
        <v>104</v>
      </c>
      <c r="K417" s="52" t="inlineStr">
        <is>
          <t>8</t>
        </is>
      </c>
      <c r="L417" s="53" t="inlineStr">
        <is>
          <t>СК1</t>
        </is>
      </c>
      <c r="M417" s="52" t="n">
        <v>60</v>
      </c>
      <c r="N417" s="1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163" t="n"/>
      <c r="P417" s="163" t="n"/>
      <c r="Q417" s="163" t="n"/>
      <c r="R417" s="128" t="n"/>
      <c r="S417" s="54" t="n"/>
      <c r="T417" s="54" t="n"/>
      <c r="U417" s="55" t="inlineStr">
        <is>
          <t>кг</t>
        </is>
      </c>
      <c r="V417" s="164" t="n">
        <v>210</v>
      </c>
      <c r="W417" s="165">
        <f>IFERROR(IF(V417="",0,CEILING((V417/$H417),1)*$H417),"")</f>
        <v/>
      </c>
      <c r="X417" s="58">
        <f>IFERROR(IF(W417=0,"",ROUNDUP(W417/H417,0)*0.01196),"")</f>
        <v/>
      </c>
      <c r="Y417" s="59" t="n"/>
      <c r="Z417" s="60" t="n"/>
      <c r="AD417" s="61" t="n"/>
      <c r="BA417" s="62" t="inlineStr">
        <is>
          <t>КИ</t>
        </is>
      </c>
    </row>
    <row r="418" ht="27" customHeight="1">
      <c r="A418" s="49" t="inlineStr">
        <is>
          <t>SU002158</t>
        </is>
      </c>
      <c r="B418" s="49" t="inlineStr">
        <is>
          <t>P003632</t>
        </is>
      </c>
      <c r="C418" s="50" t="n">
        <v>4301031248</v>
      </c>
      <c r="D418" s="107" t="n">
        <v>4680115883093</v>
      </c>
      <c r="E418" s="128" t="n"/>
      <c r="F418" s="162" t="n">
        <v>0.88</v>
      </c>
      <c r="G418" s="52" t="n">
        <v>6</v>
      </c>
      <c r="H418" s="162" t="n">
        <v>5.28</v>
      </c>
      <c r="I418" s="162" t="n">
        <v>5.64</v>
      </c>
      <c r="J418" s="52" t="n">
        <v>104</v>
      </c>
      <c r="K418" s="52" t="inlineStr">
        <is>
          <t>8</t>
        </is>
      </c>
      <c r="L418" s="53" t="inlineStr">
        <is>
          <t>СК2</t>
        </is>
      </c>
      <c r="M418" s="52" t="n">
        <v>60</v>
      </c>
      <c r="N418" s="10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163" t="n"/>
      <c r="P418" s="163" t="n"/>
      <c r="Q418" s="163" t="n"/>
      <c r="R418" s="128" t="n"/>
      <c r="S418" s="54" t="n"/>
      <c r="T418" s="54" t="n"/>
      <c r="U418" s="55" t="inlineStr">
        <is>
          <t>кг</t>
        </is>
      </c>
      <c r="V418" s="164" t="n">
        <v>50</v>
      </c>
      <c r="W418" s="165">
        <f>IFERROR(IF(V418="",0,CEILING((V418/$H418),1)*$H418),"")</f>
        <v/>
      </c>
      <c r="X418" s="58">
        <f>IFERROR(IF(W418=0,"",ROUNDUP(W418/H418,0)*0.01196),"")</f>
        <v/>
      </c>
      <c r="Y418" s="59" t="n"/>
      <c r="Z418" s="60" t="n"/>
      <c r="AD418" s="61" t="n"/>
      <c r="BA418" s="62" t="inlineStr">
        <is>
          <t>КИ</t>
        </is>
      </c>
    </row>
    <row r="419" ht="27" customHeight="1">
      <c r="A419" s="49" t="inlineStr">
        <is>
          <t>SU002151</t>
        </is>
      </c>
      <c r="B419" s="49" t="inlineStr">
        <is>
          <t>P003634</t>
        </is>
      </c>
      <c r="C419" s="50" t="n">
        <v>4301031250</v>
      </c>
      <c r="D419" s="107" t="n">
        <v>4680115883109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СК2</t>
        </is>
      </c>
      <c r="M419" s="52" t="n">
        <v>60</v>
      </c>
      <c r="N419" s="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180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D419" s="61" t="n"/>
      <c r="BA419" s="62" t="inlineStr">
        <is>
          <t>КИ</t>
        </is>
      </c>
    </row>
    <row r="420" ht="27" customHeight="1">
      <c r="A420" s="49" t="inlineStr">
        <is>
          <t>SU002916</t>
        </is>
      </c>
      <c r="B420" s="49" t="inlineStr">
        <is>
          <t>P003633</t>
        </is>
      </c>
      <c r="C420" s="50" t="n">
        <v>4301031249</v>
      </c>
      <c r="D420" s="107" t="n">
        <v>4680115882072</v>
      </c>
      <c r="E420" s="128" t="n"/>
      <c r="F420" s="162" t="n">
        <v>0.6</v>
      </c>
      <c r="G420" s="52" t="n">
        <v>6</v>
      </c>
      <c r="H420" s="162" t="n">
        <v>3.6</v>
      </c>
      <c r="I420" s="162" t="n">
        <v>3.81</v>
      </c>
      <c r="J420" s="52" t="n">
        <v>120</v>
      </c>
      <c r="K420" s="52" t="inlineStr">
        <is>
          <t>12</t>
        </is>
      </c>
      <c r="L420" s="53" t="inlineStr">
        <is>
          <t>СК1</t>
        </is>
      </c>
      <c r="M420" s="52" t="n">
        <v>60</v>
      </c>
      <c r="N420" s="115" t="inlineStr">
        <is>
          <t>В/к колбасы «Рубленая Запеченная» Фикс.вес 0,6 Вектор ТМ «Дугушка»</t>
        </is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IFERROR(IF(W420=0,"",ROUNDUP(W420/H420,0)*0.00937),"")</f>
        <v/>
      </c>
      <c r="Y420" s="59" t="n"/>
      <c r="Z420" s="60" t="n"/>
      <c r="AD420" s="61" t="n"/>
      <c r="BA420" s="62" t="inlineStr">
        <is>
          <t>КИ</t>
        </is>
      </c>
    </row>
    <row r="421" ht="27" customHeight="1">
      <c r="A421" s="49" t="inlineStr">
        <is>
          <t>SU002919</t>
        </is>
      </c>
      <c r="B421" s="49" t="inlineStr">
        <is>
          <t>P003635</t>
        </is>
      </c>
      <c r="C421" s="50" t="n">
        <v>4301031251</v>
      </c>
      <c r="D421" s="107" t="n">
        <v>4680115882102</v>
      </c>
      <c r="E421" s="128" t="n"/>
      <c r="F421" s="162" t="n">
        <v>0.6</v>
      </c>
      <c r="G421" s="52" t="n">
        <v>6</v>
      </c>
      <c r="H421" s="162" t="n">
        <v>3.6</v>
      </c>
      <c r="I421" s="162" t="n">
        <v>3.81</v>
      </c>
      <c r="J421" s="52" t="n">
        <v>120</v>
      </c>
      <c r="K421" s="52" t="inlineStr">
        <is>
          <t>12</t>
        </is>
      </c>
      <c r="L421" s="53" t="inlineStr">
        <is>
          <t>СК2</t>
        </is>
      </c>
      <c r="M421" s="52" t="n">
        <v>60</v>
      </c>
      <c r="N421" s="115" t="inlineStr">
        <is>
          <t>В/к колбасы «Салями Запеченая» Фикс.вес 0,6 Вектор ТМ «Дугушка»</t>
        </is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IFERROR(IF(W421=0,"",ROUNDUP(W421/H421,0)*0.00937),"")</f>
        <v/>
      </c>
      <c r="Y421" s="59" t="n"/>
      <c r="Z421" s="60" t="n"/>
      <c r="AD421" s="61" t="n"/>
      <c r="BA421" s="62" t="inlineStr">
        <is>
          <t>КИ</t>
        </is>
      </c>
    </row>
    <row r="422" ht="27" customHeight="1">
      <c r="A422" s="49" t="inlineStr">
        <is>
          <t>SU002918</t>
        </is>
      </c>
      <c r="B422" s="49" t="inlineStr">
        <is>
          <t>P003637</t>
        </is>
      </c>
      <c r="C422" s="50" t="n">
        <v>4301031253</v>
      </c>
      <c r="D422" s="107" t="n">
        <v>4680115882096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СК2</t>
        </is>
      </c>
      <c r="M422" s="52" t="n">
        <v>60</v>
      </c>
      <c r="N422" s="115" t="inlineStr">
        <is>
          <t>В/к колбасы «Сервелат Запеченный»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D422" s="61" t="n"/>
      <c r="BA422" s="62" t="inlineStr">
        <is>
          <t>КИ</t>
        </is>
      </c>
    </row>
    <row r="423">
      <c r="A423" s="109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66" t="n"/>
      <c r="N423" s="110" t="inlineStr">
        <is>
          <t>Итого</t>
        </is>
      </c>
      <c r="O423" s="134" t="n"/>
      <c r="P423" s="134" t="n"/>
      <c r="Q423" s="134" t="n"/>
      <c r="R423" s="134" t="n"/>
      <c r="S423" s="134" t="n"/>
      <c r="T423" s="135" t="n"/>
      <c r="U423" s="63" t="inlineStr">
        <is>
          <t>кор</t>
        </is>
      </c>
      <c r="V423" s="167">
        <f>IFERROR(V417/H417,"0")+IFERROR(V418/H418,"0")+IFERROR(V419/H419,"0")+IFERROR(V420/H420,"0")+IFERROR(V421/H421,"0")+IFERROR(V422/H422,"0")</f>
        <v/>
      </c>
      <c r="W423" s="167">
        <f>IFERROR(W417/H417,"0")+IFERROR(W418/H418,"0")+IFERROR(W419/H419,"0")+IFERROR(W420/H420,"0")+IFERROR(W421/H421,"0")+IFERROR(W422/H422,"0")</f>
        <v/>
      </c>
      <c r="X423" s="167">
        <f>IFERROR(IF(X417="",0,X417),"0")+IFERROR(IF(X418="",0,X418),"0")+IFERROR(IF(X419="",0,X419),"0")+IFERROR(IF(X420="",0,X420),"0")+IFERROR(IF(X421="",0,X421),"0")+IFERROR(IF(X422="",0,X422),"0")</f>
        <v/>
      </c>
      <c r="Y423" s="168" t="n"/>
      <c r="Z423" s="168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66" t="n"/>
      <c r="N424" s="110" t="inlineStr">
        <is>
          <t>Итого</t>
        </is>
      </c>
      <c r="O424" s="134" t="n"/>
      <c r="P424" s="134" t="n"/>
      <c r="Q424" s="134" t="n"/>
      <c r="R424" s="134" t="n"/>
      <c r="S424" s="134" t="n"/>
      <c r="T424" s="135" t="n"/>
      <c r="U424" s="63" t="inlineStr">
        <is>
          <t>кг</t>
        </is>
      </c>
      <c r="V424" s="167">
        <f>IFERROR(SUM(V417:V422),"0")</f>
        <v/>
      </c>
      <c r="W424" s="167">
        <f>IFERROR(SUM(W417:W422),"0")</f>
        <v/>
      </c>
      <c r="X424" s="63" t="n"/>
      <c r="Y424" s="168" t="n"/>
      <c r="Z424" s="168" t="n"/>
    </row>
    <row r="425" ht="14.25" customHeight="1">
      <c r="A425" s="106" t="inlineStr">
        <is>
          <t>Сосиски</t>
        </is>
      </c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06" t="n"/>
      <c r="Z425" s="106" t="n"/>
    </row>
    <row r="426" ht="16.5" customHeight="1">
      <c r="A426" s="49" t="inlineStr">
        <is>
          <t>SU002218</t>
        </is>
      </c>
      <c r="B426" s="49" t="inlineStr">
        <is>
          <t>P002854</t>
        </is>
      </c>
      <c r="C426" s="50" t="n">
        <v>4301051230</v>
      </c>
      <c r="D426" s="107" t="n">
        <v>4607091383409</v>
      </c>
      <c r="E426" s="128" t="n"/>
      <c r="F426" s="162" t="n">
        <v>1.3</v>
      </c>
      <c r="G426" s="52" t="n">
        <v>6</v>
      </c>
      <c r="H426" s="162" t="n">
        <v>7.8</v>
      </c>
      <c r="I426" s="162" t="n">
        <v>8.346</v>
      </c>
      <c r="J426" s="52" t="n">
        <v>56</v>
      </c>
      <c r="K426" s="52" t="inlineStr">
        <is>
          <t>8</t>
        </is>
      </c>
      <c r="L426" s="53" t="inlineStr">
        <is>
          <t>СК2</t>
        </is>
      </c>
      <c r="M426" s="52" t="n">
        <v>45</v>
      </c>
      <c r="N426" s="1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163" t="n"/>
      <c r="P426" s="163" t="n"/>
      <c r="Q426" s="163" t="n"/>
      <c r="R426" s="128" t="n"/>
      <c r="S426" s="54" t="n"/>
      <c r="T426" s="54" t="n"/>
      <c r="U426" s="55" t="inlineStr">
        <is>
          <t>кг</t>
        </is>
      </c>
      <c r="V426" s="164" t="n">
        <v>0</v>
      </c>
      <c r="W426" s="165">
        <f>IFERROR(IF(V426="",0,CEILING((V426/$H426),1)*$H426),"")</f>
        <v/>
      </c>
      <c r="X426" s="58">
        <f>IFERROR(IF(W426=0,"",ROUNDUP(W426/H426,0)*0.02175),"")</f>
        <v/>
      </c>
      <c r="Y426" s="59" t="n"/>
      <c r="Z426" s="60" t="n"/>
      <c r="AD426" s="61" t="n"/>
      <c r="BA426" s="62" t="inlineStr">
        <is>
          <t>КИ</t>
        </is>
      </c>
    </row>
    <row r="427" ht="16.5" customHeight="1">
      <c r="A427" s="49" t="inlineStr">
        <is>
          <t>SU002219</t>
        </is>
      </c>
      <c r="B427" s="49" t="inlineStr">
        <is>
          <t>P002855</t>
        </is>
      </c>
      <c r="C427" s="50" t="n">
        <v>4301051231</v>
      </c>
      <c r="D427" s="107" t="n">
        <v>4607091383416</v>
      </c>
      <c r="E427" s="128" t="n"/>
      <c r="F427" s="162" t="n">
        <v>1.3</v>
      </c>
      <c r="G427" s="52" t="n">
        <v>6</v>
      </c>
      <c r="H427" s="162" t="n">
        <v>7.8</v>
      </c>
      <c r="I427" s="162" t="n">
        <v>8.346</v>
      </c>
      <c r="J427" s="52" t="n">
        <v>56</v>
      </c>
      <c r="K427" s="52" t="inlineStr">
        <is>
          <t>8</t>
        </is>
      </c>
      <c r="L427" s="53" t="inlineStr">
        <is>
          <t>СК2</t>
        </is>
      </c>
      <c r="M427" s="52" t="n">
        <v>45</v>
      </c>
      <c r="N427" s="1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163" t="n"/>
      <c r="P427" s="163" t="n"/>
      <c r="Q427" s="163" t="n"/>
      <c r="R427" s="128" t="n"/>
      <c r="S427" s="54" t="n"/>
      <c r="T427" s="54" t="n"/>
      <c r="U427" s="55" t="inlineStr">
        <is>
          <t>кг</t>
        </is>
      </c>
      <c r="V427" s="164" t="n">
        <v>0</v>
      </c>
      <c r="W427" s="165">
        <f>IFERROR(IF(V427="",0,CEILING((V427/$H427),1)*$H427),"")</f>
        <v/>
      </c>
      <c r="X427" s="58">
        <f>IFERROR(IF(W427=0,"",ROUNDUP(W427/H427,0)*0.02175),"")</f>
        <v/>
      </c>
      <c r="Y427" s="59" t="n"/>
      <c r="Z427" s="60" t="n"/>
      <c r="AD427" s="61" t="n"/>
      <c r="BA427" s="62" t="inlineStr">
        <is>
          <t>КИ</t>
        </is>
      </c>
    </row>
    <row r="428">
      <c r="A428" s="109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66" t="n"/>
      <c r="N428" s="110" t="inlineStr">
        <is>
          <t>Итого</t>
        </is>
      </c>
      <c r="O428" s="134" t="n"/>
      <c r="P428" s="134" t="n"/>
      <c r="Q428" s="134" t="n"/>
      <c r="R428" s="134" t="n"/>
      <c r="S428" s="134" t="n"/>
      <c r="T428" s="135" t="n"/>
      <c r="U428" s="63" t="inlineStr">
        <is>
          <t>кор</t>
        </is>
      </c>
      <c r="V428" s="167">
        <f>IFERROR(V426/H426,"0")+IFERROR(V427/H427,"0")</f>
        <v/>
      </c>
      <c r="W428" s="167">
        <f>IFERROR(W426/H426,"0")+IFERROR(W427/H427,"0")</f>
        <v/>
      </c>
      <c r="X428" s="167">
        <f>IFERROR(IF(X426="",0,X426),"0")+IFERROR(IF(X427="",0,X427),"0")</f>
        <v/>
      </c>
      <c r="Y428" s="168" t="n"/>
      <c r="Z428" s="16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66" t="n"/>
      <c r="N429" s="110" t="inlineStr">
        <is>
          <t>Итого</t>
        </is>
      </c>
      <c r="O429" s="134" t="n"/>
      <c r="P429" s="134" t="n"/>
      <c r="Q429" s="134" t="n"/>
      <c r="R429" s="134" t="n"/>
      <c r="S429" s="134" t="n"/>
      <c r="T429" s="135" t="n"/>
      <c r="U429" s="63" t="inlineStr">
        <is>
          <t>кг</t>
        </is>
      </c>
      <c r="V429" s="167">
        <f>IFERROR(SUM(V426:V427),"0")</f>
        <v/>
      </c>
      <c r="W429" s="167">
        <f>IFERROR(SUM(W426:W427),"0")</f>
        <v/>
      </c>
      <c r="X429" s="63" t="n"/>
      <c r="Y429" s="168" t="n"/>
      <c r="Z429" s="168" t="n"/>
    </row>
    <row r="430" ht="27.75" customHeight="1">
      <c r="A430" s="104" t="inlineStr">
        <is>
          <t>Зареченские</t>
        </is>
      </c>
      <c r="B430" s="161" t="n"/>
      <c r="C430" s="161" t="n"/>
      <c r="D430" s="161" t="n"/>
      <c r="E430" s="161" t="n"/>
      <c r="F430" s="161" t="n"/>
      <c r="G430" s="161" t="n"/>
      <c r="H430" s="161" t="n"/>
      <c r="I430" s="161" t="n"/>
      <c r="J430" s="161" t="n"/>
      <c r="K430" s="161" t="n"/>
      <c r="L430" s="161" t="n"/>
      <c r="M430" s="161" t="n"/>
      <c r="N430" s="161" t="n"/>
      <c r="O430" s="161" t="n"/>
      <c r="P430" s="161" t="n"/>
      <c r="Q430" s="161" t="n"/>
      <c r="R430" s="161" t="n"/>
      <c r="S430" s="161" t="n"/>
      <c r="T430" s="161" t="n"/>
      <c r="U430" s="161" t="n"/>
      <c r="V430" s="161" t="n"/>
      <c r="W430" s="161" t="n"/>
      <c r="X430" s="161" t="n"/>
      <c r="Y430" s="46" t="n"/>
      <c r="Z430" s="46" t="n"/>
    </row>
    <row r="431" ht="16.5" customHeight="1">
      <c r="A431" s="105" t="inlineStr">
        <is>
          <t>Зареченские продукты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05" t="n"/>
      <c r="Z431" s="105" t="n"/>
    </row>
    <row r="432" ht="14.25" customHeight="1">
      <c r="A432" s="106" t="inlineStr">
        <is>
          <t>Вареные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06" t="n"/>
      <c r="Z432" s="106" t="n"/>
    </row>
    <row r="433" ht="27" customHeight="1">
      <c r="A433" s="49" t="inlineStr">
        <is>
          <t>SU002807</t>
        </is>
      </c>
      <c r="B433" s="49" t="inlineStr">
        <is>
          <t>P003583</t>
        </is>
      </c>
      <c r="C433" s="50" t="n">
        <v>4301011585</v>
      </c>
      <c r="D433" s="107" t="n">
        <v>4640242180441</v>
      </c>
      <c r="E433" s="128" t="n"/>
      <c r="F433" s="162" t="n">
        <v>1.5</v>
      </c>
      <c r="G433" s="52" t="n">
        <v>8</v>
      </c>
      <c r="H433" s="162" t="n">
        <v>12</v>
      </c>
      <c r="I433" s="162" t="n">
        <v>12.48</v>
      </c>
      <c r="J433" s="52" t="n">
        <v>56</v>
      </c>
      <c r="K433" s="52" t="inlineStr">
        <is>
          <t>8</t>
        </is>
      </c>
      <c r="L433" s="53" t="inlineStr">
        <is>
          <t>СК1</t>
        </is>
      </c>
      <c r="M433" s="52" t="n">
        <v>50</v>
      </c>
      <c r="N433" s="115" t="inlineStr">
        <is>
          <t>Вареные колбасы «Муромская» Весовой п/а ТМ «Зареченские»</t>
        </is>
      </c>
      <c r="O433" s="163" t="n"/>
      <c r="P433" s="163" t="n"/>
      <c r="Q433" s="163" t="n"/>
      <c r="R433" s="128" t="n"/>
      <c r="S433" s="54" t="n"/>
      <c r="T433" s="54" t="n"/>
      <c r="U433" s="55" t="inlineStr">
        <is>
          <t>кг</t>
        </is>
      </c>
      <c r="V433" s="164" t="n">
        <v>0</v>
      </c>
      <c r="W433" s="165">
        <f>IFERROR(IF(V433="",0,CEILING((V433/$H433),1)*$H433),"")</f>
        <v/>
      </c>
      <c r="X433" s="58">
        <f>IFERROR(IF(W433=0,"",ROUNDUP(W433/H433,0)*0.02175),"")</f>
        <v/>
      </c>
      <c r="Y433" s="59" t="n"/>
      <c r="Z433" s="60" t="n"/>
      <c r="AD433" s="61" t="n"/>
      <c r="BA433" s="62" t="inlineStr">
        <is>
          <t>КИ</t>
        </is>
      </c>
    </row>
    <row r="434" ht="27" customHeight="1">
      <c r="A434" s="49" t="inlineStr">
        <is>
          <t>SU002808</t>
        </is>
      </c>
      <c r="B434" s="49" t="inlineStr">
        <is>
          <t>P003582</t>
        </is>
      </c>
      <c r="C434" s="50" t="n">
        <v>4301011584</v>
      </c>
      <c r="D434" s="107" t="n">
        <v>4640242180564</v>
      </c>
      <c r="E434" s="128" t="n"/>
      <c r="F434" s="162" t="n">
        <v>1.5</v>
      </c>
      <c r="G434" s="52" t="n">
        <v>8</v>
      </c>
      <c r="H434" s="162" t="n">
        <v>12</v>
      </c>
      <c r="I434" s="162" t="n">
        <v>12.48</v>
      </c>
      <c r="J434" s="52" t="n">
        <v>56</v>
      </c>
      <c r="K434" s="52" t="inlineStr">
        <is>
          <t>8</t>
        </is>
      </c>
      <c r="L434" s="53" t="inlineStr">
        <is>
          <t>СК1</t>
        </is>
      </c>
      <c r="M434" s="52" t="n">
        <v>50</v>
      </c>
      <c r="N434" s="115" t="inlineStr">
        <is>
          <t>Вареные колбасы «Нежная» НТУ Весовые П/а ТМ «Зареченские»</t>
        </is>
      </c>
      <c r="O434" s="163" t="n"/>
      <c r="P434" s="163" t="n"/>
      <c r="Q434" s="163" t="n"/>
      <c r="R434" s="128" t="n"/>
      <c r="S434" s="54" t="n"/>
      <c r="T434" s="54" t="n"/>
      <c r="U434" s="55" t="inlineStr">
        <is>
          <t>кг</t>
        </is>
      </c>
      <c r="V434" s="164" t="n">
        <v>400</v>
      </c>
      <c r="W434" s="165">
        <f>IFERROR(IF(V434="",0,CEILING((V434/$H434),1)*$H434),"")</f>
        <v/>
      </c>
      <c r="X434" s="58">
        <f>IFERROR(IF(W434=0,"",ROUNDUP(W434/H434,0)*0.02175),"")</f>
        <v/>
      </c>
      <c r="Y434" s="59" t="n"/>
      <c r="Z434" s="60" t="n"/>
      <c r="AD434" s="61" t="n"/>
      <c r="BA434" s="62" t="inlineStr">
        <is>
          <t>КИ</t>
        </is>
      </c>
    </row>
    <row r="435">
      <c r="A435" s="109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66" t="n"/>
      <c r="N435" s="110" t="inlineStr">
        <is>
          <t>Итого</t>
        </is>
      </c>
      <c r="O435" s="134" t="n"/>
      <c r="P435" s="134" t="n"/>
      <c r="Q435" s="134" t="n"/>
      <c r="R435" s="134" t="n"/>
      <c r="S435" s="134" t="n"/>
      <c r="T435" s="135" t="n"/>
      <c r="U435" s="63" t="inlineStr">
        <is>
          <t>кор</t>
        </is>
      </c>
      <c r="V435" s="167">
        <f>IFERROR(V433/H433,"0")+IFERROR(V434/H434,"0")</f>
        <v/>
      </c>
      <c r="W435" s="167">
        <f>IFERROR(W433/H433,"0")+IFERROR(W434/H434,"0")</f>
        <v/>
      </c>
      <c r="X435" s="167">
        <f>IFERROR(IF(X433="",0,X433),"0")+IFERROR(IF(X434="",0,X434),"0")</f>
        <v/>
      </c>
      <c r="Y435" s="168" t="n"/>
      <c r="Z435" s="168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66" t="n"/>
      <c r="N436" s="110" t="inlineStr">
        <is>
          <t>Итого</t>
        </is>
      </c>
      <c r="O436" s="134" t="n"/>
      <c r="P436" s="134" t="n"/>
      <c r="Q436" s="134" t="n"/>
      <c r="R436" s="134" t="n"/>
      <c r="S436" s="134" t="n"/>
      <c r="T436" s="135" t="n"/>
      <c r="U436" s="63" t="inlineStr">
        <is>
          <t>кг</t>
        </is>
      </c>
      <c r="V436" s="167">
        <f>IFERROR(SUM(V433:V434),"0")</f>
        <v/>
      </c>
      <c r="W436" s="167">
        <f>IFERROR(SUM(W433:W434),"0")</f>
        <v/>
      </c>
      <c r="X436" s="63" t="n"/>
      <c r="Y436" s="168" t="n"/>
      <c r="Z436" s="168" t="n"/>
    </row>
    <row r="437" ht="14.25" customHeight="1">
      <c r="A437" s="106" t="inlineStr">
        <is>
          <t>Ветчины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06" t="n"/>
      <c r="Z437" s="106" t="n"/>
    </row>
    <row r="438" ht="27" customHeight="1">
      <c r="A438" s="49" t="inlineStr">
        <is>
          <t>SU002811</t>
        </is>
      </c>
      <c r="B438" s="49" t="inlineStr">
        <is>
          <t>P003588</t>
        </is>
      </c>
      <c r="C438" s="50" t="n">
        <v>4301020260</v>
      </c>
      <c r="D438" s="107" t="n">
        <v>4640242180526</v>
      </c>
      <c r="E438" s="128" t="n"/>
      <c r="F438" s="162" t="n">
        <v>1.8</v>
      </c>
      <c r="G438" s="52" t="n">
        <v>6</v>
      </c>
      <c r="H438" s="162" t="n">
        <v>10.8</v>
      </c>
      <c r="I438" s="162" t="n">
        <v>11.28</v>
      </c>
      <c r="J438" s="52" t="n">
        <v>56</v>
      </c>
      <c r="K438" s="52" t="inlineStr">
        <is>
          <t>8</t>
        </is>
      </c>
      <c r="L438" s="53" t="inlineStr">
        <is>
          <t>СК1</t>
        </is>
      </c>
      <c r="M438" s="52" t="n">
        <v>50</v>
      </c>
      <c r="N438" s="115" t="inlineStr">
        <is>
          <t>Ветчины «Нежная» Весовой п/а ТМ «Зареченские» большой батон</t>
        </is>
      </c>
      <c r="O438" s="163" t="n"/>
      <c r="P438" s="163" t="n"/>
      <c r="Q438" s="163" t="n"/>
      <c r="R438" s="128" t="n"/>
      <c r="S438" s="54" t="n"/>
      <c r="T438" s="54" t="n"/>
      <c r="U438" s="55" t="inlineStr">
        <is>
          <t>кг</t>
        </is>
      </c>
      <c r="V438" s="164" t="n">
        <v>0</v>
      </c>
      <c r="W438" s="165">
        <f>IFERROR(IF(V438="",0,CEILING((V438/$H438),1)*$H438),"")</f>
        <v/>
      </c>
      <c r="X438" s="58">
        <f>IFERROR(IF(W438=0,"",ROUNDUP(W438/H438,0)*0.02175),"")</f>
        <v/>
      </c>
      <c r="Y438" s="59" t="n"/>
      <c r="Z438" s="60" t="n"/>
      <c r="AD438" s="61" t="n"/>
      <c r="BA438" s="62" t="inlineStr">
        <is>
          <t>КИ</t>
        </is>
      </c>
    </row>
    <row r="439" ht="16.5" customHeight="1">
      <c r="A439" s="49" t="inlineStr">
        <is>
          <t>SU002806</t>
        </is>
      </c>
      <c r="B439" s="49" t="inlineStr">
        <is>
          <t>P003591</t>
        </is>
      </c>
      <c r="C439" s="50" t="n">
        <v>4301020269</v>
      </c>
      <c r="D439" s="107" t="n">
        <v>4640242180519</v>
      </c>
      <c r="E439" s="128" t="n"/>
      <c r="F439" s="162" t="n">
        <v>1.35</v>
      </c>
      <c r="G439" s="52" t="n">
        <v>8</v>
      </c>
      <c r="H439" s="162" t="n">
        <v>10.8</v>
      </c>
      <c r="I439" s="162" t="n">
        <v>11.28</v>
      </c>
      <c r="J439" s="52" t="n">
        <v>56</v>
      </c>
      <c r="K439" s="52" t="inlineStr">
        <is>
          <t>8</t>
        </is>
      </c>
      <c r="L439" s="53" t="inlineStr">
        <is>
          <t>СК3</t>
        </is>
      </c>
      <c r="M439" s="52" t="n">
        <v>50</v>
      </c>
      <c r="N439" s="115" t="inlineStr">
        <is>
          <t>Ветчины «Нежная» Весовой п/а ТМ «Зареченские»</t>
        </is>
      </c>
      <c r="O439" s="163" t="n"/>
      <c r="P439" s="163" t="n"/>
      <c r="Q439" s="163" t="n"/>
      <c r="R439" s="128" t="n"/>
      <c r="S439" s="54" t="n"/>
      <c r="T439" s="54" t="n"/>
      <c r="U439" s="55" t="inlineStr">
        <is>
          <t>кг</t>
        </is>
      </c>
      <c r="V439" s="164" t="n">
        <v>0</v>
      </c>
      <c r="W439" s="165">
        <f>IFERROR(IF(V439="",0,CEILING((V439/$H439),1)*$H439),"")</f>
        <v/>
      </c>
      <c r="X439" s="58">
        <f>IFERROR(IF(W439=0,"",ROUNDUP(W439/H439,0)*0.02175),"")</f>
        <v/>
      </c>
      <c r="Y439" s="59" t="n"/>
      <c r="Z439" s="60" t="n"/>
      <c r="AD439" s="61" t="n"/>
      <c r="BA439" s="62" t="inlineStr">
        <is>
          <t>КИ</t>
        </is>
      </c>
    </row>
    <row r="440">
      <c r="A440" s="109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66" t="n"/>
      <c r="N440" s="110" t="inlineStr">
        <is>
          <t>Итого</t>
        </is>
      </c>
      <c r="O440" s="134" t="n"/>
      <c r="P440" s="134" t="n"/>
      <c r="Q440" s="134" t="n"/>
      <c r="R440" s="134" t="n"/>
      <c r="S440" s="134" t="n"/>
      <c r="T440" s="135" t="n"/>
      <c r="U440" s="63" t="inlineStr">
        <is>
          <t>кор</t>
        </is>
      </c>
      <c r="V440" s="167">
        <f>IFERROR(V438/H438,"0")+IFERROR(V439/H439,"0")</f>
        <v/>
      </c>
      <c r="W440" s="167">
        <f>IFERROR(W438/H438,"0")+IFERROR(W439/H439,"0")</f>
        <v/>
      </c>
      <c r="X440" s="167">
        <f>IFERROR(IF(X438="",0,X438),"0")+IFERROR(IF(X439="",0,X439),"0")</f>
        <v/>
      </c>
      <c r="Y440" s="168" t="n"/>
      <c r="Z440" s="16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66" t="n"/>
      <c r="N441" s="110" t="inlineStr">
        <is>
          <t>Итого</t>
        </is>
      </c>
      <c r="O441" s="134" t="n"/>
      <c r="P441" s="134" t="n"/>
      <c r="Q441" s="134" t="n"/>
      <c r="R441" s="134" t="n"/>
      <c r="S441" s="134" t="n"/>
      <c r="T441" s="135" t="n"/>
      <c r="U441" s="63" t="inlineStr">
        <is>
          <t>кг</t>
        </is>
      </c>
      <c r="V441" s="167">
        <f>IFERROR(SUM(V438:V439),"0")</f>
        <v/>
      </c>
      <c r="W441" s="167">
        <f>IFERROR(SUM(W438:W439),"0")</f>
        <v/>
      </c>
      <c r="X441" s="63" t="n"/>
      <c r="Y441" s="168" t="n"/>
      <c r="Z441" s="168" t="n"/>
    </row>
    <row r="442" ht="14.25" customHeight="1">
      <c r="A442" s="106" t="inlineStr">
        <is>
          <t>Копченые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06" t="n"/>
      <c r="Z442" s="106" t="n"/>
    </row>
    <row r="443" ht="27" customHeight="1">
      <c r="A443" s="49" t="inlineStr">
        <is>
          <t>SU002805</t>
        </is>
      </c>
      <c r="B443" s="49" t="inlineStr">
        <is>
          <t>P003584</t>
        </is>
      </c>
      <c r="C443" s="50" t="n">
        <v>4301031280</v>
      </c>
      <c r="D443" s="107" t="n">
        <v>4640242180816</v>
      </c>
      <c r="E443" s="128" t="n"/>
      <c r="F443" s="162" t="n">
        <v>0.7</v>
      </c>
      <c r="G443" s="52" t="n">
        <v>6</v>
      </c>
      <c r="H443" s="162" t="n">
        <v>4.2</v>
      </c>
      <c r="I443" s="162" t="n">
        <v>4.46</v>
      </c>
      <c r="J443" s="52" t="n">
        <v>156</v>
      </c>
      <c r="K443" s="52" t="inlineStr">
        <is>
          <t>12</t>
        </is>
      </c>
      <c r="L443" s="53" t="inlineStr">
        <is>
          <t>СК2</t>
        </is>
      </c>
      <c r="M443" s="52" t="n">
        <v>40</v>
      </c>
      <c r="N443" s="115" t="inlineStr">
        <is>
          <t>Копченые колбасы «Сервелат Пражский» Весовой фиброуз ТМ «Зареченские»</t>
        </is>
      </c>
      <c r="O443" s="163" t="n"/>
      <c r="P443" s="163" t="n"/>
      <c r="Q443" s="163" t="n"/>
      <c r="R443" s="128" t="n"/>
      <c r="S443" s="54" t="n"/>
      <c r="T443" s="54" t="n"/>
      <c r="U443" s="55" t="inlineStr">
        <is>
          <t>кг</t>
        </is>
      </c>
      <c r="V443" s="164" t="n">
        <v>0</v>
      </c>
      <c r="W443" s="165">
        <f>IFERROR(IF(V443="",0,CEILING((V443/$H443),1)*$H443),"")</f>
        <v/>
      </c>
      <c r="X443" s="58">
        <f>IFERROR(IF(W443=0,"",ROUNDUP(W443/H443,0)*0.00753),"")</f>
        <v/>
      </c>
      <c r="Y443" s="59" t="n"/>
      <c r="Z443" s="60" t="n"/>
      <c r="AD443" s="61" t="n"/>
      <c r="BA443" s="62" t="inlineStr">
        <is>
          <t>КИ</t>
        </is>
      </c>
    </row>
    <row r="444" ht="27" customHeight="1">
      <c r="A444" s="49" t="inlineStr">
        <is>
          <t>SU002809</t>
        </is>
      </c>
      <c r="B444" s="49" t="inlineStr">
        <is>
          <t>P003586</t>
        </is>
      </c>
      <c r="C444" s="50" t="n">
        <v>4301031244</v>
      </c>
      <c r="D444" s="107" t="n">
        <v>4640242180595</v>
      </c>
      <c r="E444" s="128" t="n"/>
      <c r="F444" s="162" t="n">
        <v>0.7</v>
      </c>
      <c r="G444" s="52" t="n">
        <v>6</v>
      </c>
      <c r="H444" s="162" t="n">
        <v>4.2</v>
      </c>
      <c r="I444" s="162" t="n">
        <v>4.46</v>
      </c>
      <c r="J444" s="52" t="n">
        <v>156</v>
      </c>
      <c r="K444" s="52" t="inlineStr">
        <is>
          <t>12</t>
        </is>
      </c>
      <c r="L444" s="53" t="inlineStr">
        <is>
          <t>СК2</t>
        </is>
      </c>
      <c r="M444" s="52" t="n">
        <v>40</v>
      </c>
      <c r="N444" s="115" t="inlineStr">
        <is>
          <t>В/к колбасы «Сервелат Рижский» НТУ Весовые Фиброуз в/у ТМ «Зареченские»</t>
        </is>
      </c>
      <c r="O444" s="163" t="n"/>
      <c r="P444" s="163" t="n"/>
      <c r="Q444" s="163" t="n"/>
      <c r="R444" s="128" t="n"/>
      <c r="S444" s="54" t="n"/>
      <c r="T444" s="54" t="n"/>
      <c r="U444" s="55" t="inlineStr">
        <is>
          <t>кг</t>
        </is>
      </c>
      <c r="V444" s="164" t="n">
        <v>100</v>
      </c>
      <c r="W444" s="165">
        <f>IFERROR(IF(V444="",0,CEILING((V444/$H444),1)*$H444),"")</f>
        <v/>
      </c>
      <c r="X444" s="58">
        <f>IFERROR(IF(W444=0,"",ROUNDUP(W444/H444,0)*0.00753),"")</f>
        <v/>
      </c>
      <c r="Y444" s="59" t="n"/>
      <c r="Z444" s="60" t="n"/>
      <c r="AD444" s="61" t="n"/>
      <c r="BA444" s="62" t="inlineStr">
        <is>
          <t>КИ</t>
        </is>
      </c>
    </row>
    <row r="445">
      <c r="A445" s="109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66" t="n"/>
      <c r="N445" s="110" t="inlineStr">
        <is>
          <t>Итого</t>
        </is>
      </c>
      <c r="O445" s="134" t="n"/>
      <c r="P445" s="134" t="n"/>
      <c r="Q445" s="134" t="n"/>
      <c r="R445" s="134" t="n"/>
      <c r="S445" s="134" t="n"/>
      <c r="T445" s="135" t="n"/>
      <c r="U445" s="63" t="inlineStr">
        <is>
          <t>кор</t>
        </is>
      </c>
      <c r="V445" s="167">
        <f>IFERROR(V443/H443,"0")+IFERROR(V444/H444,"0")</f>
        <v/>
      </c>
      <c r="W445" s="167">
        <f>IFERROR(W443/H443,"0")+IFERROR(W444/H444,"0")</f>
        <v/>
      </c>
      <c r="X445" s="167">
        <f>IFERROR(IF(X443="",0,X443),"0")+IFERROR(IF(X444="",0,X444),"0")</f>
        <v/>
      </c>
      <c r="Y445" s="168" t="n"/>
      <c r="Z445" s="16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66" t="n"/>
      <c r="N446" s="110" t="inlineStr">
        <is>
          <t>Итого</t>
        </is>
      </c>
      <c r="O446" s="134" t="n"/>
      <c r="P446" s="134" t="n"/>
      <c r="Q446" s="134" t="n"/>
      <c r="R446" s="134" t="n"/>
      <c r="S446" s="134" t="n"/>
      <c r="T446" s="135" t="n"/>
      <c r="U446" s="63" t="inlineStr">
        <is>
          <t>кг</t>
        </is>
      </c>
      <c r="V446" s="167">
        <f>IFERROR(SUM(V443:V444),"0")</f>
        <v/>
      </c>
      <c r="W446" s="167">
        <f>IFERROR(SUM(W443:W444),"0")</f>
        <v/>
      </c>
      <c r="X446" s="63" t="n"/>
      <c r="Y446" s="168" t="n"/>
      <c r="Z446" s="168" t="n"/>
    </row>
    <row r="447" ht="14.25" customHeight="1">
      <c r="A447" s="106" t="inlineStr">
        <is>
          <t>Сосиски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06" t="n"/>
      <c r="Z447" s="106" t="n"/>
    </row>
    <row r="448" ht="27" customHeight="1">
      <c r="A448" s="49" t="inlineStr">
        <is>
          <t>SU002803</t>
        </is>
      </c>
      <c r="B448" s="49" t="inlineStr">
        <is>
          <t>P003590</t>
        </is>
      </c>
      <c r="C448" s="50" t="n">
        <v>4301051510</v>
      </c>
      <c r="D448" s="107" t="n">
        <v>4640242180540</v>
      </c>
      <c r="E448" s="128" t="n"/>
      <c r="F448" s="162" t="n">
        <v>1.3</v>
      </c>
      <c r="G448" s="52" t="n">
        <v>6</v>
      </c>
      <c r="H448" s="162" t="n">
        <v>7.8</v>
      </c>
      <c r="I448" s="162" t="n">
        <v>8.364000000000001</v>
      </c>
      <c r="J448" s="52" t="n">
        <v>56</v>
      </c>
      <c r="K448" s="52" t="inlineStr">
        <is>
          <t>8</t>
        </is>
      </c>
      <c r="L448" s="53" t="inlineStr">
        <is>
          <t>СК2</t>
        </is>
      </c>
      <c r="M448" s="52" t="n">
        <v>30</v>
      </c>
      <c r="N448" s="115" t="inlineStr">
        <is>
          <t>Сосиски «Сочные» Весовой п/а ТМ «Зареченские»</t>
        </is>
      </c>
      <c r="O448" s="163" t="n"/>
      <c r="P448" s="163" t="n"/>
      <c r="Q448" s="163" t="n"/>
      <c r="R448" s="128" t="n"/>
      <c r="S448" s="54" t="n"/>
      <c r="T448" s="54" t="n"/>
      <c r="U448" s="55" t="inlineStr">
        <is>
          <t>кг</t>
        </is>
      </c>
      <c r="V448" s="164" t="n">
        <v>0</v>
      </c>
      <c r="W448" s="165">
        <f>IFERROR(IF(V448="",0,CEILING((V448/$H448),1)*$H448),"")</f>
        <v/>
      </c>
      <c r="X448" s="58">
        <f>IFERROR(IF(W448=0,"",ROUNDUP(W448/H448,0)*0.02175),"")</f>
        <v/>
      </c>
      <c r="Y448" s="59" t="n"/>
      <c r="Z448" s="60" t="n"/>
      <c r="AD448" s="61" t="n"/>
      <c r="BA448" s="62" t="inlineStr">
        <is>
          <t>КИ</t>
        </is>
      </c>
    </row>
    <row r="449" ht="27" customHeight="1">
      <c r="A449" s="49" t="inlineStr">
        <is>
          <t>SU002804</t>
        </is>
      </c>
      <c r="B449" s="49" t="inlineStr">
        <is>
          <t>P003585</t>
        </is>
      </c>
      <c r="C449" s="50" t="n">
        <v>4301051508</v>
      </c>
      <c r="D449" s="107" t="n">
        <v>4640242180557</v>
      </c>
      <c r="E449" s="128" t="n"/>
      <c r="F449" s="162" t="n">
        <v>0.5</v>
      </c>
      <c r="G449" s="52" t="n">
        <v>6</v>
      </c>
      <c r="H449" s="162" t="n">
        <v>3</v>
      </c>
      <c r="I449" s="162" t="n">
        <v>3.284</v>
      </c>
      <c r="J449" s="52" t="n">
        <v>156</v>
      </c>
      <c r="K449" s="52" t="inlineStr">
        <is>
          <t>12</t>
        </is>
      </c>
      <c r="L449" s="53" t="inlineStr">
        <is>
          <t>СК2</t>
        </is>
      </c>
      <c r="M449" s="52" t="n">
        <v>30</v>
      </c>
      <c r="N449" s="115" t="inlineStr">
        <is>
          <t>Сосиски «Сочные» Фикс.вес 0,5 п/а ТМ «Зареченские»</t>
        </is>
      </c>
      <c r="O449" s="163" t="n"/>
      <c r="P449" s="163" t="n"/>
      <c r="Q449" s="163" t="n"/>
      <c r="R449" s="128" t="n"/>
      <c r="S449" s="54" t="n"/>
      <c r="T449" s="54" t="n"/>
      <c r="U449" s="55" t="inlineStr">
        <is>
          <t>кг</t>
        </is>
      </c>
      <c r="V449" s="164" t="n">
        <v>0</v>
      </c>
      <c r="W449" s="165">
        <f>IFERROR(IF(V449="",0,CEILING((V449/$H449),1)*$H449),"")</f>
        <v/>
      </c>
      <c r="X449" s="58">
        <f>IFERROR(IF(W449=0,"",ROUNDUP(W449/H449,0)*0.00753),"")</f>
        <v/>
      </c>
      <c r="Y449" s="59" t="n"/>
      <c r="Z449" s="60" t="n"/>
      <c r="AD449" s="61" t="n"/>
      <c r="BA449" s="62" t="inlineStr">
        <is>
          <t>КИ</t>
        </is>
      </c>
    </row>
    <row r="450">
      <c r="A450" s="109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66" t="n"/>
      <c r="N450" s="110" t="inlineStr">
        <is>
          <t>Итого</t>
        </is>
      </c>
      <c r="O450" s="134" t="n"/>
      <c r="P450" s="134" t="n"/>
      <c r="Q450" s="134" t="n"/>
      <c r="R450" s="134" t="n"/>
      <c r="S450" s="134" t="n"/>
      <c r="T450" s="135" t="n"/>
      <c r="U450" s="63" t="inlineStr">
        <is>
          <t>кор</t>
        </is>
      </c>
      <c r="V450" s="167">
        <f>IFERROR(V448/H448,"0")+IFERROR(V449/H449,"0")</f>
        <v/>
      </c>
      <c r="W450" s="167">
        <f>IFERROR(W448/H448,"0")+IFERROR(W449/H449,"0")</f>
        <v/>
      </c>
      <c r="X450" s="167">
        <f>IFERROR(IF(X448="",0,X448),"0")+IFERROR(IF(X449="",0,X449),"0")</f>
        <v/>
      </c>
      <c r="Y450" s="168" t="n"/>
      <c r="Z450" s="16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66" t="n"/>
      <c r="N451" s="110" t="inlineStr">
        <is>
          <t>Итого</t>
        </is>
      </c>
      <c r="O451" s="134" t="n"/>
      <c r="P451" s="134" t="n"/>
      <c r="Q451" s="134" t="n"/>
      <c r="R451" s="134" t="n"/>
      <c r="S451" s="134" t="n"/>
      <c r="T451" s="135" t="n"/>
      <c r="U451" s="63" t="inlineStr">
        <is>
          <t>кг</t>
        </is>
      </c>
      <c r="V451" s="167">
        <f>IFERROR(SUM(V448:V449),"0")</f>
        <v/>
      </c>
      <c r="W451" s="167">
        <f>IFERROR(SUM(W448:W449),"0")</f>
        <v/>
      </c>
      <c r="X451" s="63" t="n"/>
      <c r="Y451" s="168" t="n"/>
      <c r="Z451" s="168" t="n"/>
    </row>
    <row r="452" ht="16.5" customHeight="1">
      <c r="A452" s="105" t="inlineStr">
        <is>
          <t>Выгодная цена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05" t="n"/>
      <c r="Z452" s="105" t="n"/>
    </row>
    <row r="453" ht="14.25" customHeight="1">
      <c r="A453" s="106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06" t="n"/>
      <c r="Z453" s="106" t="n"/>
    </row>
    <row r="454" ht="16.5" customHeight="1">
      <c r="A454" s="49" t="inlineStr">
        <is>
          <t>SU002655</t>
        </is>
      </c>
      <c r="B454" s="49" t="inlineStr">
        <is>
          <t>P003022</t>
        </is>
      </c>
      <c r="C454" s="50" t="n">
        <v>4301051310</v>
      </c>
      <c r="D454" s="107" t="n">
        <v>4680115880870</v>
      </c>
      <c r="E454" s="128" t="n"/>
      <c r="F454" s="162" t="n">
        <v>1.3</v>
      </c>
      <c r="G454" s="52" t="n">
        <v>6</v>
      </c>
      <c r="H454" s="162" t="n">
        <v>7.8</v>
      </c>
      <c r="I454" s="162" t="n">
        <v>8.364000000000001</v>
      </c>
      <c r="J454" s="52" t="n">
        <v>56</v>
      </c>
      <c r="K454" s="52" t="inlineStr">
        <is>
          <t>8</t>
        </is>
      </c>
      <c r="L454" s="53" t="inlineStr">
        <is>
          <t>СК3</t>
        </is>
      </c>
      <c r="M454" s="52" t="n">
        <v>40</v>
      </c>
      <c r="N454" s="1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163" t="n"/>
      <c r="P454" s="163" t="n"/>
      <c r="Q454" s="163" t="n"/>
      <c r="R454" s="128" t="n"/>
      <c r="S454" s="54" t="n"/>
      <c r="T454" s="54" t="n"/>
      <c r="U454" s="55" t="inlineStr">
        <is>
          <t>кг</t>
        </is>
      </c>
      <c r="V454" s="164" t="n">
        <v>1100</v>
      </c>
      <c r="W454" s="165">
        <f>IFERROR(IF(V454="",0,CEILING((V454/$H454),1)*$H454),"")</f>
        <v/>
      </c>
      <c r="X454" s="58">
        <f>IFERROR(IF(W454=0,"",ROUNDUP(W454/H454,0)*0.02175),"")</f>
        <v/>
      </c>
      <c r="Y454" s="59" t="n"/>
      <c r="Z454" s="60" t="n"/>
      <c r="AD454" s="61" t="n"/>
      <c r="BA454" s="62" t="inlineStr">
        <is>
          <t>КИ</t>
        </is>
      </c>
    </row>
    <row r="455">
      <c r="A455" s="109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66" t="n"/>
      <c r="N455" s="110" t="inlineStr">
        <is>
          <t>Итого</t>
        </is>
      </c>
      <c r="O455" s="134" t="n"/>
      <c r="P455" s="134" t="n"/>
      <c r="Q455" s="134" t="n"/>
      <c r="R455" s="134" t="n"/>
      <c r="S455" s="134" t="n"/>
      <c r="T455" s="135" t="n"/>
      <c r="U455" s="63" t="inlineStr">
        <is>
          <t>кор</t>
        </is>
      </c>
      <c r="V455" s="167">
        <f>IFERROR(V454/H454,"0")</f>
        <v/>
      </c>
      <c r="W455" s="167">
        <f>IFERROR(W454/H454,"0")</f>
        <v/>
      </c>
      <c r="X455" s="167">
        <f>IFERROR(IF(X454="",0,X454),"0")</f>
        <v/>
      </c>
      <c r="Y455" s="168" t="n"/>
      <c r="Z455" s="16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66" t="n"/>
      <c r="N456" s="110" t="inlineStr">
        <is>
          <t>Итого</t>
        </is>
      </c>
      <c r="O456" s="134" t="n"/>
      <c r="P456" s="134" t="n"/>
      <c r="Q456" s="134" t="n"/>
      <c r="R456" s="134" t="n"/>
      <c r="S456" s="134" t="n"/>
      <c r="T456" s="135" t="n"/>
      <c r="U456" s="63" t="inlineStr">
        <is>
          <t>кг</t>
        </is>
      </c>
      <c r="V456" s="167">
        <f>IFERROR(SUM(V454:V454),"0")</f>
        <v/>
      </c>
      <c r="W456" s="167">
        <f>IFERROR(SUM(W454:W454),"0")</f>
        <v/>
      </c>
      <c r="X456" s="63" t="n"/>
      <c r="Y456" s="168" t="n"/>
      <c r="Z456" s="168" t="n"/>
    </row>
    <row r="457" ht="15" customHeight="1">
      <c r="A457" s="116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26" t="n"/>
      <c r="N457" s="117" t="inlineStr">
        <is>
          <t>ИТОГО НЕТТО</t>
        </is>
      </c>
      <c r="O457" s="120" t="n"/>
      <c r="P457" s="120" t="n"/>
      <c r="Q457" s="120" t="n"/>
      <c r="R457" s="120" t="n"/>
      <c r="S457" s="120" t="n"/>
      <c r="T457" s="121" t="n"/>
      <c r="U457" s="63" t="inlineStr">
        <is>
          <t>кг</t>
        </is>
      </c>
      <c r="V457" s="16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/>
      </c>
      <c r="W457" s="16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/>
      </c>
      <c r="X457" s="63" t="n"/>
      <c r="Y457" s="168" t="n"/>
      <c r="Z457" s="16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26" t="n"/>
      <c r="N458" s="117" t="inlineStr">
        <is>
          <t>ИТОГО БРУТТО</t>
        </is>
      </c>
      <c r="O458" s="120" t="n"/>
      <c r="P458" s="120" t="n"/>
      <c r="Q458" s="120" t="n"/>
      <c r="R458" s="120" t="n"/>
      <c r="S458" s="120" t="n"/>
      <c r="T458" s="121" t="n"/>
      <c r="U458" s="63" t="inlineStr">
        <is>
          <t>кг</t>
        </is>
      </c>
      <c r="V458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63" t="n"/>
      <c r="Y458" s="168" t="n"/>
      <c r="Z458" s="168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117" t="inlineStr">
        <is>
          <t>Кол-во паллет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шт</t>
        </is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63" t="n"/>
      <c r="Y459" s="168" t="n"/>
      <c r="Z459" s="168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117" t="inlineStr">
        <is>
          <t>Вес брутто  с паллетами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GrossWeightTotal+PalletQtyTotal*25</f>
        <v/>
      </c>
      <c r="W460" s="167">
        <f>GrossWeightTotalR+PalletQtyTotalR*25</f>
        <v/>
      </c>
      <c r="X460" s="63" t="n"/>
      <c r="Y460" s="168" t="n"/>
      <c r="Z460" s="168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117" t="inlineStr">
        <is>
          <t>Кол-во коробок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16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/>
      </c>
      <c r="W461" s="16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/>
      </c>
      <c r="X461" s="63" t="n"/>
      <c r="Y461" s="168" t="n"/>
      <c r="Z461" s="168" t="n"/>
    </row>
    <row r="462" ht="14.2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117" t="inlineStr">
        <is>
          <t>Объем заказа</t>
        </is>
      </c>
      <c r="O462" s="120" t="n"/>
      <c r="P462" s="120" t="n"/>
      <c r="Q462" s="120" t="n"/>
      <c r="R462" s="120" t="n"/>
      <c r="S462" s="120" t="n"/>
      <c r="T462" s="121" t="n"/>
      <c r="U462" s="67" t="inlineStr">
        <is>
          <t>м3</t>
        </is>
      </c>
      <c r="V462" s="63" t="n"/>
      <c r="W462" s="63" t="n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/>
      </c>
      <c r="Y462" s="168" t="n"/>
      <c r="Z462" s="168" t="n"/>
    </row>
    <row r="463"/>
    <row r="464" ht="27" customHeight="1">
      <c r="A464" s="68" t="inlineStr">
        <is>
          <t>ТОРГОВАЯ МАРКА</t>
        </is>
      </c>
      <c r="B464" s="118" t="inlineStr">
        <is>
          <t>Ядрена копоть</t>
        </is>
      </c>
      <c r="C464" s="118" t="inlineStr">
        <is>
          <t>Вязанка</t>
        </is>
      </c>
      <c r="D464" s="169" t="n"/>
      <c r="E464" s="169" t="n"/>
      <c r="F464" s="170" t="n"/>
      <c r="G464" s="118" t="inlineStr">
        <is>
          <t>Стародворье</t>
        </is>
      </c>
      <c r="H464" s="169" t="n"/>
      <c r="I464" s="169" t="n"/>
      <c r="J464" s="169" t="n"/>
      <c r="K464" s="169" t="n"/>
      <c r="L464" s="169" t="n"/>
      <c r="M464" s="170" t="n"/>
      <c r="N464" s="118" t="inlineStr">
        <is>
          <t>Особый рецепт</t>
        </is>
      </c>
      <c r="O464" s="170" t="n"/>
      <c r="P464" s="118" t="inlineStr">
        <is>
          <t>Баварушка</t>
        </is>
      </c>
      <c r="Q464" s="170" t="n"/>
      <c r="R464" s="118" t="inlineStr">
        <is>
          <t>Дугушка</t>
        </is>
      </c>
      <c r="S464" s="118" t="inlineStr">
        <is>
          <t>Зареченские</t>
        </is>
      </c>
      <c r="T464" s="170" t="n"/>
      <c r="U464" s="1" t="n"/>
      <c r="Z464" s="71" t="n"/>
      <c r="AC464" s="1" t="n"/>
    </row>
    <row r="465" ht="14.25" customFormat="1" customHeight="1" s="1">
      <c r="A465" s="119" t="inlineStr">
        <is>
          <t>СЕРИЯ</t>
        </is>
      </c>
      <c r="B465" s="118" t="inlineStr">
        <is>
          <t>Ядрена копоть</t>
        </is>
      </c>
      <c r="C465" s="118" t="inlineStr">
        <is>
          <t>Столичная</t>
        </is>
      </c>
      <c r="D465" s="118" t="inlineStr">
        <is>
          <t>Классическая</t>
        </is>
      </c>
      <c r="E465" s="118" t="inlineStr">
        <is>
          <t>Вязанка</t>
        </is>
      </c>
      <c r="F465" s="118" t="inlineStr">
        <is>
          <t>Сливушки</t>
        </is>
      </c>
      <c r="G465" s="118" t="inlineStr">
        <is>
          <t>Золоченная в печи</t>
        </is>
      </c>
      <c r="H465" s="118" t="inlineStr">
        <is>
          <t>Мясорубская</t>
        </is>
      </c>
      <c r="I465" s="118" t="inlineStr">
        <is>
          <t>Сочинка</t>
        </is>
      </c>
      <c r="J465" s="118" t="inlineStr">
        <is>
          <t>Бордо</t>
        </is>
      </c>
      <c r="L465" s="118" t="inlineStr">
        <is>
          <t>Фирменная</t>
        </is>
      </c>
      <c r="M465" s="118" t="inlineStr">
        <is>
          <t>Бавария</t>
        </is>
      </c>
      <c r="N465" s="118" t="inlineStr">
        <is>
          <t>Особая</t>
        </is>
      </c>
      <c r="O465" s="118" t="inlineStr">
        <is>
          <t>Особая Без свинины</t>
        </is>
      </c>
      <c r="P465" s="118" t="inlineStr">
        <is>
          <t>Филейбургская</t>
        </is>
      </c>
      <c r="Q465" s="118" t="inlineStr">
        <is>
          <t>Балыкбургская</t>
        </is>
      </c>
      <c r="R465" s="118" t="inlineStr">
        <is>
          <t>Дугушка</t>
        </is>
      </c>
      <c r="S465" s="118" t="inlineStr">
        <is>
          <t>Зареченские продукты</t>
        </is>
      </c>
      <c r="T465" s="118" t="inlineStr">
        <is>
          <t>Выгодная цена</t>
        </is>
      </c>
      <c r="Z465" s="71" t="n"/>
      <c r="AA465" s="71" t="n"/>
      <c r="AB465" s="71" t="n"/>
    </row>
    <row r="466" customFormat="1" s="1">
      <c r="A466" s="171" t="n"/>
      <c r="B466" s="172" t="n"/>
      <c r="C466" s="172" t="n"/>
      <c r="D466" s="172" t="n"/>
      <c r="E466" s="172" t="n"/>
      <c r="F466" s="172" t="n"/>
      <c r="G466" s="172" t="n"/>
      <c r="H466" s="172" t="n"/>
      <c r="I466" s="172" t="n"/>
      <c r="J466" s="172" t="n"/>
      <c r="L466" s="172" t="n"/>
      <c r="M466" s="172" t="n"/>
      <c r="N466" s="172" t="n"/>
      <c r="O466" s="172" t="n"/>
      <c r="P466" s="172" t="n"/>
      <c r="Q466" s="172" t="n"/>
      <c r="R466" s="172" t="n"/>
      <c r="S466" s="172" t="n"/>
      <c r="T466" s="172" t="n"/>
      <c r="Z466" s="71" t="n"/>
      <c r="AA466" s="71" t="n"/>
      <c r="AB466" s="71" t="n"/>
    </row>
    <row r="467" ht="16.5" customFormat="1" customHeight="1" s="1">
      <c r="A467" s="68" t="inlineStr">
        <is>
          <t>ИТОГО, кг</t>
        </is>
      </c>
      <c r="B467" s="70">
        <f>IFERROR(W22*1,"0")+IFERROR(W26*1,"0")+IFERROR(W27*1,"0")+IFERROR(W28*1,"0")+IFERROR(W29*1,"0")+IFERROR(W30*1,"0")+IFERROR(W31*1,"0")+IFERROR(W35*1,"0")+IFERROR(W39*1,"0")+IFERROR(W43*1,"0")</f>
        <v/>
      </c>
      <c r="C467" s="70">
        <f>IFERROR(W49*1,"0")+IFERROR(W50*1,"0")</f>
        <v/>
      </c>
      <c r="D467" s="70">
        <f>IFERROR(W55*1,"0")+IFERROR(W56*1,"0")+IFERROR(W57*1,"0")+IFERROR(W58*1,"0")</f>
        <v/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7" s="70">
        <f>IFERROR(W126*1,"0")+IFERROR(W127*1,"0")+IFERROR(W128*1,"0")</f>
        <v/>
      </c>
      <c r="G467" s="70">
        <f>IFERROR(W134*1,"0")+IFERROR(W135*1,"0")+IFERROR(W136*1,"0")</f>
        <v/>
      </c>
      <c r="H467" s="70">
        <f>IFERROR(W141*1,"0")+IFERROR(W142*1,"0")+IFERROR(W143*1,"0")+IFERROR(W144*1,"0")+IFERROR(W145*1,"0")+IFERROR(W146*1,"0")+IFERROR(W147*1,"0")+IFERROR(W148*1,"0")</f>
        <v/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L467" s="70">
        <f>IFERROR(W255*1,"0")+IFERROR(W256*1,"0")+IFERROR(W257*1,"0")+IFERROR(W258*1,"0")+IFERROR(W259*1,"0")+IFERROR(W260*1,"0")+IFERROR(W261*1,"0")+IFERROR(W265*1,"0")+IFERROR(W266*1,"0")</f>
        <v/>
      </c>
      <c r="M467" s="70">
        <f>IFERROR(W271*1,"0")+IFERROR(W275*1,"0")+IFERROR(W276*1,"0")+IFERROR(W277*1,"0")+IFERROR(W281*1,"0")+IFERROR(W285*1,"0")</f>
        <v/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70">
        <f>IFERROR(W379*1,"0")+IFERROR(W380*1,"0")+IFERROR(W384*1,"0")+IFERROR(W385*1,"0")+IFERROR(W386*1,"0")+IFERROR(W387*1,"0")+IFERROR(W388*1,"0")+IFERROR(W389*1,"0")+IFERROR(W390*1,"0")+IFERROR(W394*1,"0")</f>
        <v/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70">
        <f>IFERROR(W433*1,"0")+IFERROR(W434*1,"0")+IFERROR(W438*1,"0")+IFERROR(W439*1,"0")+IFERROR(W443*1,"0")+IFERROR(W444*1,"0")+IFERROR(W448*1,"0")+IFERROR(W449*1,"0")</f>
        <v/>
      </c>
      <c r="T467" s="70">
        <f>IFERROR(W454*1,"0")</f>
        <v/>
      </c>
      <c r="Z467" s="71" t="n"/>
      <c r="AA467" s="71" t="n"/>
      <c r="AB467" s="7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FdLQ/0lUTKzZPoyjlOgqw==" formatRows="1" sort="0" spinCount="100000" hashValue="kH8UEPowT7OAnPDz6AFvaV1he1b1Cg7M4Ac35FuZJpSORFOYyQtYFeEJkAiS4w/RuJEvU6mhywxnStcEDxodjg=="/>
  <autoFilter ref="B18:X18"/>
  <mergeCells count="831"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115:T115"/>
    <mergeCell ref="N102:T102"/>
    <mergeCell ref="N30:R30"/>
    <mergeCell ref="D98:E98"/>
    <mergeCell ref="D73:E73"/>
    <mergeCell ref="N446:T446"/>
    <mergeCell ref="N215:T215"/>
    <mergeCell ref="A340:X340"/>
    <mergeCell ref="N44:T44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425:X425"/>
    <mergeCell ref="A286:M287"/>
    <mergeCell ref="N56:R56"/>
    <mergeCell ref="T10:U10"/>
    <mergeCell ref="D66:E66"/>
    <mergeCell ref="D126:E126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N423:T423"/>
    <mergeCell ref="D366:E366"/>
    <mergeCell ref="N279:T279"/>
    <mergeCell ref="N410:T410"/>
    <mergeCell ref="D406:E406"/>
    <mergeCell ref="N360:T360"/>
    <mergeCell ref="N216:T216"/>
    <mergeCell ref="A341:X341"/>
    <mergeCell ref="N45:T45"/>
    <mergeCell ref="N424:T424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D8:L8"/>
    <mergeCell ref="N287:T287"/>
    <mergeCell ref="D308:E308"/>
    <mergeCell ref="N39:R39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N130:T130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363:R363"/>
    <mergeCell ref="N434:R434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N465:N466"/>
    <mergeCell ref="D448:E448"/>
    <mergeCell ref="A25:X25"/>
    <mergeCell ref="F465:F466"/>
    <mergeCell ref="D390:E39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D180:E180"/>
    <mergeCell ref="D9:E9"/>
    <mergeCell ref="D118:E118"/>
    <mergeCell ref="F9:G9"/>
    <mergeCell ref="N251:T251"/>
    <mergeCell ref="N322:T322"/>
    <mergeCell ref="D403:E403"/>
    <mergeCell ref="D232:E232"/>
    <mergeCell ref="N309:T309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27:E27"/>
    <mergeCell ref="N15:R16"/>
    <mergeCell ref="D325:E325"/>
    <mergeCell ref="N375:T375"/>
    <mergeCell ref="A269:X269"/>
    <mergeCell ref="N160:T160"/>
    <mergeCell ref="D352:E352"/>
    <mergeCell ref="N219:R219"/>
    <mergeCell ref="D454:E454"/>
    <mergeCell ref="N233:T233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444:E444"/>
    <mergeCell ref="D419:E419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N229:R229"/>
    <mergeCell ref="N200:R200"/>
    <mergeCell ref="D43:E43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M465:M466"/>
    <mergeCell ref="N304:R304"/>
    <mergeCell ref="N155:T155"/>
    <mergeCell ref="D347:E347"/>
    <mergeCell ref="D176:E176"/>
    <mergeCell ref="D285:E285"/>
    <mergeCell ref="N391:T391"/>
    <mergeCell ref="D412:E412"/>
    <mergeCell ref="N462:T462"/>
    <mergeCell ref="D64:E64"/>
    <mergeCell ref="A437:X437"/>
    <mergeCell ref="A431:X431"/>
    <mergeCell ref="D349:E349"/>
    <mergeCell ref="N262:T26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A160:M161"/>
    <mergeCell ref="A152:X152"/>
    <mergeCell ref="N421:R421"/>
    <mergeCell ref="N408:R408"/>
    <mergeCell ref="D39:E39"/>
    <mergeCell ref="A211:M212"/>
    <mergeCell ref="D418:E418"/>
    <mergeCell ref="N343:R343"/>
    <mergeCell ref="A241:X241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D384:E384"/>
    <mergeCell ref="A393:X39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429:T429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A455:M456"/>
    <mergeCell ref="N225:R225"/>
    <mergeCell ref="N418:R418"/>
    <mergeCell ref="N296:R296"/>
    <mergeCell ref="N356:R356"/>
    <mergeCell ref="D35:E35"/>
    <mergeCell ref="O465:O466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N420:R420"/>
    <mergeCell ref="N110:R110"/>
    <mergeCell ref="N149:T149"/>
    <mergeCell ref="N376:T376"/>
    <mergeCell ref="D99:E99"/>
    <mergeCell ref="N314:T314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3:T33"/>
    <mergeCell ref="D29:E29"/>
    <mergeCell ref="N319:R319"/>
    <mergeCell ref="D265:E265"/>
    <mergeCell ref="A169:X169"/>
    <mergeCell ref="N333:T333"/>
    <mergeCell ref="A162:X162"/>
    <mergeCell ref="N137:T137"/>
    <mergeCell ref="A40:M41"/>
    <mergeCell ref="D218:E218"/>
    <mergeCell ref="N204:R204"/>
    <mergeCell ref="A398:X39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49:E49"/>
    <mergeCell ref="D242:E242"/>
    <mergeCell ref="N297:R297"/>
    <mergeCell ref="A195:X195"/>
    <mergeCell ref="D120:E120"/>
    <mergeCell ref="F17:F18"/>
    <mergeCell ref="O5:P5"/>
    <mergeCell ref="D107:E107"/>
    <mergeCell ref="D163:E163"/>
    <mergeCell ref="A116:X116"/>
    <mergeCell ref="D405:E405"/>
    <mergeCell ref="C464:F464"/>
    <mergeCell ref="N185:R185"/>
    <mergeCell ref="N136:R136"/>
    <mergeCell ref="N312:R312"/>
    <mergeCell ref="D244:E244"/>
    <mergeCell ref="A253:X253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389:R389"/>
    <mergeCell ref="N85:R85"/>
    <mergeCell ref="N454:R454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A440:M441"/>
    <mergeCell ref="N182:R182"/>
    <mergeCell ref="D184:E184"/>
    <mergeCell ref="N84:R84"/>
    <mergeCell ref="N249:R249"/>
    <mergeCell ref="N320:R320"/>
    <mergeCell ref="D121:E12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N458:T458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Краснодарский край, Сочи г, Строительный пер, д. 10А,</t>
        </is>
      </c>
      <c r="C6" s="72" t="inlineStr">
        <is>
          <t>590704_7</t>
        </is>
      </c>
      <c r="D6" s="72" t="inlineStr">
        <is>
          <t>1</t>
        </is>
      </c>
      <c r="E6" s="72" t="n"/>
    </row>
    <row r="7">
      <c r="B7" s="72" t="inlineStr">
        <is>
          <t>ЛП, ООО, Краснодарский край, Краснодар г, им Вишняковой проезд, д. 1/5,</t>
        </is>
      </c>
      <c r="C7" s="72" t="inlineStr">
        <is>
          <t>590704_8</t>
        </is>
      </c>
      <c r="D7" s="72" t="inlineStr">
        <is>
          <t>2</t>
        </is>
      </c>
      <c r="E7" s="72" t="n"/>
    </row>
    <row r="9">
      <c r="B9" s="72" t="inlineStr">
        <is>
          <t>354068Российская Федерация, Краснодарский край, Сочи г, Строительный пер, д. 10А,</t>
        </is>
      </c>
      <c r="C9" s="72" t="inlineStr">
        <is>
          <t>590704_7</t>
        </is>
      </c>
      <c r="D9" s="72" t="n"/>
      <c r="E9" s="72" t="n"/>
    </row>
    <row r="11">
      <c r="B11" s="72" t="inlineStr">
        <is>
          <t>350001Российская Федерация, Краснодарский край, Краснодар г, им Вишняковой проезд, д. 1/5,</t>
        </is>
      </c>
      <c r="C11" s="72" t="inlineStr">
        <is>
          <t>590704_8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3QF4wfzfue2/n7cAF7BCw==" formatRows="1" sort="0" spinCount="100000" hashValue="5UpyO8K9gIssDQmwZAqVvM+SdztlZ0rTb4+SwbAbacFHDhhiVisAxXISbSu+SshrmJM8q3FhoPqM6zxVK2n0G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2023-11-21T07:29:43Z</dcterms:modified>
  <cp:lastModifiedBy>Windows User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