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97F31022-B3F9-4C7C-82B3-BF94A1EF31E1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заказа'!$B$18:$Y$295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заказа'!$U$10</definedName>
    <definedName name="CustName">'Бланк заказа'!$U$6</definedName>
    <definedName name="DateFrom">'Бланк заказа'!$Q$1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заказа'!$U$12</definedName>
    <definedName name="DeliveryConditionsList">Setting!$B$10:$B$20</definedName>
    <definedName name="DeliveryDate">'Бланк заказа'!$P$9</definedName>
    <definedName name="DeliveryMethodList">Setting!$B$3:$B$4</definedName>
    <definedName name="DeliveryNumAdressList">Setting!$D$6:$D$6</definedName>
    <definedName name="DeliveryTime">'Бланк заказа'!$P$10</definedName>
    <definedName name="DeliveryTime2">'Бланк заказа'!$P$11</definedName>
    <definedName name="DeliveryTime3">'Бланк заказа'!$P$12</definedName>
    <definedName name="DeliveryTime4">'Бланк заказа'!$P$13</definedName>
    <definedName name="DlvMode">'Бланк заказа'!$U$5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заказа'!$W$291:$W$291</definedName>
    <definedName name="GrossWeightTotalR">'Бланк заказа'!$X$291:$X$291</definedName>
    <definedName name="LoadDate">'Бланк заказа'!$P$5</definedName>
    <definedName name="LoadTime">'Бланк заказа'!$P$8</definedName>
    <definedName name="NumProxy">'Бланк заказа'!$D$10</definedName>
    <definedName name="NumProxySet">Setting!$B$9:$B$10</definedName>
    <definedName name="PalletQtyTotal">'Бланк заказа'!$W$292:$W$292</definedName>
    <definedName name="PalletQtyTotalR">'Бланк заказа'!$X$292:$X$292</definedName>
    <definedName name="PassportProxy">'Бланк заказа'!$J$9:$L$9</definedName>
    <definedName name="PassportProxySet">Setting!$D$9:$D$10</definedName>
    <definedName name="ProductId1">'Бланк заказа'!$B$22:$B$22</definedName>
    <definedName name="ProductId10">'Бланк заказа'!$B$44:$B$44</definedName>
    <definedName name="ProductId100">'Бланк заказа'!$B$276:$B$276</definedName>
    <definedName name="ProductId101">'Бланк заказа'!$B$277:$B$277</definedName>
    <definedName name="ProductId102">'Бланк заказа'!$B$278:$B$278</definedName>
    <definedName name="ProductId103">'Бланк заказа'!$B$279:$B$279</definedName>
    <definedName name="ProductId104">'Бланк заказа'!$B$280:$B$280</definedName>
    <definedName name="ProductId105">'Бланк заказа'!$B$281:$B$281</definedName>
    <definedName name="ProductId106">'Бланк заказа'!$B$282:$B$282</definedName>
    <definedName name="ProductId107">'Бланк заказа'!$B$283:$B$283</definedName>
    <definedName name="ProductId108">'Бланк заказа'!$B$284:$B$284</definedName>
    <definedName name="ProductId109">'Бланк заказа'!$B$285:$B$285</definedName>
    <definedName name="ProductId11">'Бланк заказа'!$B$45:$B$45</definedName>
    <definedName name="ProductId110">'Бланк заказа'!$B$286:$B$286</definedName>
    <definedName name="ProductId111">'Бланк заказа'!$B$287:$B$287</definedName>
    <definedName name="ProductId12">'Бланк заказа'!$B$46:$B$46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заказа'!$B$56:$B$56</definedName>
    <definedName name="ProductId19">'Бланк заказа'!$B$61:$B$61</definedName>
    <definedName name="ProductId2">'Бланк заказа'!$B$28:$B$28</definedName>
    <definedName name="ProductId20">'Бланк заказа'!$B$62:$B$62</definedName>
    <definedName name="ProductId21">'Бланк заказа'!$B$67:$B$67</definedName>
    <definedName name="ProductId22">'Бланк заказа'!$B$72:$B$72</definedName>
    <definedName name="ProductId23">'Бланк заказа'!$B$73:$B$73</definedName>
    <definedName name="ProductId24">'Бланк заказа'!$B$78:$B$78</definedName>
    <definedName name="ProductId25">'Бланк заказа'!$B$79:$B$79</definedName>
    <definedName name="ProductId26">'Бланк заказа'!$B$80:$B$80</definedName>
    <definedName name="ProductId27">'Бланк заказа'!$B$81:$B$81</definedName>
    <definedName name="ProductId28">'Бланк заказа'!$B$82:$B$82</definedName>
    <definedName name="ProductId29">'Бланк заказа'!$B$83:$B$83</definedName>
    <definedName name="ProductId3">'Бланк заказа'!$B$29:$B$29</definedName>
    <definedName name="ProductId30">'Бланк заказа'!$B$88:$B$88</definedName>
    <definedName name="ProductId31">'Бланк заказа'!$B$89:$B$89</definedName>
    <definedName name="ProductId32">'Бланк заказа'!$B$90:$B$90</definedName>
    <definedName name="ProductId33">'Бланк заказа'!$B$95:$B$95</definedName>
    <definedName name="ProductId34">'Бланк заказа'!$B$96:$B$96</definedName>
    <definedName name="ProductId35">'Бланк заказа'!$B$97:$B$97</definedName>
    <definedName name="ProductId36">'Бланк заказа'!$B$98:$B$98</definedName>
    <definedName name="ProductId37">'Бланк заказа'!$B$99:$B$99</definedName>
    <definedName name="ProductId38">'Бланк заказа'!$B$104:$B$104</definedName>
    <definedName name="ProductId39">'Бланк заказа'!$B$105:$B$105</definedName>
    <definedName name="ProductId4">'Бланк заказа'!$B$30:$B$30</definedName>
    <definedName name="ProductId40">'Бланк заказа'!$B$110:$B$110</definedName>
    <definedName name="ProductId41">'Бланк заказа'!$B$115:$B$115</definedName>
    <definedName name="ProductId42">'Бланк заказа'!$B$116:$B$116</definedName>
    <definedName name="ProductId43">'Бланк заказа'!$B$117:$B$117</definedName>
    <definedName name="ProductId44">'Бланк заказа'!$B$118:$B$118</definedName>
    <definedName name="ProductId45">'Бланк заказа'!$B$123:$B$123</definedName>
    <definedName name="ProductId46">'Бланк заказа'!$B$128:$B$128</definedName>
    <definedName name="ProductId47">'Бланк заказа'!$B$129:$B$129</definedName>
    <definedName name="ProductId48">'Бланк заказа'!$B$134:$B$134</definedName>
    <definedName name="ProductId49">'Бланк заказа'!$B$140:$B$140</definedName>
    <definedName name="ProductId5">'Бланк заказа'!$B$31:$B$31</definedName>
    <definedName name="ProductId50">'Бланк заказа'!$B$145:$B$145</definedName>
    <definedName name="ProductId51">'Бланк заказа'!$B$150:$B$150</definedName>
    <definedName name="ProductId52">'Бланк заказа'!$B$151:$B$151</definedName>
    <definedName name="ProductId53">'Бланк заказа'!$B$152:$B$152</definedName>
    <definedName name="ProductId54">'Бланк заказа'!$B$153:$B$153</definedName>
    <definedName name="ProductId55">'Бланк заказа'!$B$157:$B$157</definedName>
    <definedName name="ProductId56">'Бланк заказа'!$B$158:$B$158</definedName>
    <definedName name="ProductId57">'Бланк заказа'!$B$164:$B$164</definedName>
    <definedName name="ProductId58">'Бланк заказа'!$B$165:$B$165</definedName>
    <definedName name="ProductId59">'Бланк заказа'!$B$170:$B$170</definedName>
    <definedName name="ProductId6">'Бланк заказа'!$B$36:$B$36</definedName>
    <definedName name="ProductId60">'Бланк заказа'!$B$175:$B$175</definedName>
    <definedName name="ProductId61">'Бланк заказа'!$B$180:$B$180</definedName>
    <definedName name="ProductId62">'Бланк заказа'!$B$186:$B$186</definedName>
    <definedName name="ProductId63">'Бланк заказа'!$B$187:$B$187</definedName>
    <definedName name="ProductId64">'Бланк заказа'!$B$192:$B$192</definedName>
    <definedName name="ProductId65">'Бланк заказа'!$B$193:$B$193</definedName>
    <definedName name="ProductId66">'Бланк заказа'!$B$194:$B$194</definedName>
    <definedName name="ProductId67">'Бланк заказа'!$B$199:$B$199</definedName>
    <definedName name="ProductId68">'Бланк заказа'!$B$200:$B$200</definedName>
    <definedName name="ProductId69">'Бланк заказа'!$B$201:$B$201</definedName>
    <definedName name="ProductId7">'Бланк заказа'!$B$37:$B$37</definedName>
    <definedName name="ProductId70">'Бланк заказа'!$B$202:$B$202</definedName>
    <definedName name="ProductId71">'Бланк заказа'!$B$203:$B$203</definedName>
    <definedName name="ProductId72">'Бланк заказа'!$B$204:$B$204</definedName>
    <definedName name="ProductId73">'Бланк заказа'!$B$209:$B$209</definedName>
    <definedName name="ProductId74">'Бланк заказа'!$B$210:$B$210</definedName>
    <definedName name="ProductId75">'Бланк заказа'!$B$211:$B$211</definedName>
    <definedName name="ProductId76">'Бланк заказа'!$B$212:$B$212</definedName>
    <definedName name="ProductId77">'Бланк заказа'!$B$217:$B$217</definedName>
    <definedName name="ProductId78">'Бланк заказа'!$B$222:$B$222</definedName>
    <definedName name="ProductId79">'Бланк заказа'!$B$223:$B$223</definedName>
    <definedName name="ProductId8">'Бланк заказа'!$B$38:$B$38</definedName>
    <definedName name="ProductId80">'Бланк заказа'!$B$229:$B$229</definedName>
    <definedName name="ProductId81">'Бланк заказа'!$B$235:$B$235</definedName>
    <definedName name="ProductId82">'Бланк заказа'!$B$240:$B$240</definedName>
    <definedName name="ProductId83">'Бланк заказа'!$B$246:$B$246</definedName>
    <definedName name="ProductId84">'Бланк заказа'!$B$247:$B$247</definedName>
    <definedName name="ProductId85">'Бланк заказа'!$B$252:$B$252</definedName>
    <definedName name="ProductId86">'Бланк заказа'!$B$256:$B$256</definedName>
    <definedName name="ProductId87">'Бланк заказа'!$B$257:$B$257</definedName>
    <definedName name="ProductId88">'Бланк заказа'!$B$261:$B$261</definedName>
    <definedName name="ProductId89">'Бланк заказа'!$B$262:$B$262</definedName>
    <definedName name="ProductId9">'Бланк заказа'!$B$39:$B$39</definedName>
    <definedName name="ProductId90">'Бланк заказа'!$B$263:$B$263</definedName>
    <definedName name="ProductId91">'Бланк заказа'!$B$264:$B$264</definedName>
    <definedName name="ProductId92">'Бланк заказа'!$B$268:$B$268</definedName>
    <definedName name="ProductId93">'Бланк заказа'!$B$269:$B$269</definedName>
    <definedName name="ProductId94">'Бланк заказа'!$B$270:$B$270</definedName>
    <definedName name="ProductId95">'Бланк заказа'!$B$271:$B$271</definedName>
    <definedName name="ProductId96">'Бланк заказа'!$B$272:$B$272</definedName>
    <definedName name="ProductId97">'Бланк заказа'!$B$273:$B$273</definedName>
    <definedName name="ProductId98">'Бланк заказа'!$B$274:$B$274</definedName>
    <definedName name="ProductId99">'Бланк заказа'!$B$275:$B$275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заказа'!$W$22:$W$22</definedName>
    <definedName name="SalesQty10">'Бланк заказа'!$W$44:$W$44</definedName>
    <definedName name="SalesQty100">'Бланк заказа'!$W$276:$W$276</definedName>
    <definedName name="SalesQty101">'Бланк заказа'!$W$277:$W$277</definedName>
    <definedName name="SalesQty102">'Бланк заказа'!$W$278:$W$278</definedName>
    <definedName name="SalesQty103">'Бланк заказа'!$W$279:$W$279</definedName>
    <definedName name="SalesQty104">'Бланк заказа'!$W$280:$W$280</definedName>
    <definedName name="SalesQty105">'Бланк заказа'!$W$281:$W$281</definedName>
    <definedName name="SalesQty106">'Бланк заказа'!$W$282:$W$282</definedName>
    <definedName name="SalesQty107">'Бланк заказа'!$W$283:$W$283</definedName>
    <definedName name="SalesQty108">'Бланк заказа'!$W$284:$W$284</definedName>
    <definedName name="SalesQty109">'Бланк заказа'!$W$285:$W$285</definedName>
    <definedName name="SalesQty11">'Бланк заказа'!$W$45:$W$45</definedName>
    <definedName name="SalesQty110">'Бланк заказа'!$W$286:$W$286</definedName>
    <definedName name="SalesQty111">'Бланк заказа'!$W$287:$W$287</definedName>
    <definedName name="SalesQty12">'Бланк заказа'!$W$46:$W$46</definedName>
    <definedName name="SalesQty13">'Бланк заказа'!$W$51:$W$51</definedName>
    <definedName name="SalesQty14">'Бланк заказа'!$W$52:$W$52</definedName>
    <definedName name="SalesQty15">'Бланк заказа'!$W$53:$W$53</definedName>
    <definedName name="SalesQty16">'Бланк заказа'!$W$54:$W$54</definedName>
    <definedName name="SalesQty17">'Бланк заказа'!$W$55:$W$55</definedName>
    <definedName name="SalesQty18">'Бланк заказа'!$W$56:$W$56</definedName>
    <definedName name="SalesQty19">'Бланк заказа'!$W$61:$W$61</definedName>
    <definedName name="SalesQty2">'Бланк заказа'!$W$28:$W$28</definedName>
    <definedName name="SalesQty20">'Бланк заказа'!$W$62:$W$62</definedName>
    <definedName name="SalesQty21">'Бланк заказа'!$W$67:$W$67</definedName>
    <definedName name="SalesQty22">'Бланк заказа'!$W$72:$W$72</definedName>
    <definedName name="SalesQty23">'Бланк заказа'!$W$73:$W$73</definedName>
    <definedName name="SalesQty24">'Бланк заказа'!$W$78:$W$78</definedName>
    <definedName name="SalesQty25">'Бланк заказа'!$W$79:$W$79</definedName>
    <definedName name="SalesQty26">'Бланк заказа'!$W$80:$W$80</definedName>
    <definedName name="SalesQty27">'Бланк заказа'!$W$81:$W$81</definedName>
    <definedName name="SalesQty28">'Бланк заказа'!$W$82:$W$82</definedName>
    <definedName name="SalesQty29">'Бланк заказа'!$W$83:$W$83</definedName>
    <definedName name="SalesQty3">'Бланк заказа'!$W$29:$W$29</definedName>
    <definedName name="SalesQty30">'Бланк заказа'!$W$88:$W$88</definedName>
    <definedName name="SalesQty31">'Бланк заказа'!$W$89:$W$89</definedName>
    <definedName name="SalesQty32">'Бланк заказа'!$W$90:$W$90</definedName>
    <definedName name="SalesQty33">'Бланк заказа'!$W$95:$W$95</definedName>
    <definedName name="SalesQty34">'Бланк заказа'!$W$96:$W$96</definedName>
    <definedName name="SalesQty35">'Бланк заказа'!$W$97:$W$97</definedName>
    <definedName name="SalesQty36">'Бланк заказа'!$W$98:$W$98</definedName>
    <definedName name="SalesQty37">'Бланк заказа'!$W$99:$W$99</definedName>
    <definedName name="SalesQty38">'Бланк заказа'!$W$104:$W$104</definedName>
    <definedName name="SalesQty39">'Бланк заказа'!$W$105:$W$105</definedName>
    <definedName name="SalesQty4">'Бланк заказа'!$W$30:$W$30</definedName>
    <definedName name="SalesQty40">'Бланк заказа'!$W$110:$W$110</definedName>
    <definedName name="SalesQty41">'Бланк заказа'!$W$115:$W$115</definedName>
    <definedName name="SalesQty42">'Бланк заказа'!$W$116:$W$116</definedName>
    <definedName name="SalesQty43">'Бланк заказа'!$W$117:$W$117</definedName>
    <definedName name="SalesQty44">'Бланк заказа'!$W$118:$W$118</definedName>
    <definedName name="SalesQty45">'Бланк заказа'!$W$123:$W$123</definedName>
    <definedName name="SalesQty46">'Бланк заказа'!$W$128:$W$128</definedName>
    <definedName name="SalesQty47">'Бланк заказа'!$W$129:$W$129</definedName>
    <definedName name="SalesQty48">'Бланк заказа'!$W$134:$W$134</definedName>
    <definedName name="SalesQty49">'Бланк заказа'!$W$140:$W$140</definedName>
    <definedName name="SalesQty5">'Бланк заказа'!$W$31:$W$31</definedName>
    <definedName name="SalesQty50">'Бланк заказа'!$W$145:$W$145</definedName>
    <definedName name="SalesQty51">'Бланк заказа'!$W$150:$W$150</definedName>
    <definedName name="SalesQty52">'Бланк заказа'!$W$151:$W$151</definedName>
    <definedName name="SalesQty53">'Бланк заказа'!$W$152:$W$152</definedName>
    <definedName name="SalesQty54">'Бланк заказа'!$W$153:$W$153</definedName>
    <definedName name="SalesQty55">'Бланк заказа'!$W$157:$W$157</definedName>
    <definedName name="SalesQty56">'Бланк заказа'!$W$158:$W$158</definedName>
    <definedName name="SalesQty57">'Бланк заказа'!$W$164:$W$164</definedName>
    <definedName name="SalesQty58">'Бланк заказа'!$W$165:$W$165</definedName>
    <definedName name="SalesQty59">'Бланк заказа'!$W$170:$W$170</definedName>
    <definedName name="SalesQty6">'Бланк заказа'!$W$36:$W$36</definedName>
    <definedName name="SalesQty60">'Бланк заказа'!$W$175:$W$175</definedName>
    <definedName name="SalesQty61">'Бланк заказа'!$W$180:$W$180</definedName>
    <definedName name="SalesQty62">'Бланк заказа'!$W$186:$W$186</definedName>
    <definedName name="SalesQty63">'Бланк заказа'!$W$187:$W$187</definedName>
    <definedName name="SalesQty64">'Бланк заказа'!$W$192:$W$192</definedName>
    <definedName name="SalesQty65">'Бланк заказа'!$W$193:$W$193</definedName>
    <definedName name="SalesQty66">'Бланк заказа'!$W$194:$W$194</definedName>
    <definedName name="SalesQty67">'Бланк заказа'!$W$199:$W$199</definedName>
    <definedName name="SalesQty68">'Бланк заказа'!$W$200:$W$200</definedName>
    <definedName name="SalesQty69">'Бланк заказа'!$W$201:$W$201</definedName>
    <definedName name="SalesQty7">'Бланк заказа'!$W$37:$W$37</definedName>
    <definedName name="SalesQty70">'Бланк заказа'!$W$202:$W$202</definedName>
    <definedName name="SalesQty71">'Бланк заказа'!$W$203:$W$203</definedName>
    <definedName name="SalesQty72">'Бланк заказа'!$W$204:$W$204</definedName>
    <definedName name="SalesQty73">'Бланк заказа'!$W$209:$W$209</definedName>
    <definedName name="SalesQty74">'Бланк заказа'!$W$210:$W$210</definedName>
    <definedName name="SalesQty75">'Бланк заказа'!$W$211:$W$211</definedName>
    <definedName name="SalesQty76">'Бланк заказа'!$W$212:$W$212</definedName>
    <definedName name="SalesQty77">'Бланк заказа'!$W$217:$W$217</definedName>
    <definedName name="SalesQty78">'Бланк заказа'!$W$222:$W$222</definedName>
    <definedName name="SalesQty79">'Бланк заказа'!$W$223:$W$223</definedName>
    <definedName name="SalesQty8">'Бланк заказа'!$W$38:$W$38</definedName>
    <definedName name="SalesQty80">'Бланк заказа'!$W$229:$W$229</definedName>
    <definedName name="SalesQty81">'Бланк заказа'!$W$235:$W$235</definedName>
    <definedName name="SalesQty82">'Бланк заказа'!$W$240:$W$240</definedName>
    <definedName name="SalesQty83">'Бланк заказа'!$W$246:$W$246</definedName>
    <definedName name="SalesQty84">'Бланк заказа'!$W$247:$W$247</definedName>
    <definedName name="SalesQty85">'Бланк заказа'!$W$252:$W$252</definedName>
    <definedName name="SalesQty86">'Бланк заказа'!$W$256:$W$256</definedName>
    <definedName name="SalesQty87">'Бланк заказа'!$W$257:$W$257</definedName>
    <definedName name="SalesQty88">'Бланк заказа'!$W$261:$W$261</definedName>
    <definedName name="SalesQty89">'Бланк заказа'!$W$262:$W$262</definedName>
    <definedName name="SalesQty9">'Бланк заказа'!$W$39:$W$39</definedName>
    <definedName name="SalesQty90">'Бланк заказа'!$W$263:$W$263</definedName>
    <definedName name="SalesQty91">'Бланк заказа'!$W$264:$W$264</definedName>
    <definedName name="SalesQty92">'Бланк заказа'!$W$268:$W$268</definedName>
    <definedName name="SalesQty93">'Бланк заказа'!$W$269:$W$269</definedName>
    <definedName name="SalesQty94">'Бланк заказа'!$W$270:$W$270</definedName>
    <definedName name="SalesQty95">'Бланк заказа'!$W$271:$W$271</definedName>
    <definedName name="SalesQty96">'Бланк заказа'!$W$272:$W$272</definedName>
    <definedName name="SalesQty97">'Бланк заказа'!$W$273:$W$273</definedName>
    <definedName name="SalesQty98">'Бланк заказа'!$W$274:$W$274</definedName>
    <definedName name="SalesQty99">'Бланк заказа'!$W$275:$W$275</definedName>
    <definedName name="SalesRequestType">'Бланк заказа'!$U$11</definedName>
    <definedName name="SalesRoundBox1">'Бланк заказа'!$X$22:$X$22</definedName>
    <definedName name="SalesRoundBox10">'Бланк заказа'!$X$44:$X$44</definedName>
    <definedName name="SalesRoundBox100">'Бланк заказа'!$X$276:$X$276</definedName>
    <definedName name="SalesRoundBox101">'Бланк заказа'!$X$277:$X$277</definedName>
    <definedName name="SalesRoundBox102">'Бланк заказа'!$X$278:$X$278</definedName>
    <definedName name="SalesRoundBox103">'Бланк заказа'!$X$279:$X$279</definedName>
    <definedName name="SalesRoundBox104">'Бланк заказа'!$X$280:$X$280</definedName>
    <definedName name="SalesRoundBox105">'Бланк заказа'!$X$281:$X$281</definedName>
    <definedName name="SalesRoundBox106">'Бланк заказа'!$X$282:$X$282</definedName>
    <definedName name="SalesRoundBox107">'Бланк заказа'!$X$283:$X$283</definedName>
    <definedName name="SalesRoundBox108">'Бланк заказа'!$X$284:$X$284</definedName>
    <definedName name="SalesRoundBox109">'Бланк заказа'!$X$285:$X$285</definedName>
    <definedName name="SalesRoundBox11">'Бланк заказа'!$X$45:$X$45</definedName>
    <definedName name="SalesRoundBox110">'Бланк заказа'!$X$286:$X$286</definedName>
    <definedName name="SalesRoundBox111">'Бланк заказа'!$X$287:$X$287</definedName>
    <definedName name="SalesRoundBox12">'Бланк заказа'!$X$46:$X$46</definedName>
    <definedName name="SalesRoundBox13">'Бланк заказа'!$X$51:$X$51</definedName>
    <definedName name="SalesRoundBox14">'Бланк заказа'!$X$52:$X$52</definedName>
    <definedName name="SalesRoundBox15">'Бланк заказа'!$X$53:$X$53</definedName>
    <definedName name="SalesRoundBox16">'Бланк заказа'!$X$54:$X$54</definedName>
    <definedName name="SalesRoundBox17">'Бланк заказа'!$X$55:$X$55</definedName>
    <definedName name="SalesRoundBox18">'Бланк заказа'!$X$56:$X$56</definedName>
    <definedName name="SalesRoundBox19">'Бланк заказа'!$X$61:$X$61</definedName>
    <definedName name="SalesRoundBox2">'Бланк заказа'!$X$28:$X$28</definedName>
    <definedName name="SalesRoundBox20">'Бланк заказа'!$X$62:$X$62</definedName>
    <definedName name="SalesRoundBox21">'Бланк заказа'!$X$67:$X$67</definedName>
    <definedName name="SalesRoundBox22">'Бланк заказа'!$X$72:$X$72</definedName>
    <definedName name="SalesRoundBox23">'Бланк заказа'!$X$73:$X$73</definedName>
    <definedName name="SalesRoundBox24">'Бланк заказа'!$X$78:$X$78</definedName>
    <definedName name="SalesRoundBox25">'Бланк заказа'!$X$79:$X$79</definedName>
    <definedName name="SalesRoundBox26">'Бланк заказа'!$X$80:$X$80</definedName>
    <definedName name="SalesRoundBox27">'Бланк заказа'!$X$81:$X$81</definedName>
    <definedName name="SalesRoundBox28">'Бланк заказа'!$X$82:$X$82</definedName>
    <definedName name="SalesRoundBox29">'Бланк заказа'!$X$83:$X$83</definedName>
    <definedName name="SalesRoundBox3">'Бланк заказа'!$X$29:$X$29</definedName>
    <definedName name="SalesRoundBox30">'Бланк заказа'!$X$88:$X$88</definedName>
    <definedName name="SalesRoundBox31">'Бланк заказа'!$X$89:$X$89</definedName>
    <definedName name="SalesRoundBox32">'Бланк заказа'!$X$90:$X$90</definedName>
    <definedName name="SalesRoundBox33">'Бланк заказа'!$X$95:$X$95</definedName>
    <definedName name="SalesRoundBox34">'Бланк заказа'!$X$96:$X$96</definedName>
    <definedName name="SalesRoundBox35">'Бланк заказа'!$X$97:$X$97</definedName>
    <definedName name="SalesRoundBox36">'Бланк заказа'!$X$98:$X$98</definedName>
    <definedName name="SalesRoundBox37">'Бланк заказа'!$X$99:$X$99</definedName>
    <definedName name="SalesRoundBox38">'Бланк заказа'!$X$104:$X$104</definedName>
    <definedName name="SalesRoundBox39">'Бланк заказа'!$X$105:$X$105</definedName>
    <definedName name="SalesRoundBox4">'Бланк заказа'!$X$30:$X$30</definedName>
    <definedName name="SalesRoundBox40">'Бланк заказа'!$X$110:$X$110</definedName>
    <definedName name="SalesRoundBox41">'Бланк заказа'!$X$115:$X$115</definedName>
    <definedName name="SalesRoundBox42">'Бланк заказа'!$X$116:$X$116</definedName>
    <definedName name="SalesRoundBox43">'Бланк заказа'!$X$117:$X$117</definedName>
    <definedName name="SalesRoundBox44">'Бланк заказа'!$X$118:$X$118</definedName>
    <definedName name="SalesRoundBox45">'Бланк заказа'!$X$123:$X$123</definedName>
    <definedName name="SalesRoundBox46">'Бланк заказа'!$X$128:$X$128</definedName>
    <definedName name="SalesRoundBox47">'Бланк заказа'!$X$129:$X$129</definedName>
    <definedName name="SalesRoundBox48">'Бланк заказа'!$X$134:$X$134</definedName>
    <definedName name="SalesRoundBox49">'Бланк заказа'!$X$140:$X$140</definedName>
    <definedName name="SalesRoundBox5">'Бланк заказа'!$X$31:$X$31</definedName>
    <definedName name="SalesRoundBox50">'Бланк заказа'!$X$145:$X$145</definedName>
    <definedName name="SalesRoundBox51">'Бланк заказа'!$X$150:$X$150</definedName>
    <definedName name="SalesRoundBox52">'Бланк заказа'!$X$151:$X$151</definedName>
    <definedName name="SalesRoundBox53">'Бланк заказа'!$X$152:$X$152</definedName>
    <definedName name="SalesRoundBox54">'Бланк заказа'!$X$153:$X$153</definedName>
    <definedName name="SalesRoundBox55">'Бланк заказа'!$X$157:$X$157</definedName>
    <definedName name="SalesRoundBox56">'Бланк заказа'!$X$158:$X$158</definedName>
    <definedName name="SalesRoundBox57">'Бланк заказа'!$X$164:$X$164</definedName>
    <definedName name="SalesRoundBox58">'Бланк заказа'!$X$165:$X$165</definedName>
    <definedName name="SalesRoundBox59">'Бланк заказа'!$X$170:$X$170</definedName>
    <definedName name="SalesRoundBox6">'Бланк заказа'!$X$36:$X$36</definedName>
    <definedName name="SalesRoundBox60">'Бланк заказа'!$X$175:$X$175</definedName>
    <definedName name="SalesRoundBox61">'Бланк заказа'!$X$180:$X$180</definedName>
    <definedName name="SalesRoundBox62">'Бланк заказа'!$X$186:$X$186</definedName>
    <definedName name="SalesRoundBox63">'Бланк заказа'!$X$187:$X$187</definedName>
    <definedName name="SalesRoundBox64">'Бланк заказа'!$X$192:$X$192</definedName>
    <definedName name="SalesRoundBox65">'Бланк заказа'!$X$193:$X$193</definedName>
    <definedName name="SalesRoundBox66">'Бланк заказа'!$X$194:$X$194</definedName>
    <definedName name="SalesRoundBox67">'Бланк заказа'!$X$199:$X$199</definedName>
    <definedName name="SalesRoundBox68">'Бланк заказа'!$X$200:$X$200</definedName>
    <definedName name="SalesRoundBox69">'Бланк заказа'!$X$201:$X$201</definedName>
    <definedName name="SalesRoundBox7">'Бланк заказа'!$X$37:$X$37</definedName>
    <definedName name="SalesRoundBox70">'Бланк заказа'!$X$202:$X$202</definedName>
    <definedName name="SalesRoundBox71">'Бланк заказа'!$X$203:$X$203</definedName>
    <definedName name="SalesRoundBox72">'Бланк заказа'!$X$204:$X$204</definedName>
    <definedName name="SalesRoundBox73">'Бланк заказа'!$X$209:$X$209</definedName>
    <definedName name="SalesRoundBox74">'Бланк заказа'!$X$210:$X$210</definedName>
    <definedName name="SalesRoundBox75">'Бланк заказа'!$X$211:$X$211</definedName>
    <definedName name="SalesRoundBox76">'Бланк заказа'!$X$212:$X$212</definedName>
    <definedName name="SalesRoundBox77">'Бланк заказа'!$X$217:$X$217</definedName>
    <definedName name="SalesRoundBox78">'Бланк заказа'!$X$222:$X$222</definedName>
    <definedName name="SalesRoundBox79">'Бланк заказа'!$X$223:$X$223</definedName>
    <definedName name="SalesRoundBox8">'Бланк заказа'!$X$38:$X$38</definedName>
    <definedName name="SalesRoundBox80">'Бланк заказа'!$X$229:$X$229</definedName>
    <definedName name="SalesRoundBox81">'Бланк заказа'!$X$235:$X$235</definedName>
    <definedName name="SalesRoundBox82">'Бланк заказа'!$X$240:$X$240</definedName>
    <definedName name="SalesRoundBox83">'Бланк заказа'!$X$246:$X$246</definedName>
    <definedName name="SalesRoundBox84">'Бланк заказа'!$X$247:$X$247</definedName>
    <definedName name="SalesRoundBox85">'Бланк заказа'!$X$252:$X$252</definedName>
    <definedName name="SalesRoundBox86">'Бланк заказа'!$X$256:$X$256</definedName>
    <definedName name="SalesRoundBox87">'Бланк заказа'!$X$257:$X$257</definedName>
    <definedName name="SalesRoundBox88">'Бланк заказа'!$X$261:$X$261</definedName>
    <definedName name="SalesRoundBox89">'Бланк заказа'!$X$262:$X$262</definedName>
    <definedName name="SalesRoundBox9">'Бланк заказа'!$X$39:$X$39</definedName>
    <definedName name="SalesRoundBox90">'Бланк заказа'!$X$263:$X$263</definedName>
    <definedName name="SalesRoundBox91">'Бланк заказа'!$X$264:$X$264</definedName>
    <definedName name="SalesRoundBox92">'Бланк заказа'!$X$268:$X$268</definedName>
    <definedName name="SalesRoundBox93">'Бланк заказа'!$X$269:$X$269</definedName>
    <definedName name="SalesRoundBox94">'Бланк заказа'!$X$270:$X$270</definedName>
    <definedName name="SalesRoundBox95">'Бланк заказа'!$X$271:$X$271</definedName>
    <definedName name="SalesRoundBox96">'Бланк заказа'!$X$272:$X$272</definedName>
    <definedName name="SalesRoundBox97">'Бланк заказа'!$X$273:$X$273</definedName>
    <definedName name="SalesRoundBox98">'Бланк заказа'!$X$274:$X$274</definedName>
    <definedName name="SalesRoundBox99">'Бланк заказа'!$X$275:$X$275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заказа'!$V$22:$V$22</definedName>
    <definedName name="UnitOfMeasure10">'Бланк заказа'!$V$44:$V$44</definedName>
    <definedName name="UnitOfMeasure100">'Бланк заказа'!$V$276:$V$276</definedName>
    <definedName name="UnitOfMeasure101">'Бланк заказа'!$V$277:$V$277</definedName>
    <definedName name="UnitOfMeasure102">'Бланк заказа'!$V$278:$V$278</definedName>
    <definedName name="UnitOfMeasure103">'Бланк заказа'!$V$279:$V$279</definedName>
    <definedName name="UnitOfMeasure104">'Бланк заказа'!$V$280:$V$280</definedName>
    <definedName name="UnitOfMeasure105">'Бланк заказа'!$V$281:$V$281</definedName>
    <definedName name="UnitOfMeasure106">'Бланк заказа'!$V$282:$V$282</definedName>
    <definedName name="UnitOfMeasure107">'Бланк заказа'!$V$283:$V$283</definedName>
    <definedName name="UnitOfMeasure108">'Бланк заказа'!$V$284:$V$284</definedName>
    <definedName name="UnitOfMeasure109">'Бланк заказа'!$V$285:$V$285</definedName>
    <definedName name="UnitOfMeasure11">'Бланк заказа'!$V$45:$V$45</definedName>
    <definedName name="UnitOfMeasure110">'Бланк заказа'!$V$286:$V$286</definedName>
    <definedName name="UnitOfMeasure111">'Бланк заказа'!$V$287:$V$287</definedName>
    <definedName name="UnitOfMeasure12">'Бланк заказа'!$V$46:$V$46</definedName>
    <definedName name="UnitOfMeasure13">'Бланк заказа'!$V$51:$V$51</definedName>
    <definedName name="UnitOfMeasure14">'Бланк заказа'!$V$52:$V$52</definedName>
    <definedName name="UnitOfMeasure15">'Бланк заказа'!$V$53:$V$53</definedName>
    <definedName name="UnitOfMeasure16">'Бланк заказа'!$V$54:$V$54</definedName>
    <definedName name="UnitOfMeasure17">'Бланк заказа'!$V$55:$V$55</definedName>
    <definedName name="UnitOfMeasure18">'Бланк заказа'!$V$56:$V$56</definedName>
    <definedName name="UnitOfMeasure19">'Бланк заказа'!$V$61:$V$61</definedName>
    <definedName name="UnitOfMeasure2">'Бланк заказа'!$V$28:$V$28</definedName>
    <definedName name="UnitOfMeasure20">'Бланк заказа'!$V$62:$V$62</definedName>
    <definedName name="UnitOfMeasure21">'Бланк заказа'!$V$67:$V$67</definedName>
    <definedName name="UnitOfMeasure22">'Бланк заказа'!$V$72:$V$72</definedName>
    <definedName name="UnitOfMeasure23">'Бланк заказа'!$V$73:$V$73</definedName>
    <definedName name="UnitOfMeasure24">'Бланк заказа'!$V$78:$V$78</definedName>
    <definedName name="UnitOfMeasure25">'Бланк заказа'!$V$79:$V$79</definedName>
    <definedName name="UnitOfMeasure26">'Бланк заказа'!$V$80:$V$80</definedName>
    <definedName name="UnitOfMeasure27">'Бланк заказа'!$V$81:$V$81</definedName>
    <definedName name="UnitOfMeasure28">'Бланк заказа'!$V$82:$V$82</definedName>
    <definedName name="UnitOfMeasure29">'Бланк заказа'!$V$83:$V$83</definedName>
    <definedName name="UnitOfMeasure3">'Бланк заказа'!$V$29:$V$29</definedName>
    <definedName name="UnitOfMeasure30">'Бланк заказа'!$V$88:$V$88</definedName>
    <definedName name="UnitOfMeasure31">'Бланк заказа'!$V$89:$V$89</definedName>
    <definedName name="UnitOfMeasure32">'Бланк заказа'!$V$90:$V$90</definedName>
    <definedName name="UnitOfMeasure33">'Бланк заказа'!$V$95:$V$95</definedName>
    <definedName name="UnitOfMeasure34">'Бланк заказа'!$V$96:$V$96</definedName>
    <definedName name="UnitOfMeasure35">'Бланк заказа'!$V$97:$V$97</definedName>
    <definedName name="UnitOfMeasure36">'Бланк заказа'!$V$98:$V$98</definedName>
    <definedName name="UnitOfMeasure37">'Бланк заказа'!$V$99:$V$99</definedName>
    <definedName name="UnitOfMeasure38">'Бланк заказа'!$V$104:$V$104</definedName>
    <definedName name="UnitOfMeasure39">'Бланк заказа'!$V$105:$V$105</definedName>
    <definedName name="UnitOfMeasure4">'Бланк заказа'!$V$30:$V$30</definedName>
    <definedName name="UnitOfMeasure40">'Бланк заказа'!$V$110:$V$110</definedName>
    <definedName name="UnitOfMeasure41">'Бланк заказа'!$V$115:$V$115</definedName>
    <definedName name="UnitOfMeasure42">'Бланк заказа'!$V$116:$V$116</definedName>
    <definedName name="UnitOfMeasure43">'Бланк заказа'!$V$117:$V$117</definedName>
    <definedName name="UnitOfMeasure44">'Бланк заказа'!$V$118:$V$118</definedName>
    <definedName name="UnitOfMeasure45">'Бланк заказа'!$V$123:$V$123</definedName>
    <definedName name="UnitOfMeasure46">'Бланк заказа'!$V$128:$V$128</definedName>
    <definedName name="UnitOfMeasure47">'Бланк заказа'!$V$129:$V$129</definedName>
    <definedName name="UnitOfMeasure48">'Бланк заказа'!$V$134:$V$134</definedName>
    <definedName name="UnitOfMeasure49">'Бланк заказа'!$V$140:$V$140</definedName>
    <definedName name="UnitOfMeasure5">'Бланк заказа'!$V$31:$V$31</definedName>
    <definedName name="UnitOfMeasure50">'Бланк заказа'!$V$145:$V$145</definedName>
    <definedName name="UnitOfMeasure51">'Бланк заказа'!$V$150:$V$150</definedName>
    <definedName name="UnitOfMeasure52">'Бланк заказа'!$V$151:$V$151</definedName>
    <definedName name="UnitOfMeasure53">'Бланк заказа'!$V$152:$V$152</definedName>
    <definedName name="UnitOfMeasure54">'Бланк заказа'!$V$153:$V$153</definedName>
    <definedName name="UnitOfMeasure55">'Бланк заказа'!$V$157:$V$157</definedName>
    <definedName name="UnitOfMeasure56">'Бланк заказа'!$V$158:$V$158</definedName>
    <definedName name="UnitOfMeasure57">'Бланк заказа'!$V$164:$V$164</definedName>
    <definedName name="UnitOfMeasure58">'Бланк заказа'!$V$165:$V$165</definedName>
    <definedName name="UnitOfMeasure59">'Бланк заказа'!$V$170:$V$170</definedName>
    <definedName name="UnitOfMeasure6">'Бланк заказа'!$V$36:$V$36</definedName>
    <definedName name="UnitOfMeasure60">'Бланк заказа'!$V$175:$V$175</definedName>
    <definedName name="UnitOfMeasure61">'Бланк заказа'!$V$180:$V$180</definedName>
    <definedName name="UnitOfMeasure62">'Бланк заказа'!$V$186:$V$186</definedName>
    <definedName name="UnitOfMeasure63">'Бланк заказа'!$V$187:$V$187</definedName>
    <definedName name="UnitOfMeasure64">'Бланк заказа'!$V$192:$V$192</definedName>
    <definedName name="UnitOfMeasure65">'Бланк заказа'!$V$193:$V$193</definedName>
    <definedName name="UnitOfMeasure66">'Бланк заказа'!$V$194:$V$194</definedName>
    <definedName name="UnitOfMeasure67">'Бланк заказа'!$V$199:$V$199</definedName>
    <definedName name="UnitOfMeasure68">'Бланк заказа'!$V$200:$V$200</definedName>
    <definedName name="UnitOfMeasure69">'Бланк заказа'!$V$201:$V$201</definedName>
    <definedName name="UnitOfMeasure7">'Бланк заказа'!$V$37:$V$37</definedName>
    <definedName name="UnitOfMeasure70">'Бланк заказа'!$V$202:$V$202</definedName>
    <definedName name="UnitOfMeasure71">'Бланк заказа'!$V$203:$V$203</definedName>
    <definedName name="UnitOfMeasure72">'Бланк заказа'!$V$204:$V$204</definedName>
    <definedName name="UnitOfMeasure73">'Бланк заказа'!$V$209:$V$209</definedName>
    <definedName name="UnitOfMeasure74">'Бланк заказа'!$V$210:$V$210</definedName>
    <definedName name="UnitOfMeasure75">'Бланк заказа'!$V$211:$V$211</definedName>
    <definedName name="UnitOfMeasure76">'Бланк заказа'!$V$212:$V$212</definedName>
    <definedName name="UnitOfMeasure77">'Бланк заказа'!$V$217:$V$217</definedName>
    <definedName name="UnitOfMeasure78">'Бланк заказа'!$V$222:$V$222</definedName>
    <definedName name="UnitOfMeasure79">'Бланк заказа'!$V$223:$V$223</definedName>
    <definedName name="UnitOfMeasure8">'Бланк заказа'!$V$38:$V$38</definedName>
    <definedName name="UnitOfMeasure80">'Бланк заказа'!$V$229:$V$229</definedName>
    <definedName name="UnitOfMeasure81">'Бланк заказа'!$V$235:$V$235</definedName>
    <definedName name="UnitOfMeasure82">'Бланк заказа'!$V$240:$V$240</definedName>
    <definedName name="UnitOfMeasure83">'Бланк заказа'!$V$246:$V$246</definedName>
    <definedName name="UnitOfMeasure84">'Бланк заказа'!$V$247:$V$247</definedName>
    <definedName name="UnitOfMeasure85">'Бланк заказа'!$V$252:$V$252</definedName>
    <definedName name="UnitOfMeasure86">'Бланк заказа'!$V$256:$V$256</definedName>
    <definedName name="UnitOfMeasure87">'Бланк заказа'!$V$257:$V$257</definedName>
    <definedName name="UnitOfMeasure88">'Бланк заказа'!$V$261:$V$261</definedName>
    <definedName name="UnitOfMeasure89">'Бланк заказа'!$V$262:$V$262</definedName>
    <definedName name="UnitOfMeasure9">'Бланк заказа'!$V$39:$V$39</definedName>
    <definedName name="UnitOfMeasure90">'Бланк заказа'!$V$263:$V$263</definedName>
    <definedName name="UnitOfMeasure91">'Бланк заказа'!$V$264:$V$264</definedName>
    <definedName name="UnitOfMeasure92">'Бланк заказа'!$V$268:$V$268</definedName>
    <definedName name="UnitOfMeasure93">'Бланк заказа'!$V$269:$V$269</definedName>
    <definedName name="UnitOfMeasure94">'Бланк заказа'!$V$270:$V$270</definedName>
    <definedName name="UnitOfMeasure95">'Бланк заказа'!$V$271:$V$271</definedName>
    <definedName name="UnitOfMeasure96">'Бланк заказа'!$V$272:$V$272</definedName>
    <definedName name="UnitOfMeasure97">'Бланк заказа'!$V$273:$V$273</definedName>
    <definedName name="UnitOfMeasure98">'Бланк заказа'!$V$274:$V$274</definedName>
    <definedName name="UnitOfMeasure99">'Бланк заказа'!$V$275:$V$275</definedName>
    <definedName name="UnloadAddress">'Бланк заказа'!$D$8</definedName>
    <definedName name="UnloadAdressList0001">Setting!$B$8:$B$8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K300" i="1" l="1"/>
  <c r="AJ300" i="1"/>
  <c r="AI300" i="1"/>
  <c r="AH300" i="1"/>
  <c r="AG300" i="1"/>
  <c r="AF300" i="1"/>
  <c r="AE300" i="1"/>
  <c r="AD300" i="1"/>
  <c r="AC300" i="1"/>
  <c r="AB300" i="1"/>
  <c r="AA300" i="1"/>
  <c r="Z300" i="1"/>
  <c r="Y300" i="1"/>
  <c r="X300" i="1"/>
  <c r="W300" i="1"/>
  <c r="V300" i="1"/>
  <c r="U300" i="1"/>
  <c r="T300" i="1"/>
  <c r="S300" i="1"/>
  <c r="R300" i="1"/>
  <c r="Q300" i="1"/>
  <c r="P300" i="1"/>
  <c r="O300" i="1"/>
  <c r="N300" i="1"/>
  <c r="L300" i="1"/>
  <c r="K300" i="1"/>
  <c r="J300" i="1"/>
  <c r="I300" i="1"/>
  <c r="H300" i="1"/>
  <c r="G300" i="1"/>
  <c r="F300" i="1"/>
  <c r="E300" i="1"/>
  <c r="D300" i="1"/>
  <c r="C300" i="1"/>
  <c r="B300" i="1"/>
  <c r="W292" i="1"/>
  <c r="W291" i="1"/>
  <c r="W289" i="1"/>
  <c r="W288" i="1"/>
  <c r="Y287" i="1"/>
  <c r="X287" i="1"/>
  <c r="Y286" i="1"/>
  <c r="X286" i="1"/>
  <c r="O286" i="1"/>
  <c r="Y285" i="1"/>
  <c r="X285" i="1"/>
  <c r="O285" i="1"/>
  <c r="Y284" i="1"/>
  <c r="X284" i="1"/>
  <c r="Y283" i="1"/>
  <c r="X283" i="1"/>
  <c r="Y282" i="1"/>
  <c r="X282" i="1"/>
  <c r="Y281" i="1"/>
  <c r="X281" i="1"/>
  <c r="Y280" i="1"/>
  <c r="X280" i="1"/>
  <c r="Y279" i="1"/>
  <c r="X279" i="1"/>
  <c r="Y278" i="1"/>
  <c r="X278" i="1"/>
  <c r="Y277" i="1"/>
  <c r="X277" i="1"/>
  <c r="Y276" i="1"/>
  <c r="X276" i="1"/>
  <c r="O276" i="1"/>
  <c r="Y275" i="1"/>
  <c r="X275" i="1"/>
  <c r="Y274" i="1"/>
  <c r="X274" i="1"/>
  <c r="Y273" i="1"/>
  <c r="X273" i="1"/>
  <c r="Y272" i="1"/>
  <c r="X272" i="1"/>
  <c r="Y271" i="1"/>
  <c r="X271" i="1"/>
  <c r="Y270" i="1"/>
  <c r="X270" i="1"/>
  <c r="Y269" i="1"/>
  <c r="X269" i="1"/>
  <c r="Y268" i="1"/>
  <c r="X268" i="1"/>
  <c r="X289" i="1" s="1"/>
  <c r="W266" i="1"/>
  <c r="W265" i="1"/>
  <c r="Y264" i="1"/>
  <c r="X264" i="1"/>
  <c r="O264" i="1"/>
  <c r="Y263" i="1"/>
  <c r="X263" i="1"/>
  <c r="Y262" i="1"/>
  <c r="X262" i="1"/>
  <c r="O262" i="1"/>
  <c r="Y261" i="1"/>
  <c r="X261" i="1"/>
  <c r="X266" i="1" s="1"/>
  <c r="W259" i="1"/>
  <c r="W258" i="1"/>
  <c r="Y257" i="1"/>
  <c r="X257" i="1"/>
  <c r="Y256" i="1"/>
  <c r="Y258" i="1" s="1"/>
  <c r="X256" i="1"/>
  <c r="X258" i="1" s="1"/>
  <c r="W254" i="1"/>
  <c r="W253" i="1"/>
  <c r="Y252" i="1"/>
  <c r="Y253" i="1" s="1"/>
  <c r="X252" i="1"/>
  <c r="X254" i="1" s="1"/>
  <c r="W249" i="1"/>
  <c r="W248" i="1"/>
  <c r="Y247" i="1"/>
  <c r="X247" i="1"/>
  <c r="Y246" i="1"/>
  <c r="Y248" i="1" s="1"/>
  <c r="X246" i="1"/>
  <c r="X248" i="1" s="1"/>
  <c r="W242" i="1"/>
  <c r="W241" i="1"/>
  <c r="Y240" i="1"/>
  <c r="Y241" i="1" s="1"/>
  <c r="X240" i="1"/>
  <c r="X242" i="1" s="1"/>
  <c r="O240" i="1"/>
  <c r="W237" i="1"/>
  <c r="W236" i="1"/>
  <c r="Y235" i="1"/>
  <c r="Y236" i="1" s="1"/>
  <c r="X235" i="1"/>
  <c r="X237" i="1" s="1"/>
  <c r="O235" i="1"/>
  <c r="W231" i="1"/>
  <c r="W230" i="1"/>
  <c r="Y229" i="1"/>
  <c r="Y230" i="1" s="1"/>
  <c r="X229" i="1"/>
  <c r="X231" i="1" s="1"/>
  <c r="O229" i="1"/>
  <c r="W225" i="1"/>
  <c r="W224" i="1"/>
  <c r="Y223" i="1"/>
  <c r="X223" i="1"/>
  <c r="O223" i="1"/>
  <c r="Y222" i="1"/>
  <c r="X222" i="1"/>
  <c r="X225" i="1" s="1"/>
  <c r="O222" i="1"/>
  <c r="W219" i="1"/>
  <c r="W218" i="1"/>
  <c r="Y217" i="1"/>
  <c r="Y218" i="1" s="1"/>
  <c r="X217" i="1"/>
  <c r="X218" i="1" s="1"/>
  <c r="O217" i="1"/>
  <c r="W214" i="1"/>
  <c r="W213" i="1"/>
  <c r="Y212" i="1"/>
  <c r="X212" i="1"/>
  <c r="O212" i="1"/>
  <c r="Y211" i="1"/>
  <c r="X211" i="1"/>
  <c r="O211" i="1"/>
  <c r="Y210" i="1"/>
  <c r="X210" i="1"/>
  <c r="O210" i="1"/>
  <c r="Y209" i="1"/>
  <c r="X209" i="1"/>
  <c r="O209" i="1"/>
  <c r="W206" i="1"/>
  <c r="W205" i="1"/>
  <c r="Y204" i="1"/>
  <c r="X204" i="1"/>
  <c r="O204" i="1"/>
  <c r="Y203" i="1"/>
  <c r="X203" i="1"/>
  <c r="O203" i="1"/>
  <c r="Y202" i="1"/>
  <c r="X202" i="1"/>
  <c r="O202" i="1"/>
  <c r="Y201" i="1"/>
  <c r="X201" i="1"/>
  <c r="O201" i="1"/>
  <c r="Y200" i="1"/>
  <c r="X200" i="1"/>
  <c r="O200" i="1"/>
  <c r="Y199" i="1"/>
  <c r="X199" i="1"/>
  <c r="O199" i="1"/>
  <c r="W196" i="1"/>
  <c r="W195" i="1"/>
  <c r="Y194" i="1"/>
  <c r="X194" i="1"/>
  <c r="O194" i="1"/>
  <c r="Y193" i="1"/>
  <c r="X193" i="1"/>
  <c r="O193" i="1"/>
  <c r="Y192" i="1"/>
  <c r="X192" i="1"/>
  <c r="O192" i="1"/>
  <c r="W189" i="1"/>
  <c r="W188" i="1"/>
  <c r="Y187" i="1"/>
  <c r="X187" i="1"/>
  <c r="O187" i="1"/>
  <c r="Y186" i="1"/>
  <c r="X186" i="1"/>
  <c r="O186" i="1"/>
  <c r="W182" i="1"/>
  <c r="W181" i="1"/>
  <c r="Y180" i="1"/>
  <c r="Y181" i="1" s="1"/>
  <c r="X180" i="1"/>
  <c r="X182" i="1" s="1"/>
  <c r="O180" i="1"/>
  <c r="W177" i="1"/>
  <c r="W176" i="1"/>
  <c r="Y175" i="1"/>
  <c r="Y176" i="1" s="1"/>
  <c r="X175" i="1"/>
  <c r="X177" i="1" s="1"/>
  <c r="O175" i="1"/>
  <c r="W172" i="1"/>
  <c r="W171" i="1"/>
  <c r="Y170" i="1"/>
  <c r="Y171" i="1" s="1"/>
  <c r="X170" i="1"/>
  <c r="X172" i="1" s="1"/>
  <c r="O170" i="1"/>
  <c r="W167" i="1"/>
  <c r="W166" i="1"/>
  <c r="Y165" i="1"/>
  <c r="X165" i="1"/>
  <c r="Y164" i="1"/>
  <c r="Y166" i="1" s="1"/>
  <c r="X164" i="1"/>
  <c r="X167" i="1" s="1"/>
  <c r="O164" i="1"/>
  <c r="W160" i="1"/>
  <c r="W159" i="1"/>
  <c r="Y158" i="1"/>
  <c r="X158" i="1"/>
  <c r="O158" i="1"/>
  <c r="Y157" i="1"/>
  <c r="X157" i="1"/>
  <c r="O157" i="1"/>
  <c r="W155" i="1"/>
  <c r="W154" i="1"/>
  <c r="Y153" i="1"/>
  <c r="X153" i="1"/>
  <c r="Y152" i="1"/>
  <c r="X152" i="1"/>
  <c r="O152" i="1"/>
  <c r="Y151" i="1"/>
  <c r="X151" i="1"/>
  <c r="Y150" i="1"/>
  <c r="X150" i="1"/>
  <c r="W147" i="1"/>
  <c r="W146" i="1"/>
  <c r="Y145" i="1"/>
  <c r="Y146" i="1" s="1"/>
  <c r="X145" i="1"/>
  <c r="X146" i="1" s="1"/>
  <c r="O145" i="1"/>
  <c r="W142" i="1"/>
  <c r="W141" i="1"/>
  <c r="Y140" i="1"/>
  <c r="Y141" i="1" s="1"/>
  <c r="X140" i="1"/>
  <c r="X141" i="1" s="1"/>
  <c r="W136" i="1"/>
  <c r="W135" i="1"/>
  <c r="Y134" i="1"/>
  <c r="Y135" i="1" s="1"/>
  <c r="X134" i="1"/>
  <c r="X136" i="1" s="1"/>
  <c r="O134" i="1"/>
  <c r="W131" i="1"/>
  <c r="W130" i="1"/>
  <c r="Y129" i="1"/>
  <c r="X129" i="1"/>
  <c r="O129" i="1"/>
  <c r="Y128" i="1"/>
  <c r="X128" i="1"/>
  <c r="X131" i="1" s="1"/>
  <c r="O128" i="1"/>
  <c r="W125" i="1"/>
  <c r="W124" i="1"/>
  <c r="Y123" i="1"/>
  <c r="Y124" i="1" s="1"/>
  <c r="X123" i="1"/>
  <c r="X124" i="1" s="1"/>
  <c r="O123" i="1"/>
  <c r="W120" i="1"/>
  <c r="W119" i="1"/>
  <c r="Y118" i="1"/>
  <c r="X118" i="1"/>
  <c r="O118" i="1"/>
  <c r="Y117" i="1"/>
  <c r="X117" i="1"/>
  <c r="O117" i="1"/>
  <c r="Y116" i="1"/>
  <c r="X116" i="1"/>
  <c r="O116" i="1"/>
  <c r="Y115" i="1"/>
  <c r="X115" i="1"/>
  <c r="O115" i="1"/>
  <c r="W112" i="1"/>
  <c r="W111" i="1"/>
  <c r="Y110" i="1"/>
  <c r="Y111" i="1" s="1"/>
  <c r="X110" i="1"/>
  <c r="X112" i="1" s="1"/>
  <c r="O110" i="1"/>
  <c r="W107" i="1"/>
  <c r="W106" i="1"/>
  <c r="Y105" i="1"/>
  <c r="X105" i="1"/>
  <c r="O105" i="1"/>
  <c r="Y104" i="1"/>
  <c r="X104" i="1"/>
  <c r="O104" i="1"/>
  <c r="W101" i="1"/>
  <c r="W100" i="1"/>
  <c r="Y99" i="1"/>
  <c r="X99" i="1"/>
  <c r="O99" i="1"/>
  <c r="Y98" i="1"/>
  <c r="X98" i="1"/>
  <c r="O98" i="1"/>
  <c r="Y97" i="1"/>
  <c r="X97" i="1"/>
  <c r="O97" i="1"/>
  <c r="Y96" i="1"/>
  <c r="X96" i="1"/>
  <c r="O96" i="1"/>
  <c r="Y95" i="1"/>
  <c r="Y100" i="1" s="1"/>
  <c r="X95" i="1"/>
  <c r="O95" i="1"/>
  <c r="W92" i="1"/>
  <c r="W91" i="1"/>
  <c r="Y90" i="1"/>
  <c r="X90" i="1"/>
  <c r="O90" i="1"/>
  <c r="Y89" i="1"/>
  <c r="X89" i="1"/>
  <c r="O89" i="1"/>
  <c r="Y88" i="1"/>
  <c r="X88" i="1"/>
  <c r="O88" i="1"/>
  <c r="W85" i="1"/>
  <c r="W84" i="1"/>
  <c r="Y83" i="1"/>
  <c r="X83" i="1"/>
  <c r="O83" i="1"/>
  <c r="Y82" i="1"/>
  <c r="X82" i="1"/>
  <c r="O82" i="1"/>
  <c r="Y81" i="1"/>
  <c r="X81" i="1"/>
  <c r="O81" i="1"/>
  <c r="Y80" i="1"/>
  <c r="X80" i="1"/>
  <c r="O80" i="1"/>
  <c r="Y79" i="1"/>
  <c r="X79" i="1"/>
  <c r="O79" i="1"/>
  <c r="Y78" i="1"/>
  <c r="X78" i="1"/>
  <c r="O78" i="1"/>
  <c r="W75" i="1"/>
  <c r="W74" i="1"/>
  <c r="Y73" i="1"/>
  <c r="X73" i="1"/>
  <c r="O73" i="1"/>
  <c r="Y72" i="1"/>
  <c r="X72" i="1"/>
  <c r="O72" i="1"/>
  <c r="W69" i="1"/>
  <c r="W68" i="1"/>
  <c r="Y67" i="1"/>
  <c r="Y68" i="1" s="1"/>
  <c r="X67" i="1"/>
  <c r="X68" i="1" s="1"/>
  <c r="O67" i="1"/>
  <c r="W64" i="1"/>
  <c r="W63" i="1"/>
  <c r="Y62" i="1"/>
  <c r="X62" i="1"/>
  <c r="O62" i="1"/>
  <c r="Y61" i="1"/>
  <c r="Y63" i="1" s="1"/>
  <c r="X61" i="1"/>
  <c r="O61" i="1"/>
  <c r="W58" i="1"/>
  <c r="W57" i="1"/>
  <c r="Y56" i="1"/>
  <c r="X56" i="1"/>
  <c r="O56" i="1"/>
  <c r="Y55" i="1"/>
  <c r="X55" i="1"/>
  <c r="O55" i="1"/>
  <c r="Y54" i="1"/>
  <c r="X54" i="1"/>
  <c r="O54" i="1"/>
  <c r="Y53" i="1"/>
  <c r="X53" i="1"/>
  <c r="O53" i="1"/>
  <c r="Y52" i="1"/>
  <c r="X52" i="1"/>
  <c r="O52" i="1"/>
  <c r="Y51" i="1"/>
  <c r="Y57" i="1" s="1"/>
  <c r="X51" i="1"/>
  <c r="O51" i="1"/>
  <c r="W48" i="1"/>
  <c r="W47" i="1"/>
  <c r="Y46" i="1"/>
  <c r="X46" i="1"/>
  <c r="O46" i="1"/>
  <c r="Y45" i="1"/>
  <c r="Y47" i="1" s="1"/>
  <c r="X45" i="1"/>
  <c r="O45" i="1"/>
  <c r="Y44" i="1"/>
  <c r="X44" i="1"/>
  <c r="X47" i="1" s="1"/>
  <c r="O44" i="1"/>
  <c r="W41" i="1"/>
  <c r="W40" i="1"/>
  <c r="Y39" i="1"/>
  <c r="X39" i="1"/>
  <c r="O39" i="1"/>
  <c r="Y38" i="1"/>
  <c r="X38" i="1"/>
  <c r="X41" i="1" s="1"/>
  <c r="O38" i="1"/>
  <c r="Y37" i="1"/>
  <c r="X37" i="1"/>
  <c r="Y36" i="1"/>
  <c r="Y40" i="1" s="1"/>
  <c r="X36" i="1"/>
  <c r="O36" i="1"/>
  <c r="W33" i="1"/>
  <c r="W32" i="1"/>
  <c r="W294" i="1" s="1"/>
  <c r="Y31" i="1"/>
  <c r="X31" i="1"/>
  <c r="O31" i="1"/>
  <c r="Y30" i="1"/>
  <c r="X30" i="1"/>
  <c r="O30" i="1"/>
  <c r="Y29" i="1"/>
  <c r="X29" i="1"/>
  <c r="X33" i="1" s="1"/>
  <c r="O29" i="1"/>
  <c r="Y28" i="1"/>
  <c r="Y32" i="1" s="1"/>
  <c r="X28" i="1"/>
  <c r="O28" i="1"/>
  <c r="W24" i="1"/>
  <c r="X23" i="1"/>
  <c r="W23" i="1"/>
  <c r="Y22" i="1"/>
  <c r="Y23" i="1" s="1"/>
  <c r="X22" i="1"/>
  <c r="O22" i="1"/>
  <c r="H10" i="1"/>
  <c r="A9" i="1"/>
  <c r="A10" i="1" s="1"/>
  <c r="D7" i="1"/>
  <c r="P6" i="1"/>
  <c r="O2" i="1"/>
  <c r="X125" i="1" l="1"/>
  <c r="Y74" i="1"/>
  <c r="Y84" i="1"/>
  <c r="X100" i="1"/>
  <c r="X111" i="1"/>
  <c r="Y119" i="1"/>
  <c r="X120" i="1"/>
  <c r="X147" i="1"/>
  <c r="Y154" i="1"/>
  <c r="X155" i="1"/>
  <c r="Y159" i="1"/>
  <c r="X166" i="1"/>
  <c r="X171" i="1"/>
  <c r="X176" i="1"/>
  <c r="X181" i="1"/>
  <c r="Y188" i="1"/>
  <c r="X189" i="1"/>
  <c r="X206" i="1"/>
  <c r="X213" i="1"/>
  <c r="X40" i="1"/>
  <c r="X58" i="1"/>
  <c r="X63" i="1"/>
  <c r="X64" i="1"/>
  <c r="X75" i="1"/>
  <c r="X84" i="1"/>
  <c r="X85" i="1"/>
  <c r="X91" i="1"/>
  <c r="Y91" i="1"/>
  <c r="X101" i="1"/>
  <c r="X107" i="1"/>
  <c r="X135" i="1"/>
  <c r="X188" i="1"/>
  <c r="X195" i="1"/>
  <c r="Y195" i="1"/>
  <c r="Y205" i="1"/>
  <c r="Y213" i="1"/>
  <c r="X214" i="1"/>
  <c r="Y224" i="1"/>
  <c r="X230" i="1"/>
  <c r="X236" i="1"/>
  <c r="X241" i="1"/>
  <c r="X253" i="1"/>
  <c r="Y265" i="1"/>
  <c r="X265" i="1"/>
  <c r="Y288" i="1"/>
  <c r="W293" i="1"/>
  <c r="F10" i="1"/>
  <c r="F9" i="1"/>
  <c r="J9" i="1"/>
  <c r="X106" i="1"/>
  <c r="X130" i="1"/>
  <c r="X292" i="1"/>
  <c r="W290" i="1"/>
  <c r="X32" i="1"/>
  <c r="X48" i="1"/>
  <c r="X57" i="1"/>
  <c r="X69" i="1"/>
  <c r="X74" i="1"/>
  <c r="X92" i="1"/>
  <c r="Y106" i="1"/>
  <c r="X119" i="1"/>
  <c r="Y130" i="1"/>
  <c r="X142" i="1"/>
  <c r="X154" i="1"/>
  <c r="X160" i="1"/>
  <c r="X159" i="1"/>
  <c r="X196" i="1"/>
  <c r="X205" i="1"/>
  <c r="X219" i="1"/>
  <c r="X224" i="1"/>
  <c r="X249" i="1"/>
  <c r="X259" i="1"/>
  <c r="X288" i="1"/>
  <c r="H9" i="1"/>
  <c r="X24" i="1"/>
  <c r="X291" i="1"/>
  <c r="X293" i="1" s="1"/>
  <c r="Y295" i="1" l="1"/>
  <c r="X290" i="1"/>
  <c r="X294" i="1"/>
  <c r="B303" i="1" s="1"/>
  <c r="A303" i="1"/>
  <c r="C303" i="1"/>
</calcChain>
</file>

<file path=xl/sharedStrings.xml><?xml version="1.0" encoding="utf-8"?>
<sst xmlns="http://schemas.openxmlformats.org/spreadsheetml/2006/main" count="1083" uniqueCount="407">
  <si>
    <t xml:space="preserve">  БЛАНК ЗАКАЗА </t>
  </si>
  <si>
    <t>ЗПФ</t>
  </si>
  <si>
    <t>на отгрузку продукции с ООО Трейд-Сервис с</t>
  </si>
  <si>
    <t>20.04.2024</t>
  </si>
  <si>
    <t>бланк создан</t>
  </si>
  <si>
    <t>18.04.2024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</si>
  <si>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</si>
  <si>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</si>
  <si>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</si>
  <si>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</si>
  <si>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</si>
  <si>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</si>
  <si>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</si>
  <si>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</si>
  <si>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КСК ТРЕЙД, ООО, Крым Респ, Симферополь г, Генерала Васильева ул, д. 44В, литера Ж, пом 5,</t>
  </si>
  <si>
    <t>День недели</t>
  </si>
  <si>
    <t>Наименование клиента</t>
  </si>
  <si>
    <t>ОБЩЕСТВО С ОГРАНИЧЕННОЙ ОТВЕТСТВЕННОСТЬЮ "КСК ТРЕЙД"</t>
  </si>
  <si>
    <t>Адрес сдачи груза:</t>
  </si>
  <si>
    <t>295051Российская Федерация, Крым Респ, Симферополь г, Генерала Васильева ул, д. 44В, литера Ж, пом 5,</t>
  </si>
  <si>
    <t>Время загрузки</t>
  </si>
  <si>
    <t>Дата доставки</t>
  </si>
  <si>
    <t>Время доставки</t>
  </si>
  <si>
    <t>КОД Аксапты Клиента</t>
  </si>
  <si>
    <t>590943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</si>
  <si>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</si>
  <si>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</si>
  <si>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</si>
  <si>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</si>
  <si>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заказов:8(919)022-63-02 E-mail: Zamorozka@abiproduct.ru, Телефон сотрудников склада: 8-980-75-76-203</t>
  </si>
  <si>
    <t>Время доставки 3 машины</t>
  </si>
  <si>
    <t>График приема заказов: Заказы принимаются за ДВА дня до отгрузки Пн-Пт: с 9:00 до 14:00, Суб: с 9:00 до 12:00. Вс. выходной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</si>
  <si>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</si>
  <si>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</si>
  <si>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</si>
  <si>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</si>
  <si>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</si>
  <si>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</si>
  <si>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</si>
  <si>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</si>
  <si>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</si>
  <si>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</si>
  <si>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</si>
  <si>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</si>
  <si>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</si>
  <si>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</si>
  <si>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</si>
  <si>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</si>
  <si>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</si>
  <si>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</si>
  <si>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</si>
  <si>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</si>
  <si>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</si>
  <si>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</si>
  <si>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</si>
  <si>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</si>
  <si>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</si>
  <si>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Для формул</t>
  </si>
  <si>
    <t>Вид продукции</t>
  </si>
  <si>
    <t>начиная с</t>
  </si>
  <si>
    <t>до</t>
  </si>
  <si>
    <t>Ядрена копоть</t>
  </si>
  <si>
    <t>Пельмени</t>
  </si>
  <si>
    <t>SU002224</t>
  </si>
  <si>
    <t>P002928</t>
  </si>
  <si>
    <t>12</t>
  </si>
  <si>
    <t>МГ</t>
  </si>
  <si>
    <t>кор</t>
  </si>
  <si>
    <t>Итого</t>
  </si>
  <si>
    <t>кг</t>
  </si>
  <si>
    <t>Горячая штучка</t>
  </si>
  <si>
    <t>Наггетсы ГШ</t>
  </si>
  <si>
    <t>Наггетсы</t>
  </si>
  <si>
    <t>SU002761</t>
  </si>
  <si>
    <t>P003144</t>
  </si>
  <si>
    <t>14</t>
  </si>
  <si>
    <t>ПГП</t>
  </si>
  <si>
    <t>SU002762</t>
  </si>
  <si>
    <t>P003141</t>
  </si>
  <si>
    <t>SU002763</t>
  </si>
  <si>
    <t>P003143</t>
  </si>
  <si>
    <t>SU002760</t>
  </si>
  <si>
    <t>P003142</t>
  </si>
  <si>
    <t>Grandmeni</t>
  </si>
  <si>
    <t>SU002346</t>
  </si>
  <si>
    <t>P002646</t>
  </si>
  <si>
    <t>SU002321</t>
  </si>
  <si>
    <t>P002599</t>
  </si>
  <si>
    <t>Пельмени Grandmeni с говядиной в сливочном соусе Grandmeni 0,75 Сфера Горячая штучка</t>
  </si>
  <si>
    <t>SU002320</t>
  </si>
  <si>
    <t>P002782</t>
  </si>
  <si>
    <t>SU002345</t>
  </si>
  <si>
    <t>P002645</t>
  </si>
  <si>
    <t>Чебупай</t>
  </si>
  <si>
    <t>Изделия хлебобулочные</t>
  </si>
  <si>
    <t>SU003360</t>
  </si>
  <si>
    <t>P004172</t>
  </si>
  <si>
    <t>10</t>
  </si>
  <si>
    <t>SU002914</t>
  </si>
  <si>
    <t>P003337</t>
  </si>
  <si>
    <t>SU002915</t>
  </si>
  <si>
    <t>P003341</t>
  </si>
  <si>
    <t>Бигбули ГШ</t>
  </si>
  <si>
    <t>SU002771</t>
  </si>
  <si>
    <t>P003728</t>
  </si>
  <si>
    <t>SU002708</t>
  </si>
  <si>
    <t>P003682</t>
  </si>
  <si>
    <t>SU002707</t>
  </si>
  <si>
    <t>P003680</t>
  </si>
  <si>
    <t>SU002838</t>
  </si>
  <si>
    <t>P003681</t>
  </si>
  <si>
    <t>SU002625</t>
  </si>
  <si>
    <t>P003679</t>
  </si>
  <si>
    <t>SU002624</t>
  </si>
  <si>
    <t>P003678</t>
  </si>
  <si>
    <t>Бульмени вес ГШ</t>
  </si>
  <si>
    <t>SU002798</t>
  </si>
  <si>
    <t>P003687</t>
  </si>
  <si>
    <t>18</t>
  </si>
  <si>
    <t>SU002595</t>
  </si>
  <si>
    <t>P003697</t>
  </si>
  <si>
    <t>Бельмеши</t>
  </si>
  <si>
    <t>Снеки</t>
  </si>
  <si>
    <t>SU002560</t>
  </si>
  <si>
    <t>P002878</t>
  </si>
  <si>
    <t>Крылышки ГШ</t>
  </si>
  <si>
    <t>Крылья</t>
  </si>
  <si>
    <t>SU002564</t>
  </si>
  <si>
    <t>P002882</t>
  </si>
  <si>
    <t>SU002563</t>
  </si>
  <si>
    <t>P002881</t>
  </si>
  <si>
    <t>Чебупели</t>
  </si>
  <si>
    <t>SU002293</t>
  </si>
  <si>
    <t>P002566</t>
  </si>
  <si>
    <t>SU002568</t>
  </si>
  <si>
    <t>P002892</t>
  </si>
  <si>
    <t>SU000419</t>
  </si>
  <si>
    <t>P000419</t>
  </si>
  <si>
    <t>SU002572</t>
  </si>
  <si>
    <t>P002888</t>
  </si>
  <si>
    <t>SU002571</t>
  </si>
  <si>
    <t>P002876</t>
  </si>
  <si>
    <t>SU002559</t>
  </si>
  <si>
    <t>P002874</t>
  </si>
  <si>
    <t>Чебуреки</t>
  </si>
  <si>
    <t>SU002573</t>
  </si>
  <si>
    <t>P002893</t>
  </si>
  <si>
    <t>SU002558</t>
  </si>
  <si>
    <t>P002889</t>
  </si>
  <si>
    <t>SU002570</t>
  </si>
  <si>
    <t>P002894</t>
  </si>
  <si>
    <t>Бульмени ГШ</t>
  </si>
  <si>
    <t>SU002626</t>
  </si>
  <si>
    <t>P003685</t>
  </si>
  <si>
    <t>SU002627</t>
  </si>
  <si>
    <t>P003686</t>
  </si>
  <si>
    <t>SU002622</t>
  </si>
  <si>
    <t>P003683</t>
  </si>
  <si>
    <t>SU002623</t>
  </si>
  <si>
    <t>P003684</t>
  </si>
  <si>
    <t>SU002731</t>
  </si>
  <si>
    <t>P003603</t>
  </si>
  <si>
    <t>Чебупицца</t>
  </si>
  <si>
    <t>SU002562</t>
  </si>
  <si>
    <t>P003286</t>
  </si>
  <si>
    <t>SU002561</t>
  </si>
  <si>
    <t>P002884</t>
  </si>
  <si>
    <t>Хотстеры</t>
  </si>
  <si>
    <t>SU002565</t>
  </si>
  <si>
    <t>P002877</t>
  </si>
  <si>
    <t>Круггетсы</t>
  </si>
  <si>
    <t>SU001950</t>
  </si>
  <si>
    <t>P001982</t>
  </si>
  <si>
    <t>ВЕСОВОЙ ФОРМАТ</t>
  </si>
  <si>
    <t>SU001949</t>
  </si>
  <si>
    <t>P001980</t>
  </si>
  <si>
    <t>SU000194</t>
  </si>
  <si>
    <t>P003379</t>
  </si>
  <si>
    <t>SU000195</t>
  </si>
  <si>
    <t>P003378</t>
  </si>
  <si>
    <t>Пекерсы</t>
  </si>
  <si>
    <t>SU002669</t>
  </si>
  <si>
    <t>P003041</t>
  </si>
  <si>
    <t>Супермени</t>
  </si>
  <si>
    <t>Пельмени ПГП</t>
  </si>
  <si>
    <t>SU002008</t>
  </si>
  <si>
    <t>P002098</t>
  </si>
  <si>
    <t>8</t>
  </si>
  <si>
    <t>SU002177</t>
  </si>
  <si>
    <t>P002299</t>
  </si>
  <si>
    <t>6</t>
  </si>
  <si>
    <t>Чебуманы</t>
  </si>
  <si>
    <t>SU002668</t>
  </si>
  <si>
    <t>P003040</t>
  </si>
  <si>
    <t>No Name</t>
  </si>
  <si>
    <t>No Name ПГП</t>
  </si>
  <si>
    <t>SU003415</t>
  </si>
  <si>
    <t>P004235</t>
  </si>
  <si>
    <t>Снеки «Сосисоны в темпуре» Весовой ТМ «No Name» 1,8</t>
  </si>
  <si>
    <t>Стародворье ПГП</t>
  </si>
  <si>
    <t>SU002891</t>
  </si>
  <si>
    <t>P003301</t>
  </si>
  <si>
    <t>No Name ЗПФ</t>
  </si>
  <si>
    <t>SU002396</t>
  </si>
  <si>
    <t>P004073</t>
  </si>
  <si>
    <t>Пельмени Зареченские No name Весовые Сфера No name 5 кг</t>
  </si>
  <si>
    <t>SU002314</t>
  </si>
  <si>
    <t>P003452</t>
  </si>
  <si>
    <t>Пельмени «Хинкали Классические» Весовые Хинкали ТМ «Зареченские» 5 кг</t>
  </si>
  <si>
    <t>SU000197</t>
  </si>
  <si>
    <t>P004077</t>
  </si>
  <si>
    <t>SU002335</t>
  </si>
  <si>
    <t>P004076</t>
  </si>
  <si>
    <t>Пельмени Умелый повар No name Весовые Равиоли No name 5 кг</t>
  </si>
  <si>
    <t>Вареники</t>
  </si>
  <si>
    <t>SU002532</t>
  </si>
  <si>
    <t>P002958</t>
  </si>
  <si>
    <t>SU002483</t>
  </si>
  <si>
    <t>P002961</t>
  </si>
  <si>
    <t>Вязанка</t>
  </si>
  <si>
    <t>Няняггетсы Сливушки</t>
  </si>
  <si>
    <t>SU002516</t>
  </si>
  <si>
    <t>P002823</t>
  </si>
  <si>
    <t>SU002514</t>
  </si>
  <si>
    <t>P004155</t>
  </si>
  <si>
    <t>Наггетсы с куриным филе (из печи) Наггетсы Фикс.вес 0,25 Лоток Вязанка</t>
  </si>
  <si>
    <t>Печеные пельмени</t>
  </si>
  <si>
    <t>SU002225</t>
  </si>
  <si>
    <t>P002411</t>
  </si>
  <si>
    <t>Сосиски замороженные</t>
  </si>
  <si>
    <t>SU002677</t>
  </si>
  <si>
    <t>P003053</t>
  </si>
  <si>
    <t>СК2</t>
  </si>
  <si>
    <t>КИЗ</t>
  </si>
  <si>
    <t>Сливушки</t>
  </si>
  <si>
    <t>SU003001</t>
  </si>
  <si>
    <t>P003470</t>
  </si>
  <si>
    <t>Стародворье</t>
  </si>
  <si>
    <t>Первая цена</t>
  </si>
  <si>
    <t>SU002637</t>
  </si>
  <si>
    <t>P002985</t>
  </si>
  <si>
    <t>SU002638</t>
  </si>
  <si>
    <t>P002986</t>
  </si>
  <si>
    <t>Мясорубская</t>
  </si>
  <si>
    <t>SU002920</t>
  </si>
  <si>
    <t>P003355</t>
  </si>
  <si>
    <t>SU003145</t>
  </si>
  <si>
    <t>P003731</t>
  </si>
  <si>
    <t>SU003077</t>
  </si>
  <si>
    <t>P003648</t>
  </si>
  <si>
    <t>Медвежьи ушки</t>
  </si>
  <si>
    <t>SU003260</t>
  </si>
  <si>
    <t>P003918</t>
  </si>
  <si>
    <t>SU003259</t>
  </si>
  <si>
    <t>P003920</t>
  </si>
  <si>
    <t>SU003064</t>
  </si>
  <si>
    <t>P003639</t>
  </si>
  <si>
    <t>SU003065</t>
  </si>
  <si>
    <t>P003641</t>
  </si>
  <si>
    <t>SU003066</t>
  </si>
  <si>
    <t>P003630</t>
  </si>
  <si>
    <t>SU003067</t>
  </si>
  <si>
    <t>P003631</t>
  </si>
  <si>
    <t>Медвежье ушко</t>
  </si>
  <si>
    <t>SU002067</t>
  </si>
  <si>
    <t>P002999</t>
  </si>
  <si>
    <t>SU002068</t>
  </si>
  <si>
    <t>P003005</t>
  </si>
  <si>
    <t>SU002069</t>
  </si>
  <si>
    <t>P003001</t>
  </si>
  <si>
    <t>SU002066</t>
  </si>
  <si>
    <t>P003004</t>
  </si>
  <si>
    <t>Бордо</t>
  </si>
  <si>
    <t>SU002678</t>
  </si>
  <si>
    <t>P003054</t>
  </si>
  <si>
    <t>Сочные</t>
  </si>
  <si>
    <t>SU001859</t>
  </si>
  <si>
    <t>P002720</t>
  </si>
  <si>
    <t>SU003291</t>
  </si>
  <si>
    <t>P004009</t>
  </si>
  <si>
    <t>Колбасный стандарт</t>
  </si>
  <si>
    <t>Владимирский Стандарт ЗПФ</t>
  </si>
  <si>
    <t>SU002267</t>
  </si>
  <si>
    <t>P003223</t>
  </si>
  <si>
    <t>Особый рецепт</t>
  </si>
  <si>
    <t>Любимая ложка</t>
  </si>
  <si>
    <t>SU002268</t>
  </si>
  <si>
    <t>P003642</t>
  </si>
  <si>
    <t>Особая Без свинины</t>
  </si>
  <si>
    <t>SU002408</t>
  </si>
  <si>
    <t>P002686</t>
  </si>
  <si>
    <t>Зареченские</t>
  </si>
  <si>
    <t>Зареченские продукты</t>
  </si>
  <si>
    <t>SU003319</t>
  </si>
  <si>
    <t>P004053</t>
  </si>
  <si>
    <t>Пельмени «Домашние» 0,7 сфера ТМ «Зареченские»</t>
  </si>
  <si>
    <t>SU003320</t>
  </si>
  <si>
    <t>P004060</t>
  </si>
  <si>
    <t>Пельмени «Домашние со сливочным маслом» 0,7 сфера ТМ «Зареченские»</t>
  </si>
  <si>
    <t>Зареченские продукты ПГП</t>
  </si>
  <si>
    <t>SU003024</t>
  </si>
  <si>
    <t>P003488</t>
  </si>
  <si>
    <t>Крылья «Хрустящие крылышки» Весовой ТМ «Зареченские» 1,8 кг</t>
  </si>
  <si>
    <t>SU003020</t>
  </si>
  <si>
    <t>P003486</t>
  </si>
  <si>
    <t>Наггетсы «Хрустящие» Весовые ТМ «Зареченские» 6 кг</t>
  </si>
  <si>
    <t>SU003381</t>
  </si>
  <si>
    <t>P004190</t>
  </si>
  <si>
    <t>Наггетсы «Хрустящие» Фикс.вес 0,3 ф/п ТМ «Зареченские»</t>
  </si>
  <si>
    <t>SU003012</t>
  </si>
  <si>
    <t>P003478</t>
  </si>
  <si>
    <t>Чебуреки «Мясные» Весовые ТМ «Зареченские» 2,7 кг</t>
  </si>
  <si>
    <t>SU003011</t>
  </si>
  <si>
    <t>P003477</t>
  </si>
  <si>
    <t>SU003010</t>
  </si>
  <si>
    <t>P003476</t>
  </si>
  <si>
    <t>Чебуреки «Сочные» Весовые ТМ «Зареченские» 5 кг</t>
  </si>
  <si>
    <t>SU003025</t>
  </si>
  <si>
    <t>P003495</t>
  </si>
  <si>
    <t>SU003383</t>
  </si>
  <si>
    <t>P004191</t>
  </si>
  <si>
    <t>«Мини-пицца с ветчиной и сыром» Фикс.вес 0,3 ф/п ТМ «Зареченские»</t>
  </si>
  <si>
    <t>Новинка</t>
  </si>
  <si>
    <t>SU003382</t>
  </si>
  <si>
    <t>P004195</t>
  </si>
  <si>
    <t>Снеки «Мини-сосиски в тесте» Фикс.вес 0,3 ф/п ТМ «Зареченские»</t>
  </si>
  <si>
    <t>SU003378</t>
  </si>
  <si>
    <t>P004196</t>
  </si>
  <si>
    <t>«Пирожки с мясом» Фикс.вес 0,3 ф/п ТМ «Зареченские»</t>
  </si>
  <si>
    <t>SU003379</t>
  </si>
  <si>
    <t>P004197</t>
  </si>
  <si>
    <t>«Пирожки с мясом, картофелем и грибами» Фикс.вес 0,3 ф/п ТМ «Зареченские»</t>
  </si>
  <si>
    <t>SU003380</t>
  </si>
  <si>
    <t>P004192</t>
  </si>
  <si>
    <t>Снеки «Пирожки с яблоком и грушей» Фикс.вес 0,3 ф/п ТМ «Зареченские»</t>
  </si>
  <si>
    <t>SU003018</t>
  </si>
  <si>
    <t>P003484</t>
  </si>
  <si>
    <t>Снеки «Жар-боллы с курочкой и сыром» Весовой ТМ «Зареченские» 3 кг</t>
  </si>
  <si>
    <t>SU003023</t>
  </si>
  <si>
    <t>P003490</t>
  </si>
  <si>
    <t>Снеки «Жар-ладушки с клубникой и вишней» Весовые ТМ «Зареченские» 3,7 кг</t>
  </si>
  <si>
    <t>SU003015</t>
  </si>
  <si>
    <t>P003481</t>
  </si>
  <si>
    <t>Снеки «Жар-ладушки с мясом» Весовые ТМ «Зареченские» 3,7 кг</t>
  </si>
  <si>
    <t>SU003016</t>
  </si>
  <si>
    <t>P003482</t>
  </si>
  <si>
    <t>SU003017</t>
  </si>
  <si>
    <t>P003483</t>
  </si>
  <si>
    <t>Снеки «Жар-ладушки с яблоком и грушей» Весовые ТМ «Зареченские» 3,7 кг</t>
  </si>
  <si>
    <t>SU003014</t>
  </si>
  <si>
    <t>P003480</t>
  </si>
  <si>
    <t>Снеки «Жар-мени с картофелем и сочной грудинкой» Весовые ТМ «Зареченские» 3,5 кг</t>
  </si>
  <si>
    <t>SU003013</t>
  </si>
  <si>
    <t>P003479</t>
  </si>
  <si>
    <t>Снеки «Жар-мени» Весовые ТМ «Зареченские» 5,5 кг</t>
  </si>
  <si>
    <t>SU003022</t>
  </si>
  <si>
    <t>P003487</t>
  </si>
  <si>
    <t>Снеки «Мини-сосиски в тесте Фрайпики» Весовые ТМ «Зареченские» 1,8 кг</t>
  </si>
  <si>
    <t>SU003019</t>
  </si>
  <si>
    <t>P003485</t>
  </si>
  <si>
    <t>Снеки «Мини-сосиски в тесте Фрайпики» Весовые ТМ «Зареченские» 3,7 кг</t>
  </si>
  <si>
    <t>SU003021</t>
  </si>
  <si>
    <t>P003489</t>
  </si>
  <si>
    <t>Снеки «Фрай-пицца с ветчиной и грибами» Весовые ТМ «Зареченские» 3 кг</t>
  </si>
  <si>
    <t>SU003377</t>
  </si>
  <si>
    <t>P004193</t>
  </si>
  <si>
    <t>«Мини-чебуречки с мясом» Фикс.вес 0,3 ф/п ТМ «Зареченские»</t>
  </si>
  <si>
    <t>SU003376</t>
  </si>
  <si>
    <t>P004194</t>
  </si>
  <si>
    <t>«Мини-чебуречки с сыром и ветчиной» Фикс.вес 0,3 ф/п ТМ «Зареченские»</t>
  </si>
  <si>
    <t>SU002766</t>
  </si>
  <si>
    <t>P003151</t>
  </si>
  <si>
    <t>SU002767</t>
  </si>
  <si>
    <t>P003150</t>
  </si>
  <si>
    <t>SU003085</t>
  </si>
  <si>
    <t>P003651</t>
  </si>
  <si>
    <t>Снеки «Смаколадьи с яблоком и грушей» ф/в 0,9 ТМ «Зареченские»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</si>
  <si>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</si>
  <si>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</si>
  <si>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</si>
  <si>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</si>
  <si>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</si>
  <si>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</si>
  <si>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</si>
  <si>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</si>
  <si>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</si>
  <si>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</si>
  <si>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</si>
  <si>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ЗПФ, кг</t>
  </si>
  <si>
    <t xml:space="preserve">ПГП, кг </t>
  </si>
  <si>
    <t>КИЗ, кг</t>
  </si>
  <si>
    <t>MSDAX_ЗПФ</t>
  </si>
  <si>
    <t>Доставка</t>
  </si>
  <si>
    <t>590943_1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</si>
  <si>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</si>
  <si>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</si>
  <si>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</si>
  <si>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</si>
  <si>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</si>
  <si>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</si>
  <si>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</si>
  <si>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</si>
  <si>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</si>
  <si>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</si>
  <si>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</si>
  <si>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</si>
  <si>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мультиреф 6 европалет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</si>
</sst>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283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rgb="FF651C32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ck">
        <color rgb="FF651C32"/>
      </left>
      <right style="thick">
        <color theme="0" tint="-0.499984740745262"/>
      </right>
      <top/>
      <bottom/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395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Border="1" applyProtection="1">
      <protection hidden="1"/>
    </xf>
    <xf numFmtId="2" fontId="59" fillId="0" borderId="11" xfId="0" applyNumberFormat="1" applyFont="1" applyBorder="1" applyAlignment="1" applyProtection="1">
      <alignment horizontal="center"/>
      <protection hidden="1"/>
    </xf>
    <xf numFmtId="0" fontId="60" fillId="0" borderId="0" xfId="0" applyFont="1" applyProtection="1"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67" fillId="0" borderId="15" xfId="0" applyFont="1" applyBorder="1" applyAlignment="1">
      <alignment horizontal="left" vertical="center" wrapText="1"/>
    </xf>
    <xf numFmtId="0" fontId="0" fillId="0" borderId="19" xfId="0" applyBorder="1"/>
    <xf numFmtId="0" fontId="0" fillId="0" borderId="20" xfId="0" applyBorder="1"/>
    <xf numFmtId="1" fontId="46" fillId="0" borderId="15" xfId="0" applyNumberFormat="1" applyFont="1" applyBorder="1" applyAlignment="1">
      <alignment horizontal="center" vertical="center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181" fillId="0" borderId="15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49" fontId="36" fillId="0" borderId="15" xfId="0" applyNumberFormat="1" applyFont="1" applyBorder="1" applyAlignment="1">
      <alignment horizontal="center" vertical="center"/>
    </xf>
    <xf numFmtId="0" fontId="65" fillId="0" borderId="15" xfId="0" applyFont="1" applyBorder="1" applyAlignment="1">
      <alignment horizontal="left" vertical="center" wrapText="1"/>
    </xf>
    <xf numFmtId="0" fontId="195" fillId="0" borderId="15" xfId="0" applyFont="1" applyBorder="1" applyAlignment="1">
      <alignment horizontal="left" vertical="center" wrapText="1"/>
    </xf>
    <xf numFmtId="0" fontId="79" fillId="0" borderId="15" xfId="0" applyFont="1" applyBorder="1" applyAlignment="1">
      <alignment horizontal="left" vertical="center" wrapText="1"/>
    </xf>
    <xf numFmtId="0" fontId="199" fillId="0" borderId="15" xfId="0" applyFont="1" applyBorder="1" applyAlignment="1">
      <alignment horizontal="left" vertical="center" wrapText="1"/>
    </xf>
    <xf numFmtId="0" fontId="54" fillId="26" borderId="0" xfId="0" applyFont="1" applyFill="1" applyAlignment="1" applyProtection="1">
      <alignment horizontal="center"/>
      <protection hidden="1"/>
    </xf>
    <xf numFmtId="0" fontId="69" fillId="0" borderId="15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35" fillId="0" borderId="0" xfId="0" applyFont="1" applyProtection="1">
      <protection hidden="1"/>
    </xf>
    <xf numFmtId="0" fontId="0" fillId="0" borderId="37" xfId="0" applyBorder="1"/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0" fillId="0" borderId="28" xfId="0" applyBorder="1" applyProtection="1">
      <protection locked="0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61" fillId="0" borderId="15" xfId="0" applyFont="1" applyBorder="1" applyAlignment="1">
      <alignment horizontal="left" vertical="center" wrapText="1"/>
    </xf>
    <xf numFmtId="0" fontId="85" fillId="0" borderId="15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28" xfId="0" applyBorder="1"/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0" fillId="0" borderId="20" xfId="0" applyBorder="1" applyProtection="1">
      <protection locked="0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3" xfId="0" applyBorder="1" applyProtection="1">
      <protection hidden="1"/>
    </xf>
    <xf numFmtId="0" fontId="213" fillId="0" borderId="15" xfId="0" applyFont="1" applyBorder="1" applyAlignment="1">
      <alignment horizontal="left" vertical="center" wrapText="1"/>
    </xf>
    <xf numFmtId="0" fontId="99" fillId="0" borderId="15" xfId="0" applyFont="1" applyBorder="1" applyAlignment="1">
      <alignment horizontal="left" vertical="center" wrapText="1"/>
    </xf>
    <xf numFmtId="0" fontId="95" fillId="0" borderId="15" xfId="0" applyFont="1" applyBorder="1" applyAlignment="1">
      <alignment horizontal="left" vertical="center" wrapText="1"/>
    </xf>
    <xf numFmtId="0" fontId="217" fillId="0" borderId="15" xfId="0" applyFont="1" applyBorder="1" applyAlignment="1">
      <alignment horizontal="left" vertical="center" wrapText="1"/>
    </xf>
    <xf numFmtId="0" fontId="245" fillId="0" borderId="15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9" xfId="0" applyBorder="1" applyProtection="1">
      <protection locked="0" hidden="1"/>
    </xf>
    <xf numFmtId="0" fontId="0" fillId="0" borderId="20" xfId="0" applyBorder="1" applyProtection="1">
      <protection locked="0" hidden="1"/>
    </xf>
    <xf numFmtId="0" fontId="163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0" fontId="0" fillId="0" borderId="27" xfId="0" applyBorder="1" applyProtection="1">
      <protection hidden="1"/>
    </xf>
    <xf numFmtId="0" fontId="169" fillId="0" borderId="15" xfId="0" applyFont="1" applyBorder="1" applyAlignment="1">
      <alignment horizontal="left" vertical="center" wrapText="1"/>
    </xf>
    <xf numFmtId="0" fontId="275" fillId="0" borderId="15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215" fillId="0" borderId="15" xfId="0" applyFont="1" applyBorder="1" applyAlignment="1">
      <alignment horizontal="left" vertical="center" wrapText="1"/>
    </xf>
    <xf numFmtId="0" fontId="133" fillId="0" borderId="15" xfId="0" applyFont="1" applyBorder="1" applyAlignment="1">
      <alignment horizontal="left" vertical="center" wrapText="1"/>
    </xf>
    <xf numFmtId="0" fontId="279" fillId="0" borderId="15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249" fillId="0" borderId="15" xfId="0" applyFont="1" applyBorder="1" applyAlignment="1">
      <alignment horizontal="left" vertical="center" wrapText="1"/>
    </xf>
    <xf numFmtId="0" fontId="111" fillId="0" borderId="15" xfId="0" applyFont="1" applyBorder="1" applyAlignment="1">
      <alignment horizontal="left" vertical="center" wrapText="1"/>
    </xf>
    <xf numFmtId="0" fontId="253" fillId="0" borderId="15" xfId="0" applyFont="1" applyBorder="1" applyAlignment="1">
      <alignment horizontal="left" vertical="center" wrapText="1"/>
    </xf>
    <xf numFmtId="0" fontId="135" fillId="0" borderId="15" xfId="0" applyFont="1" applyBorder="1" applyAlignment="1">
      <alignment horizontal="left" vertical="center" wrapText="1"/>
    </xf>
    <xf numFmtId="0" fontId="87" fillId="0" borderId="15" xfId="0" applyFont="1" applyBorder="1" applyAlignment="1">
      <alignment horizontal="left" vertical="center" wrapText="1"/>
    </xf>
    <xf numFmtId="0" fontId="109" fillId="0" borderId="15" xfId="0" applyFont="1" applyBorder="1" applyAlignment="1">
      <alignment horizontal="left" vertical="center" wrapText="1"/>
    </xf>
    <xf numFmtId="0" fontId="113" fillId="0" borderId="15" xfId="0" applyFont="1" applyBorder="1" applyAlignment="1">
      <alignment horizontal="left" vertical="center" wrapText="1"/>
    </xf>
    <xf numFmtId="49" fontId="36" fillId="0" borderId="24" xfId="0" applyNumberFormat="1" applyFont="1" applyBorder="1" applyAlignment="1">
      <alignment horizontal="center" vertical="center"/>
    </xf>
    <xf numFmtId="0" fontId="243" fillId="0" borderId="15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0" fontId="60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151" fillId="0" borderId="15" xfId="0" applyFont="1" applyBorder="1" applyAlignment="1">
      <alignment horizontal="left" vertical="center" wrapText="1"/>
    </xf>
    <xf numFmtId="0" fontId="187" fillId="0" borderId="15" xfId="0" applyFont="1" applyBorder="1" applyAlignment="1">
      <alignment horizontal="left" vertical="center" wrapText="1"/>
    </xf>
    <xf numFmtId="0" fontId="0" fillId="0" borderId="41" xfId="0" applyBorder="1" applyProtection="1">
      <protection hidden="1"/>
    </xf>
    <xf numFmtId="0" fontId="0" fillId="0" borderId="42" xfId="0" applyBorder="1" applyProtection="1">
      <protection hidden="1"/>
    </xf>
    <xf numFmtId="0" fontId="107" fillId="0" borderId="15" xfId="0" applyFont="1" applyBorder="1" applyAlignment="1">
      <alignment horizontal="left" vertical="center" wrapText="1"/>
    </xf>
    <xf numFmtId="0" fontId="177" fillId="0" borderId="15" xfId="0" applyFont="1" applyBorder="1" applyAlignment="1">
      <alignment horizontal="left" vertical="center" wrapText="1"/>
    </xf>
    <xf numFmtId="0" fontId="89" fillId="0" borderId="15" xfId="0" applyFont="1" applyBorder="1" applyAlignment="1">
      <alignment horizontal="left" vertical="center" wrapText="1"/>
    </xf>
    <xf numFmtId="0" fontId="159" fillId="0" borderId="15" xfId="0" applyFont="1" applyBorder="1" applyAlignment="1">
      <alignment horizontal="left" vertical="center" wrapText="1"/>
    </xf>
    <xf numFmtId="0" fontId="247" fillId="0" borderId="15" xfId="0" applyFont="1" applyBorder="1" applyAlignment="1">
      <alignment horizontal="left" vertical="center" wrapText="1"/>
    </xf>
    <xf numFmtId="0" fontId="239" fillId="0" borderId="15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105" fillId="0" borderId="15" xfId="0" applyFont="1" applyBorder="1" applyAlignment="1">
      <alignment horizontal="left" vertical="center" wrapText="1"/>
    </xf>
    <xf numFmtId="0" fontId="281" fillId="0" borderId="15" xfId="0" applyFont="1" applyBorder="1" applyAlignment="1">
      <alignment horizontal="left" vertical="center" wrapText="1"/>
    </xf>
    <xf numFmtId="0" fontId="141" fillId="0" borderId="15" xfId="0" applyFont="1" applyBorder="1" applyAlignment="1">
      <alignment horizontal="left" vertical="center" wrapText="1"/>
    </xf>
    <xf numFmtId="0" fontId="219" fillId="0" borderId="15" xfId="0" applyFont="1" applyBorder="1" applyAlignment="1">
      <alignment horizontal="left" vertical="center" wrapText="1"/>
    </xf>
    <xf numFmtId="0" fontId="129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153" fillId="0" borderId="15" xfId="0" applyFont="1" applyBorder="1" applyAlignment="1">
      <alignment horizontal="left" vertical="center" wrapText="1"/>
    </xf>
    <xf numFmtId="0" fontId="191" fillId="0" borderId="15" xfId="0" applyFont="1" applyBorder="1" applyAlignment="1">
      <alignment horizontal="left" vertical="center" wrapText="1"/>
    </xf>
    <xf numFmtId="0" fontId="77" fillId="0" borderId="15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47" fillId="0" borderId="15" xfId="0" applyFont="1" applyBorder="1" applyAlignment="1">
      <alignment horizontal="left" vertical="center" wrapText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143" fillId="0" borderId="15" xfId="0" applyFont="1" applyBorder="1" applyAlignment="1">
      <alignment horizontal="left" vertical="center" wrapText="1"/>
    </xf>
    <xf numFmtId="0" fontId="221" fillId="0" borderId="15" xfId="0" applyFont="1" applyBorder="1" applyAlignment="1">
      <alignment horizontal="left" vertical="center" wrapText="1"/>
    </xf>
    <xf numFmtId="0" fontId="197" fillId="0" borderId="15" xfId="0" applyFont="1" applyBorder="1" applyAlignment="1">
      <alignment horizontal="left" vertical="center" wrapText="1"/>
    </xf>
    <xf numFmtId="0" fontId="235" fillId="0" borderId="15" xfId="0" applyFont="1" applyBorder="1" applyAlignment="1">
      <alignment horizontal="left" vertical="center" wrapText="1"/>
    </xf>
    <xf numFmtId="0" fontId="93" fillId="0" borderId="15" xfId="0" applyFont="1" applyBorder="1" applyAlignment="1">
      <alignment horizontal="left" vertical="center" wrapText="1"/>
    </xf>
    <xf numFmtId="0" fontId="161" fillId="0" borderId="15" xfId="0" applyFont="1" applyBorder="1" applyAlignment="1">
      <alignment horizontal="left" vertical="center" wrapText="1"/>
    </xf>
    <xf numFmtId="0" fontId="155" fillId="0" borderId="15" xfId="0" applyFont="1" applyBorder="1" applyAlignment="1">
      <alignment horizontal="left" vertical="center" wrapText="1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223" fillId="0" borderId="15" xfId="0" applyFont="1" applyBorder="1" applyAlignment="1">
      <alignment horizontal="left" vertical="center" wrapText="1"/>
    </xf>
    <xf numFmtId="0" fontId="73" fillId="0" borderId="15" xfId="0" applyFont="1" applyBorder="1" applyAlignment="1">
      <alignment horizontal="left" vertical="center" wrapText="1"/>
    </xf>
    <xf numFmtId="0" fontId="119" fillId="0" borderId="15" xfId="0" applyFont="1" applyBorder="1" applyAlignment="1">
      <alignment horizontal="left" vertical="center" wrapText="1"/>
    </xf>
    <xf numFmtId="0" fontId="165" fillId="0" borderId="15" xfId="0" applyFont="1" applyBorder="1" applyAlignment="1">
      <alignment horizontal="left" vertical="center" wrapText="1"/>
    </xf>
    <xf numFmtId="0" fontId="265" fillId="0" borderId="15" xfId="0" applyFont="1" applyBorder="1" applyAlignment="1">
      <alignment horizontal="left" vertical="center" wrapText="1"/>
    </xf>
    <xf numFmtId="0" fontId="81" fillId="0" borderId="15" xfId="0" applyFont="1" applyBorder="1" applyAlignment="1">
      <alignment horizontal="left" vertical="center" wrapText="1"/>
    </xf>
    <xf numFmtId="0" fontId="207" fillId="0" borderId="15" xfId="0" applyFont="1" applyBorder="1" applyAlignment="1">
      <alignment horizontal="left" vertical="center" wrapText="1"/>
    </xf>
    <xf numFmtId="0" fontId="269" fillId="0" borderId="15" xfId="0" applyFont="1" applyBorder="1" applyAlignment="1">
      <alignment horizontal="left" vertical="center" wrapText="1"/>
    </xf>
    <xf numFmtId="0" fontId="231" fillId="0" borderId="15" xfId="0" applyFont="1" applyBorder="1" applyAlignment="1">
      <alignment horizontal="left" vertical="center" wrapText="1"/>
    </xf>
    <xf numFmtId="0" fontId="189" fillId="0" borderId="15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205" fillId="0" borderId="15" xfId="0" applyFont="1" applyBorder="1" applyAlignment="1">
      <alignment horizontal="left" vertical="center" wrapText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01" fillId="0" borderId="15" xfId="0" applyFont="1" applyBorder="1" applyAlignment="1">
      <alignment horizontal="left" vertical="center" wrapText="1"/>
    </xf>
    <xf numFmtId="0" fontId="175" fillId="0" borderId="15" xfId="0" applyFont="1" applyBorder="1" applyAlignment="1">
      <alignment horizontal="left" vertical="center" wrapText="1"/>
    </xf>
    <xf numFmtId="0" fontId="157" fillId="0" borderId="15" xfId="0" applyFont="1" applyBorder="1" applyAlignment="1">
      <alignment horizontal="left" vertical="center" wrapText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203" fillId="0" borderId="15" xfId="0" applyFont="1" applyBorder="1" applyAlignment="1">
      <alignment horizontal="left" vertical="center" wrapText="1"/>
    </xf>
    <xf numFmtId="0" fontId="127" fillId="0" borderId="15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171" fillId="0" borderId="15" xfId="0" applyFont="1" applyBorder="1" applyAlignment="1">
      <alignment horizontal="left" vertical="center" wrapText="1"/>
    </xf>
    <xf numFmtId="0" fontId="267" fillId="0" borderId="15" xfId="0" applyFont="1" applyBorder="1" applyAlignment="1">
      <alignment horizontal="left" vertical="center" wrapText="1"/>
    </xf>
    <xf numFmtId="0" fontId="83" fillId="0" borderId="15" xfId="0" applyFont="1" applyBorder="1" applyAlignment="1">
      <alignment horizontal="left" vertical="center" wrapText="1"/>
    </xf>
    <xf numFmtId="0" fontId="125" fillId="0" borderId="15" xfId="0" applyFont="1" applyBorder="1" applyAlignment="1">
      <alignment horizontal="left" vertical="center" wrapText="1"/>
    </xf>
    <xf numFmtId="0" fontId="121" fillId="0" borderId="15" xfId="0" applyFont="1" applyBorder="1" applyAlignment="1">
      <alignment horizontal="left" vertical="center" wrapText="1"/>
    </xf>
    <xf numFmtId="0" fontId="271" fillId="0" borderId="15" xfId="0" applyFont="1" applyBorder="1" applyAlignment="1">
      <alignment horizontal="left" vertical="center" wrapText="1"/>
    </xf>
    <xf numFmtId="0" fontId="97" fillId="0" borderId="15" xfId="0" applyFont="1" applyBorder="1" applyAlignment="1">
      <alignment horizontal="left" vertical="center" wrapText="1"/>
    </xf>
    <xf numFmtId="0" fontId="233" fillId="0" borderId="15" xfId="0" applyFont="1" applyBorder="1" applyAlignment="1">
      <alignment horizontal="left" vertical="center" wrapText="1"/>
    </xf>
    <xf numFmtId="0" fontId="167" fillId="0" borderId="15" xfId="0" applyFont="1" applyBorder="1" applyAlignment="1">
      <alignment horizontal="left" vertical="center" wrapText="1"/>
    </xf>
    <xf numFmtId="0" fontId="101" fillId="0" borderId="15" xfId="0" applyFont="1" applyBorder="1" applyAlignment="1">
      <alignment horizontal="left" vertical="center" wrapText="1"/>
    </xf>
    <xf numFmtId="0" fontId="0" fillId="0" borderId="40" xfId="0" applyBorder="1" applyProtection="1">
      <protection hidden="1"/>
    </xf>
    <xf numFmtId="0" fontId="123" fillId="0" borderId="15" xfId="0" applyFont="1" applyBorder="1" applyAlignment="1">
      <alignment horizontal="left" vertical="center" wrapText="1"/>
    </xf>
    <xf numFmtId="0" fontId="211" fillId="0" borderId="15" xfId="0" applyFont="1" applyBorder="1" applyAlignment="1">
      <alignment horizontal="left" vertical="center" wrapText="1"/>
    </xf>
    <xf numFmtId="0" fontId="259" fillId="0" borderId="15" xfId="0" applyFont="1" applyBorder="1" applyAlignment="1">
      <alignment horizontal="left" vertical="center" wrapText="1"/>
    </xf>
    <xf numFmtId="0" fontId="273" fillId="0" borderId="15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131" fillId="0" borderId="15" xfId="0" applyFont="1" applyBorder="1" applyAlignment="1">
      <alignment horizontal="left" vertical="center" wrapText="1"/>
    </xf>
    <xf numFmtId="0" fontId="277" fillId="0" borderId="15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185" fillId="0" borderId="15" xfId="0" applyFont="1" applyBorder="1" applyAlignment="1">
      <alignment horizontal="left" vertical="center" wrapText="1"/>
    </xf>
    <xf numFmtId="0" fontId="115" fillId="0" borderId="15" xfId="0" applyFont="1" applyBorder="1" applyAlignment="1">
      <alignment horizontal="left" vertical="center" wrapText="1"/>
    </xf>
    <xf numFmtId="0" fontId="263" fillId="0" borderId="15" xfId="0" applyFont="1" applyBorder="1" applyAlignment="1">
      <alignment horizontal="left" vertical="center" wrapText="1"/>
    </xf>
    <xf numFmtId="0" fontId="179" fillId="0" borderId="15" xfId="0" applyFont="1" applyBorder="1" applyAlignment="1">
      <alignment horizontal="left" vertical="center" wrapText="1"/>
    </xf>
    <xf numFmtId="0" fontId="225" fillId="0" borderId="15" xfId="0" applyFont="1" applyBorder="1" applyAlignment="1">
      <alignment horizontal="left" vertical="center" wrapText="1"/>
    </xf>
    <xf numFmtId="0" fontId="173" fillId="0" borderId="15" xfId="0" applyFont="1" applyBorder="1" applyAlignment="1">
      <alignment horizontal="left" vertical="center" wrapText="1"/>
    </xf>
    <xf numFmtId="0" fontId="145" fillId="0" borderId="15" xfId="0" applyFont="1" applyBorder="1" applyAlignment="1">
      <alignment horizontal="left" vertical="center" wrapText="1"/>
    </xf>
    <xf numFmtId="0" fontId="117" fillId="0" borderId="15" xfId="0" applyFont="1" applyBorder="1" applyAlignment="1">
      <alignment horizontal="left" vertical="center" wrapText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251" fillId="0" borderId="15" xfId="0" applyFont="1" applyBorder="1" applyAlignment="1">
      <alignment horizontal="left" vertical="center" wrapText="1"/>
    </xf>
    <xf numFmtId="0" fontId="227" fillId="0" borderId="15" xfId="0" applyFont="1" applyBorder="1" applyAlignment="1">
      <alignment horizontal="left" vertical="center" wrapText="1"/>
    </xf>
    <xf numFmtId="0" fontId="75" fillId="0" borderId="15" xfId="0" applyFont="1" applyBorder="1" applyAlignment="1">
      <alignment horizontal="left" vertical="center" wrapText="1"/>
    </xf>
    <xf numFmtId="0" fontId="63" fillId="0" borderId="15" xfId="0" applyFont="1" applyBorder="1" applyAlignment="1">
      <alignment horizontal="left" vertical="center" wrapText="1"/>
    </xf>
    <xf numFmtId="0" fontId="71" fillId="0" borderId="15" xfId="0" applyFont="1" applyBorder="1" applyAlignment="1">
      <alignment horizontal="left" vertical="center" wrapText="1"/>
    </xf>
    <xf numFmtId="0" fontId="60" fillId="0" borderId="0" xfId="0" applyFont="1" applyAlignment="1" applyProtection="1">
      <alignment horizontal="center" vertical="center"/>
      <protection hidden="1"/>
    </xf>
    <xf numFmtId="0" fontId="241" fillId="0" borderId="15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237" fillId="0" borderId="15" xfId="0" applyFont="1" applyBorder="1" applyAlignment="1">
      <alignment horizontal="left" vertical="center" wrapText="1"/>
    </xf>
    <xf numFmtId="0" fontId="103" fillId="0" borderId="15" xfId="0" applyFont="1" applyBorder="1" applyAlignment="1">
      <alignment horizontal="left" vertical="center" wrapText="1"/>
    </xf>
    <xf numFmtId="0" fontId="255" fillId="0" borderId="15" xfId="0" applyFont="1" applyBorder="1" applyAlignment="1">
      <alignment horizontal="left" vertical="center" wrapText="1"/>
    </xf>
    <xf numFmtId="0" fontId="137" fillId="0" borderId="15" xfId="0" applyFont="1" applyBorder="1" applyAlignment="1">
      <alignment horizontal="left" vertical="center" wrapText="1"/>
    </xf>
    <xf numFmtId="0" fontId="183" fillId="0" borderId="15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193" fillId="0" borderId="15" xfId="0" applyFont="1" applyBorder="1" applyAlignment="1">
      <alignment horizontal="left" vertical="center" wrapText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39" xfId="0" applyBorder="1" applyProtection="1">
      <protection locked="0" hidden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14" fontId="34" fillId="24" borderId="0" xfId="0" applyNumberFormat="1" applyFont="1" applyFill="1" applyAlignment="1">
      <alignment vertical="center" wrapText="1"/>
    </xf>
    <xf numFmtId="0" fontId="209" fillId="0" borderId="15" xfId="0" applyFont="1" applyBorder="1" applyAlignment="1">
      <alignment horizontal="left" vertical="center" wrapText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257" fillId="0" borderId="15" xfId="0" applyFont="1" applyBorder="1" applyAlignment="1">
      <alignment horizontal="left" vertical="center" wrapText="1"/>
    </xf>
    <xf numFmtId="0" fontId="91" fillId="0" borderId="15" xfId="0" applyFont="1" applyBorder="1" applyAlignment="1">
      <alignment horizontal="left" vertical="center" wrapText="1"/>
    </xf>
    <xf numFmtId="0" fontId="261" fillId="0" borderId="15" xfId="0" applyFont="1" applyBorder="1" applyAlignment="1">
      <alignment horizontal="left" vertical="center" wrapText="1"/>
    </xf>
    <xf numFmtId="0" fontId="229" fillId="0" borderId="15" xfId="0" applyFont="1" applyBorder="1" applyAlignment="1">
      <alignment horizontal="left" vertical="center" wrapText="1"/>
    </xf>
    <xf numFmtId="0" fontId="149" fillId="0" borderId="15" xfId="0" applyFont="1" applyBorder="1" applyAlignment="1">
      <alignment horizontal="left" vertical="center" wrapText="1"/>
    </xf>
    <xf numFmtId="0" fontId="139" fillId="0" borderId="15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7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B303"/>
  <sheetViews>
    <sheetView showGridLines="0" tabSelected="1" zoomScaleNormal="100" zoomScaleSheetLayoutView="100" workbookViewId="0">
      <selection activeCell="AA39" sqref="AA39"/>
    </sheetView>
  </sheetViews>
  <sheetFormatPr defaultColWidth="9.140625" defaultRowHeight="12.75" x14ac:dyDescent="0.2"/>
  <cols>
    <col min="1" max="1" width="9.140625" style="180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1" width="13.85546875" style="4" customWidth="1"/>
    <col min="12" max="12" width="9.42578125" style="4" customWidth="1"/>
    <col min="13" max="13" width="15.85546875" style="4" hidden="1" customWidth="1"/>
    <col min="14" max="14" width="10.42578125" style="3" customWidth="1"/>
    <col min="15" max="15" width="7.42578125" style="1" customWidth="1"/>
    <col min="16" max="16" width="15.5703125" style="1" customWidth="1"/>
    <col min="17" max="17" width="8.140625" style="180" customWidth="1"/>
    <col min="18" max="18" width="6.140625" style="180" customWidth="1"/>
    <col min="19" max="19" width="10.85546875" style="2" customWidth="1"/>
    <col min="20" max="20" width="10.42578125" style="2" customWidth="1"/>
    <col min="21" max="21" width="9.42578125" style="2" customWidth="1"/>
    <col min="22" max="22" width="8.42578125" style="2" customWidth="1"/>
    <col min="23" max="23" width="10" style="180" customWidth="1"/>
    <col min="24" max="24" width="11" style="180" customWidth="1"/>
    <col min="25" max="25" width="10" style="180" customWidth="1"/>
    <col min="26" max="26" width="11.5703125" style="180" customWidth="1"/>
    <col min="27" max="27" width="10.42578125" style="180" customWidth="1"/>
    <col min="28" max="28" width="11.42578125" style="52" bestFit="1" customWidth="1"/>
    <col min="29" max="29" width="9.140625" style="52" customWidth="1"/>
    <col min="30" max="30" width="8.85546875" style="52" customWidth="1"/>
    <col min="31" max="31" width="13.5703125" style="180" customWidth="1"/>
    <col min="32" max="32" width="9.140625" style="180" customWidth="1"/>
    <col min="33" max="16384" width="9.140625" style="180"/>
  </cols>
  <sheetData>
    <row r="1" spans="1:30" s="185" customFormat="1" ht="45" customHeight="1" x14ac:dyDescent="0.2">
      <c r="A1" s="41"/>
      <c r="B1" s="41"/>
      <c r="C1" s="41"/>
      <c r="D1" s="293" t="s">
        <v>0</v>
      </c>
      <c r="E1" s="221"/>
      <c r="F1" s="221"/>
      <c r="G1" s="12" t="s">
        <v>1</v>
      </c>
      <c r="H1" s="293" t="s">
        <v>2</v>
      </c>
      <c r="I1" s="221"/>
      <c r="J1" s="221"/>
      <c r="K1" s="221"/>
      <c r="L1" s="221"/>
      <c r="M1" s="221"/>
      <c r="N1" s="221"/>
      <c r="O1" s="221"/>
      <c r="P1" s="221"/>
      <c r="Q1" s="386" t="s">
        <v>3</v>
      </c>
      <c r="R1" s="221"/>
      <c r="S1" s="221"/>
      <c r="T1" s="13"/>
      <c r="U1" s="13"/>
      <c r="V1" s="13"/>
      <c r="W1" s="13"/>
      <c r="X1" s="13"/>
      <c r="Y1" s="13"/>
      <c r="Z1" s="13"/>
      <c r="AA1" s="53"/>
      <c r="AB1" s="53"/>
      <c r="AC1" s="53"/>
      <c r="AD1" s="53"/>
    </row>
    <row r="2" spans="1:30" s="185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265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P2" s="202"/>
      <c r="Q2" s="202"/>
      <c r="R2" s="202"/>
      <c r="S2" s="202"/>
      <c r="T2" s="202"/>
      <c r="U2" s="202"/>
      <c r="V2" s="202"/>
      <c r="W2" s="16"/>
      <c r="X2" s="16"/>
      <c r="Y2" s="16"/>
      <c r="Z2" s="16"/>
      <c r="AA2" s="51"/>
      <c r="AB2" s="51"/>
      <c r="AC2" s="51"/>
    </row>
    <row r="3" spans="1:30" s="185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5"/>
      <c r="M3" s="15"/>
      <c r="N3" s="15"/>
      <c r="O3" s="202"/>
      <c r="P3" s="202"/>
      <c r="Q3" s="202"/>
      <c r="R3" s="202"/>
      <c r="S3" s="202"/>
      <c r="T3" s="202"/>
      <c r="U3" s="202"/>
      <c r="V3" s="202"/>
      <c r="W3" s="16"/>
      <c r="X3" s="16"/>
      <c r="Y3" s="16"/>
      <c r="Z3" s="16"/>
      <c r="AA3" s="51"/>
      <c r="AB3" s="51"/>
      <c r="AC3" s="51"/>
    </row>
    <row r="4" spans="1:30" s="185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20"/>
      <c r="Q4" s="20"/>
      <c r="R4" s="20"/>
      <c r="S4" s="20"/>
      <c r="T4" s="20"/>
      <c r="U4" s="21"/>
      <c r="V4" s="22"/>
      <c r="W4" s="22"/>
      <c r="X4" s="22"/>
      <c r="Y4" s="22"/>
      <c r="Z4" s="22"/>
      <c r="AA4" s="51"/>
      <c r="AB4" s="51"/>
      <c r="AC4" s="51"/>
    </row>
    <row r="5" spans="1:30" s="185" customFormat="1" ht="23.45" customHeight="1" x14ac:dyDescent="0.2">
      <c r="A5" s="299" t="s">
        <v>8</v>
      </c>
      <c r="B5" s="211"/>
      <c r="C5" s="212"/>
      <c r="D5" s="249"/>
      <c r="E5" s="251"/>
      <c r="F5" s="364" t="s">
        <v>9</v>
      </c>
      <c r="G5" s="212"/>
      <c r="H5" s="249" t="s">
        <v>406</v>
      </c>
      <c r="I5" s="250"/>
      <c r="J5" s="250"/>
      <c r="K5" s="250"/>
      <c r="L5" s="251"/>
      <c r="M5" s="62"/>
      <c r="O5" s="24" t="s">
        <v>10</v>
      </c>
      <c r="P5" s="379">
        <v>45417</v>
      </c>
      <c r="Q5" s="240"/>
      <c r="S5" s="325" t="s">
        <v>11</v>
      </c>
      <c r="T5" s="254"/>
      <c r="U5" s="327" t="s">
        <v>12</v>
      </c>
      <c r="V5" s="240"/>
      <c r="AA5" s="51"/>
      <c r="AB5" s="51"/>
      <c r="AC5" s="51"/>
    </row>
    <row r="6" spans="1:30" s="185" customFormat="1" ht="24" customHeight="1" x14ac:dyDescent="0.2">
      <c r="A6" s="299" t="s">
        <v>13</v>
      </c>
      <c r="B6" s="211"/>
      <c r="C6" s="212"/>
      <c r="D6" s="238" t="s">
        <v>14</v>
      </c>
      <c r="E6" s="239"/>
      <c r="F6" s="239"/>
      <c r="G6" s="239"/>
      <c r="H6" s="239"/>
      <c r="I6" s="239"/>
      <c r="J6" s="239"/>
      <c r="K6" s="239"/>
      <c r="L6" s="240"/>
      <c r="M6" s="63"/>
      <c r="O6" s="24" t="s">
        <v>15</v>
      </c>
      <c r="P6" s="213" t="str">
        <f>IF(P5=0," ",CHOOSE(WEEKDAY(P5,2),"Понедельник","Вторник","Среда","Четверг","Пятница","Суббота","Воскресенье"))</f>
        <v>Воскресенье</v>
      </c>
      <c r="Q6" s="196"/>
      <c r="S6" s="253" t="s">
        <v>16</v>
      </c>
      <c r="T6" s="254"/>
      <c r="U6" s="232" t="s">
        <v>17</v>
      </c>
      <c r="V6" s="233"/>
      <c r="AA6" s="51"/>
      <c r="AB6" s="51"/>
      <c r="AC6" s="51"/>
    </row>
    <row r="7" spans="1:30" s="185" customFormat="1" ht="21.75" hidden="1" customHeight="1" x14ac:dyDescent="0.2">
      <c r="A7" s="55"/>
      <c r="B7" s="55"/>
      <c r="C7" s="55"/>
      <c r="D7" s="223" t="str">
        <f>IFERROR(VLOOKUP(DeliveryAddress,Table,3,0),1)</f>
        <v>1</v>
      </c>
      <c r="E7" s="224"/>
      <c r="F7" s="224"/>
      <c r="G7" s="224"/>
      <c r="H7" s="224"/>
      <c r="I7" s="224"/>
      <c r="J7" s="224"/>
      <c r="K7" s="224"/>
      <c r="L7" s="225"/>
      <c r="M7" s="64"/>
      <c r="O7" s="24"/>
      <c r="P7" s="42"/>
      <c r="Q7" s="42"/>
      <c r="S7" s="202"/>
      <c r="T7" s="254"/>
      <c r="U7" s="234"/>
      <c r="V7" s="235"/>
      <c r="AA7" s="51"/>
      <c r="AB7" s="51"/>
      <c r="AC7" s="51"/>
    </row>
    <row r="8" spans="1:30" s="185" customFormat="1" ht="25.5" customHeight="1" x14ac:dyDescent="0.2">
      <c r="A8" s="388" t="s">
        <v>18</v>
      </c>
      <c r="B8" s="199"/>
      <c r="C8" s="200"/>
      <c r="D8" s="383" t="s">
        <v>19</v>
      </c>
      <c r="E8" s="384"/>
      <c r="F8" s="384"/>
      <c r="G8" s="384"/>
      <c r="H8" s="384"/>
      <c r="I8" s="384"/>
      <c r="J8" s="384"/>
      <c r="K8" s="384"/>
      <c r="L8" s="385"/>
      <c r="M8" s="65"/>
      <c r="O8" s="24" t="s">
        <v>20</v>
      </c>
      <c r="P8" s="314">
        <v>0.33333333333333331</v>
      </c>
      <c r="Q8" s="225"/>
      <c r="S8" s="202"/>
      <c r="T8" s="254"/>
      <c r="U8" s="234"/>
      <c r="V8" s="235"/>
      <c r="AA8" s="51"/>
      <c r="AB8" s="51"/>
      <c r="AC8" s="51"/>
    </row>
    <row r="9" spans="1:30" s="185" customFormat="1" ht="39.950000000000003" customHeight="1" x14ac:dyDescent="0.2">
      <c r="A9" s="207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202"/>
      <c r="C9" s="202"/>
      <c r="D9" s="206"/>
      <c r="E9" s="193"/>
      <c r="F9" s="207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202"/>
      <c r="H9" s="192" t="str">
        <f>IF(AND($A$9="Тип доверенности/получателя при получении в адресе перегруза:",$D$9="Разовая доверенность"),"Введите ФИО","")</f>
        <v/>
      </c>
      <c r="I9" s="193"/>
      <c r="J9" s="192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193"/>
      <c r="L9" s="193"/>
      <c r="M9" s="186"/>
      <c r="O9" s="26" t="s">
        <v>21</v>
      </c>
      <c r="P9" s="303"/>
      <c r="Q9" s="231"/>
      <c r="S9" s="202"/>
      <c r="T9" s="254"/>
      <c r="U9" s="236"/>
      <c r="V9" s="237"/>
      <c r="W9" s="43"/>
      <c r="X9" s="43"/>
      <c r="Y9" s="43"/>
      <c r="Z9" s="43"/>
      <c r="AA9" s="51"/>
      <c r="AB9" s="51"/>
      <c r="AC9" s="51"/>
    </row>
    <row r="10" spans="1:30" s="185" customFormat="1" ht="26.45" customHeight="1" x14ac:dyDescent="0.2">
      <c r="A10" s="207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202"/>
      <c r="C10" s="202"/>
      <c r="D10" s="206"/>
      <c r="E10" s="193"/>
      <c r="F10" s="207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202"/>
      <c r="H10" s="352" t="str">
        <f>IFERROR(VLOOKUP($D$10,Proxy,2,FALSE),"")</f>
        <v/>
      </c>
      <c r="I10" s="202"/>
      <c r="J10" s="202"/>
      <c r="K10" s="202"/>
      <c r="L10" s="202"/>
      <c r="M10" s="184"/>
      <c r="O10" s="26" t="s">
        <v>22</v>
      </c>
      <c r="P10" s="331"/>
      <c r="Q10" s="332"/>
      <c r="T10" s="24" t="s">
        <v>23</v>
      </c>
      <c r="U10" s="273" t="s">
        <v>24</v>
      </c>
      <c r="V10" s="233"/>
      <c r="W10" s="44"/>
      <c r="X10" s="44"/>
      <c r="Y10" s="44"/>
      <c r="Z10" s="44"/>
      <c r="AA10" s="51"/>
      <c r="AB10" s="51"/>
      <c r="AC10" s="51"/>
    </row>
    <row r="11" spans="1:30" s="185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O11" s="26" t="s">
        <v>26</v>
      </c>
      <c r="P11" s="304"/>
      <c r="Q11" s="240"/>
      <c r="T11" s="24" t="s">
        <v>27</v>
      </c>
      <c r="U11" s="230" t="s">
        <v>28</v>
      </c>
      <c r="V11" s="231"/>
      <c r="W11" s="45"/>
      <c r="X11" s="45"/>
      <c r="Y11" s="45"/>
      <c r="Z11" s="45"/>
      <c r="AA11" s="51"/>
      <c r="AB11" s="51"/>
      <c r="AC11" s="51"/>
    </row>
    <row r="12" spans="1:30" s="185" customFormat="1" ht="18.600000000000001" customHeight="1" x14ac:dyDescent="0.2">
      <c r="A12" s="210" t="s">
        <v>29</v>
      </c>
      <c r="B12" s="211"/>
      <c r="C12" s="211"/>
      <c r="D12" s="211"/>
      <c r="E12" s="211"/>
      <c r="F12" s="211"/>
      <c r="G12" s="211"/>
      <c r="H12" s="211"/>
      <c r="I12" s="211"/>
      <c r="J12" s="211"/>
      <c r="K12" s="211"/>
      <c r="L12" s="212"/>
      <c r="M12" s="66"/>
      <c r="O12" s="24" t="s">
        <v>30</v>
      </c>
      <c r="P12" s="314"/>
      <c r="Q12" s="225"/>
      <c r="R12" s="23"/>
      <c r="T12" s="24"/>
      <c r="U12" s="221"/>
      <c r="V12" s="202"/>
      <c r="AA12" s="51"/>
      <c r="AB12" s="51"/>
      <c r="AC12" s="51"/>
    </row>
    <row r="13" spans="1:30" s="185" customFormat="1" ht="23.25" customHeight="1" x14ac:dyDescent="0.2">
      <c r="A13" s="210" t="s">
        <v>31</v>
      </c>
      <c r="B13" s="211"/>
      <c r="C13" s="211"/>
      <c r="D13" s="211"/>
      <c r="E13" s="211"/>
      <c r="F13" s="211"/>
      <c r="G13" s="211"/>
      <c r="H13" s="211"/>
      <c r="I13" s="211"/>
      <c r="J13" s="211"/>
      <c r="K13" s="211"/>
      <c r="L13" s="212"/>
      <c r="M13" s="66"/>
      <c r="N13" s="26"/>
      <c r="O13" s="26" t="s">
        <v>32</v>
      </c>
      <c r="P13" s="230"/>
      <c r="Q13" s="231"/>
      <c r="R13" s="23"/>
      <c r="W13" s="49"/>
      <c r="X13" s="49"/>
      <c r="Y13" s="49"/>
      <c r="Z13" s="49"/>
      <c r="AA13" s="51"/>
      <c r="AB13" s="51"/>
      <c r="AC13" s="51"/>
    </row>
    <row r="14" spans="1:30" s="185" customFormat="1" ht="18.600000000000001" customHeight="1" x14ac:dyDescent="0.2">
      <c r="A14" s="210" t="s">
        <v>33</v>
      </c>
      <c r="B14" s="211"/>
      <c r="C14" s="211"/>
      <c r="D14" s="211"/>
      <c r="E14" s="211"/>
      <c r="F14" s="211"/>
      <c r="G14" s="211"/>
      <c r="H14" s="211"/>
      <c r="I14" s="211"/>
      <c r="J14" s="211"/>
      <c r="K14" s="211"/>
      <c r="L14" s="212"/>
      <c r="M14" s="66"/>
      <c r="W14" s="50"/>
      <c r="X14" s="50"/>
      <c r="Y14" s="50"/>
      <c r="Z14" s="50"/>
      <c r="AA14" s="51"/>
      <c r="AB14" s="51"/>
      <c r="AC14" s="51"/>
    </row>
    <row r="15" spans="1:30" s="185" customFormat="1" ht="22.5" customHeight="1" x14ac:dyDescent="0.2">
      <c r="A15" s="373" t="s">
        <v>34</v>
      </c>
      <c r="B15" s="211"/>
      <c r="C15" s="211"/>
      <c r="D15" s="211"/>
      <c r="E15" s="211"/>
      <c r="F15" s="211"/>
      <c r="G15" s="211"/>
      <c r="H15" s="211"/>
      <c r="I15" s="211"/>
      <c r="J15" s="211"/>
      <c r="K15" s="211"/>
      <c r="L15" s="212"/>
      <c r="M15" s="67"/>
      <c r="O15" s="220" t="s">
        <v>35</v>
      </c>
      <c r="P15" s="221"/>
      <c r="Q15" s="221"/>
      <c r="R15" s="221"/>
      <c r="S15" s="221"/>
      <c r="AA15" s="51"/>
      <c r="AB15" s="51"/>
      <c r="AC15" s="51"/>
    </row>
    <row r="16" spans="1:30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222"/>
      <c r="P16" s="222"/>
      <c r="Q16" s="222"/>
      <c r="R16" s="222"/>
      <c r="S16" s="222"/>
      <c r="T16" s="7"/>
      <c r="U16" s="7"/>
      <c r="V16" s="8"/>
      <c r="W16" s="9"/>
      <c r="X16" s="9"/>
      <c r="Y16" s="9"/>
      <c r="Z16" s="9"/>
      <c r="AA16" s="9"/>
    </row>
    <row r="17" spans="1:54" ht="27.75" customHeight="1" x14ac:dyDescent="0.2">
      <c r="A17" s="208" t="s">
        <v>36</v>
      </c>
      <c r="B17" s="208" t="s">
        <v>37</v>
      </c>
      <c r="C17" s="306" t="s">
        <v>38</v>
      </c>
      <c r="D17" s="208" t="s">
        <v>39</v>
      </c>
      <c r="E17" s="258"/>
      <c r="F17" s="208" t="s">
        <v>40</v>
      </c>
      <c r="G17" s="208" t="s">
        <v>41</v>
      </c>
      <c r="H17" s="208" t="s">
        <v>42</v>
      </c>
      <c r="I17" s="208" t="s">
        <v>43</v>
      </c>
      <c r="J17" s="208" t="s">
        <v>44</v>
      </c>
      <c r="K17" s="208" t="s">
        <v>45</v>
      </c>
      <c r="L17" s="208" t="s">
        <v>46</v>
      </c>
      <c r="M17" s="208" t="s">
        <v>47</v>
      </c>
      <c r="N17" s="208" t="s">
        <v>48</v>
      </c>
      <c r="O17" s="208" t="s">
        <v>49</v>
      </c>
      <c r="P17" s="257"/>
      <c r="Q17" s="257"/>
      <c r="R17" s="257"/>
      <c r="S17" s="258"/>
      <c r="T17" s="372" t="s">
        <v>50</v>
      </c>
      <c r="U17" s="212"/>
      <c r="V17" s="208" t="s">
        <v>51</v>
      </c>
      <c r="W17" s="208" t="s">
        <v>52</v>
      </c>
      <c r="X17" s="381" t="s">
        <v>53</v>
      </c>
      <c r="Y17" s="208" t="s">
        <v>54</v>
      </c>
      <c r="Z17" s="275" t="s">
        <v>55</v>
      </c>
      <c r="AA17" s="275" t="s">
        <v>56</v>
      </c>
      <c r="AB17" s="275" t="s">
        <v>57</v>
      </c>
      <c r="AC17" s="276"/>
      <c r="AD17" s="277"/>
      <c r="AE17" s="281"/>
      <c r="BB17" s="370" t="s">
        <v>58</v>
      </c>
    </row>
    <row r="18" spans="1:54" ht="14.25" customHeight="1" x14ac:dyDescent="0.2">
      <c r="A18" s="209"/>
      <c r="B18" s="209"/>
      <c r="C18" s="209"/>
      <c r="D18" s="259"/>
      <c r="E18" s="261"/>
      <c r="F18" s="209"/>
      <c r="G18" s="209"/>
      <c r="H18" s="209"/>
      <c r="I18" s="209"/>
      <c r="J18" s="209"/>
      <c r="K18" s="209"/>
      <c r="L18" s="209"/>
      <c r="M18" s="209"/>
      <c r="N18" s="209"/>
      <c r="O18" s="259"/>
      <c r="P18" s="260"/>
      <c r="Q18" s="260"/>
      <c r="R18" s="260"/>
      <c r="S18" s="261"/>
      <c r="T18" s="183" t="s">
        <v>59</v>
      </c>
      <c r="U18" s="183" t="s">
        <v>60</v>
      </c>
      <c r="V18" s="209"/>
      <c r="W18" s="209"/>
      <c r="X18" s="382"/>
      <c r="Y18" s="209"/>
      <c r="Z18" s="347"/>
      <c r="AA18" s="347"/>
      <c r="AB18" s="278"/>
      <c r="AC18" s="279"/>
      <c r="AD18" s="280"/>
      <c r="AE18" s="282"/>
      <c r="BB18" s="202"/>
    </row>
    <row r="19" spans="1:54" ht="27.75" hidden="1" customHeight="1" x14ac:dyDescent="0.2">
      <c r="A19" s="226" t="s">
        <v>61</v>
      </c>
      <c r="B19" s="227"/>
      <c r="C19" s="227"/>
      <c r="D19" s="227"/>
      <c r="E19" s="227"/>
      <c r="F19" s="227"/>
      <c r="G19" s="227"/>
      <c r="H19" s="227"/>
      <c r="I19" s="227"/>
      <c r="J19" s="227"/>
      <c r="K19" s="227"/>
      <c r="L19" s="227"/>
      <c r="M19" s="227"/>
      <c r="N19" s="227"/>
      <c r="O19" s="227"/>
      <c r="P19" s="227"/>
      <c r="Q19" s="227"/>
      <c r="R19" s="227"/>
      <c r="S19" s="227"/>
      <c r="T19" s="227"/>
      <c r="U19" s="227"/>
      <c r="V19" s="227"/>
      <c r="W19" s="227"/>
      <c r="X19" s="227"/>
      <c r="Y19" s="227"/>
      <c r="Z19" s="48"/>
      <c r="AA19" s="48"/>
    </row>
    <row r="20" spans="1:54" ht="16.5" hidden="1" customHeight="1" x14ac:dyDescent="0.25">
      <c r="A20" s="218" t="s">
        <v>61</v>
      </c>
      <c r="B20" s="202"/>
      <c r="C20" s="202"/>
      <c r="D20" s="202"/>
      <c r="E20" s="202"/>
      <c r="F20" s="202"/>
      <c r="G20" s="202"/>
      <c r="H20" s="202"/>
      <c r="I20" s="202"/>
      <c r="J20" s="202"/>
      <c r="K20" s="202"/>
      <c r="L20" s="202"/>
      <c r="M20" s="202"/>
      <c r="N20" s="202"/>
      <c r="O20" s="202"/>
      <c r="P20" s="202"/>
      <c r="Q20" s="202"/>
      <c r="R20" s="202"/>
      <c r="S20" s="202"/>
      <c r="T20" s="202"/>
      <c r="U20" s="202"/>
      <c r="V20" s="202"/>
      <c r="W20" s="202"/>
      <c r="X20" s="202"/>
      <c r="Y20" s="202"/>
      <c r="Z20" s="182"/>
      <c r="AA20" s="182"/>
    </row>
    <row r="21" spans="1:54" ht="14.25" hidden="1" customHeight="1" x14ac:dyDescent="0.25">
      <c r="A21" s="201" t="s">
        <v>62</v>
      </c>
      <c r="B21" s="202"/>
      <c r="C21" s="202"/>
      <c r="D21" s="202"/>
      <c r="E21" s="202"/>
      <c r="F21" s="202"/>
      <c r="G21" s="202"/>
      <c r="H21" s="202"/>
      <c r="I21" s="202"/>
      <c r="J21" s="202"/>
      <c r="K21" s="202"/>
      <c r="L21" s="202"/>
      <c r="M21" s="202"/>
      <c r="N21" s="202"/>
      <c r="O21" s="202"/>
      <c r="P21" s="202"/>
      <c r="Q21" s="202"/>
      <c r="R21" s="202"/>
      <c r="S21" s="202"/>
      <c r="T21" s="202"/>
      <c r="U21" s="202"/>
      <c r="V21" s="202"/>
      <c r="W21" s="202"/>
      <c r="X21" s="202"/>
      <c r="Y21" s="202"/>
      <c r="Z21" s="181"/>
      <c r="AA21" s="181"/>
    </row>
    <row r="22" spans="1:54" ht="27" hidden="1" customHeight="1" x14ac:dyDescent="0.25">
      <c r="A22" s="54" t="s">
        <v>63</v>
      </c>
      <c r="B22" s="54" t="s">
        <v>64</v>
      </c>
      <c r="C22" s="31">
        <v>4301070899</v>
      </c>
      <c r="D22" s="197">
        <v>4607111035752</v>
      </c>
      <c r="E22" s="196"/>
      <c r="F22" s="187">
        <v>0.43</v>
      </c>
      <c r="G22" s="32">
        <v>16</v>
      </c>
      <c r="H22" s="187">
        <v>6.88</v>
      </c>
      <c r="I22" s="187">
        <v>7.2539999999999996</v>
      </c>
      <c r="J22" s="32">
        <v>84</v>
      </c>
      <c r="K22" s="32" t="s">
        <v>65</v>
      </c>
      <c r="L22" s="33" t="s">
        <v>66</v>
      </c>
      <c r="M22" s="33"/>
      <c r="N22" s="32">
        <v>180</v>
      </c>
      <c r="O22" s="228" t="str">
        <f>HYPERLINK("https://abi.ru/products/Замороженные/Ядрена копоть/Ядрена копоть/Пельмени/P002928/","Пельмени «С мясом и копченостями» 0,43 сфера ТМ «Ядрена копоть»")</f>
        <v>Пельмени «С мясом и копченостями» 0,43 сфера ТМ «Ядрена копоть»</v>
      </c>
      <c r="P22" s="195"/>
      <c r="Q22" s="195"/>
      <c r="R22" s="195"/>
      <c r="S22" s="196"/>
      <c r="T22" s="34"/>
      <c r="U22" s="34"/>
      <c r="V22" s="35" t="s">
        <v>67</v>
      </c>
      <c r="W22" s="188">
        <v>0</v>
      </c>
      <c r="X22" s="189">
        <f>IFERROR(IF(W22="","",W22),"")</f>
        <v>0</v>
      </c>
      <c r="Y22" s="36">
        <f>IFERROR(IF(W22="","",W22*0.0155),"")</f>
        <v>0</v>
      </c>
      <c r="Z22" s="56"/>
      <c r="AA22" s="57"/>
      <c r="AE22" s="61"/>
      <c r="BB22" s="68" t="s">
        <v>1</v>
      </c>
    </row>
    <row r="23" spans="1:54" hidden="1" x14ac:dyDescent="0.2">
      <c r="A23" s="203"/>
      <c r="B23" s="202"/>
      <c r="C23" s="202"/>
      <c r="D23" s="202"/>
      <c r="E23" s="202"/>
      <c r="F23" s="202"/>
      <c r="G23" s="202"/>
      <c r="H23" s="202"/>
      <c r="I23" s="202"/>
      <c r="J23" s="202"/>
      <c r="K23" s="202"/>
      <c r="L23" s="202"/>
      <c r="M23" s="202"/>
      <c r="N23" s="204"/>
      <c r="O23" s="198" t="s">
        <v>68</v>
      </c>
      <c r="P23" s="199"/>
      <c r="Q23" s="199"/>
      <c r="R23" s="199"/>
      <c r="S23" s="199"/>
      <c r="T23" s="199"/>
      <c r="U23" s="200"/>
      <c r="V23" s="37" t="s">
        <v>67</v>
      </c>
      <c r="W23" s="190">
        <f>IFERROR(SUM(W22:W22),"0")</f>
        <v>0</v>
      </c>
      <c r="X23" s="190">
        <f>IFERROR(SUM(X22:X22),"0")</f>
        <v>0</v>
      </c>
      <c r="Y23" s="190">
        <f>IFERROR(IF(Y22="",0,Y22),"0")</f>
        <v>0</v>
      </c>
      <c r="Z23" s="191"/>
      <c r="AA23" s="191"/>
    </row>
    <row r="24" spans="1:54" hidden="1" x14ac:dyDescent="0.2">
      <c r="A24" s="202"/>
      <c r="B24" s="202"/>
      <c r="C24" s="202"/>
      <c r="D24" s="202"/>
      <c r="E24" s="202"/>
      <c r="F24" s="202"/>
      <c r="G24" s="202"/>
      <c r="H24" s="202"/>
      <c r="I24" s="202"/>
      <c r="J24" s="202"/>
      <c r="K24" s="202"/>
      <c r="L24" s="202"/>
      <c r="M24" s="202"/>
      <c r="N24" s="204"/>
      <c r="O24" s="198" t="s">
        <v>68</v>
      </c>
      <c r="P24" s="199"/>
      <c r="Q24" s="199"/>
      <c r="R24" s="199"/>
      <c r="S24" s="199"/>
      <c r="T24" s="199"/>
      <c r="U24" s="200"/>
      <c r="V24" s="37" t="s">
        <v>69</v>
      </c>
      <c r="W24" s="190">
        <f>IFERROR(SUMPRODUCT(W22:W22*H22:H22),"0")</f>
        <v>0</v>
      </c>
      <c r="X24" s="190">
        <f>IFERROR(SUMPRODUCT(X22:X22*H22:H22),"0")</f>
        <v>0</v>
      </c>
      <c r="Y24" s="37"/>
      <c r="Z24" s="191"/>
      <c r="AA24" s="191"/>
    </row>
    <row r="25" spans="1:54" ht="27.75" hidden="1" customHeight="1" x14ac:dyDescent="0.2">
      <c r="A25" s="226" t="s">
        <v>70</v>
      </c>
      <c r="B25" s="227"/>
      <c r="C25" s="227"/>
      <c r="D25" s="227"/>
      <c r="E25" s="227"/>
      <c r="F25" s="227"/>
      <c r="G25" s="227"/>
      <c r="H25" s="227"/>
      <c r="I25" s="227"/>
      <c r="J25" s="227"/>
      <c r="K25" s="227"/>
      <c r="L25" s="227"/>
      <c r="M25" s="227"/>
      <c r="N25" s="227"/>
      <c r="O25" s="227"/>
      <c r="P25" s="227"/>
      <c r="Q25" s="227"/>
      <c r="R25" s="227"/>
      <c r="S25" s="227"/>
      <c r="T25" s="227"/>
      <c r="U25" s="227"/>
      <c r="V25" s="227"/>
      <c r="W25" s="227"/>
      <c r="X25" s="227"/>
      <c r="Y25" s="227"/>
      <c r="Z25" s="48"/>
      <c r="AA25" s="48"/>
    </row>
    <row r="26" spans="1:54" ht="16.5" hidden="1" customHeight="1" x14ac:dyDescent="0.25">
      <c r="A26" s="218" t="s">
        <v>71</v>
      </c>
      <c r="B26" s="202"/>
      <c r="C26" s="202"/>
      <c r="D26" s="202"/>
      <c r="E26" s="202"/>
      <c r="F26" s="202"/>
      <c r="G26" s="202"/>
      <c r="H26" s="202"/>
      <c r="I26" s="202"/>
      <c r="J26" s="202"/>
      <c r="K26" s="202"/>
      <c r="L26" s="202"/>
      <c r="M26" s="202"/>
      <c r="N26" s="202"/>
      <c r="O26" s="202"/>
      <c r="P26" s="202"/>
      <c r="Q26" s="202"/>
      <c r="R26" s="202"/>
      <c r="S26" s="202"/>
      <c r="T26" s="202"/>
      <c r="U26" s="202"/>
      <c r="V26" s="202"/>
      <c r="W26" s="202"/>
      <c r="X26" s="202"/>
      <c r="Y26" s="202"/>
      <c r="Z26" s="182"/>
      <c r="AA26" s="182"/>
    </row>
    <row r="27" spans="1:54" ht="14.25" hidden="1" customHeight="1" x14ac:dyDescent="0.25">
      <c r="A27" s="201" t="s">
        <v>72</v>
      </c>
      <c r="B27" s="202"/>
      <c r="C27" s="202"/>
      <c r="D27" s="202"/>
      <c r="E27" s="202"/>
      <c r="F27" s="202"/>
      <c r="G27" s="202"/>
      <c r="H27" s="202"/>
      <c r="I27" s="202"/>
      <c r="J27" s="202"/>
      <c r="K27" s="202"/>
      <c r="L27" s="202"/>
      <c r="M27" s="202"/>
      <c r="N27" s="202"/>
      <c r="O27" s="202"/>
      <c r="P27" s="202"/>
      <c r="Q27" s="202"/>
      <c r="R27" s="202"/>
      <c r="S27" s="202"/>
      <c r="T27" s="202"/>
      <c r="U27" s="202"/>
      <c r="V27" s="202"/>
      <c r="W27" s="202"/>
      <c r="X27" s="202"/>
      <c r="Y27" s="202"/>
      <c r="Z27" s="181"/>
      <c r="AA27" s="181"/>
    </row>
    <row r="28" spans="1:54" ht="27" hidden="1" customHeight="1" x14ac:dyDescent="0.25">
      <c r="A28" s="54" t="s">
        <v>73</v>
      </c>
      <c r="B28" s="54" t="s">
        <v>74</v>
      </c>
      <c r="C28" s="31">
        <v>4301132066</v>
      </c>
      <c r="D28" s="197">
        <v>4607111036520</v>
      </c>
      <c r="E28" s="196"/>
      <c r="F28" s="187">
        <v>0.25</v>
      </c>
      <c r="G28" s="32">
        <v>6</v>
      </c>
      <c r="H28" s="187">
        <v>1.5</v>
      </c>
      <c r="I28" s="187">
        <v>1.9218</v>
      </c>
      <c r="J28" s="32">
        <v>126</v>
      </c>
      <c r="K28" s="32" t="s">
        <v>75</v>
      </c>
      <c r="L28" s="33" t="s">
        <v>66</v>
      </c>
      <c r="M28" s="33"/>
      <c r="N28" s="32">
        <v>180</v>
      </c>
      <c r="O28" s="368" t="str">
        <f>HYPERLINK("https://abi.ru/products/Замороженные/Горячая штучка/Наггетсы ГШ/Наггетсы/P003144/","Нагетосы Сочная курочка в хрустящей панировке Наггетсы ГШ Фикс.вес 0,25 Лоток Горячая штучка")</f>
        <v>Нагетосы Сочная курочка в хрустящей панировке Наггетсы ГШ Фикс.вес 0,25 Лоток Горячая штучка</v>
      </c>
      <c r="P28" s="195"/>
      <c r="Q28" s="195"/>
      <c r="R28" s="195"/>
      <c r="S28" s="196"/>
      <c r="T28" s="34"/>
      <c r="U28" s="34"/>
      <c r="V28" s="35" t="s">
        <v>67</v>
      </c>
      <c r="W28" s="188">
        <v>0</v>
      </c>
      <c r="X28" s="189">
        <f>IFERROR(IF(W28="","",W28),"")</f>
        <v>0</v>
      </c>
      <c r="Y28" s="36">
        <f>IFERROR(IF(W28="","",W28*0.00936),"")</f>
        <v>0</v>
      </c>
      <c r="Z28" s="56"/>
      <c r="AA28" s="57"/>
      <c r="AE28" s="61"/>
      <c r="BB28" s="69" t="s">
        <v>76</v>
      </c>
    </row>
    <row r="29" spans="1:54" ht="27" hidden="1" customHeight="1" x14ac:dyDescent="0.25">
      <c r="A29" s="54" t="s">
        <v>77</v>
      </c>
      <c r="B29" s="54" t="s">
        <v>78</v>
      </c>
      <c r="C29" s="31">
        <v>4301132063</v>
      </c>
      <c r="D29" s="197">
        <v>4607111036605</v>
      </c>
      <c r="E29" s="196"/>
      <c r="F29" s="187">
        <v>0.25</v>
      </c>
      <c r="G29" s="32">
        <v>6</v>
      </c>
      <c r="H29" s="187">
        <v>1.5</v>
      </c>
      <c r="I29" s="187">
        <v>1.9218</v>
      </c>
      <c r="J29" s="32">
        <v>126</v>
      </c>
      <c r="K29" s="32" t="s">
        <v>75</v>
      </c>
      <c r="L29" s="33" t="s">
        <v>66</v>
      </c>
      <c r="M29" s="33"/>
      <c r="N29" s="32">
        <v>180</v>
      </c>
      <c r="O29" s="214" t="str">
        <f>HYPERLINK("https://abi.ru/products/Замороженные/Горячая штучка/Наггетсы ГШ/Наггетсы/P003141/","Нагетосы Сочная курочка в хрустящей панировке со сметаной и зеленью Наггетсы ГШ Фикс.вес 0,25 Лоток Горячая штучка")</f>
        <v>Нагетосы Сочная курочка в хрустящей панировке со сметаной и зеленью Наггетсы ГШ Фикс.вес 0,25 Лоток Горячая штучка</v>
      </c>
      <c r="P29" s="195"/>
      <c r="Q29" s="195"/>
      <c r="R29" s="195"/>
      <c r="S29" s="196"/>
      <c r="T29" s="34"/>
      <c r="U29" s="34"/>
      <c r="V29" s="35" t="s">
        <v>67</v>
      </c>
      <c r="W29" s="188">
        <v>0</v>
      </c>
      <c r="X29" s="189">
        <f>IFERROR(IF(W29="","",W29),"")</f>
        <v>0</v>
      </c>
      <c r="Y29" s="36">
        <f>IFERROR(IF(W29="","",W29*0.00936),"")</f>
        <v>0</v>
      </c>
      <c r="Z29" s="56"/>
      <c r="AA29" s="57"/>
      <c r="AE29" s="61"/>
      <c r="BB29" s="70" t="s">
        <v>76</v>
      </c>
    </row>
    <row r="30" spans="1:54" ht="27" hidden="1" customHeight="1" x14ac:dyDescent="0.25">
      <c r="A30" s="54" t="s">
        <v>79</v>
      </c>
      <c r="B30" s="54" t="s">
        <v>80</v>
      </c>
      <c r="C30" s="31">
        <v>4301132064</v>
      </c>
      <c r="D30" s="197">
        <v>4607111036537</v>
      </c>
      <c r="E30" s="196"/>
      <c r="F30" s="187">
        <v>0.25</v>
      </c>
      <c r="G30" s="32">
        <v>6</v>
      </c>
      <c r="H30" s="187">
        <v>1.5</v>
      </c>
      <c r="I30" s="187">
        <v>1.9218</v>
      </c>
      <c r="J30" s="32">
        <v>126</v>
      </c>
      <c r="K30" s="32" t="s">
        <v>75</v>
      </c>
      <c r="L30" s="33" t="s">
        <v>66</v>
      </c>
      <c r="M30" s="33"/>
      <c r="N30" s="32">
        <v>180</v>
      </c>
      <c r="O30" s="194" t="str">
        <f>HYPERLINK("https://abi.ru/products/Замороженные/Горячая штучка/Наггетсы ГШ/Наггетсы/P003143/","Нагетосы Сочная курочка Наггетсы ГШ Фикс.вес 0,25 Лоток Горячая штучка")</f>
        <v>Нагетосы Сочная курочка Наггетсы ГШ Фикс.вес 0,25 Лоток Горячая штучка</v>
      </c>
      <c r="P30" s="195"/>
      <c r="Q30" s="195"/>
      <c r="R30" s="195"/>
      <c r="S30" s="196"/>
      <c r="T30" s="34"/>
      <c r="U30" s="34"/>
      <c r="V30" s="35" t="s">
        <v>67</v>
      </c>
      <c r="W30" s="188">
        <v>0</v>
      </c>
      <c r="X30" s="189">
        <f>IFERROR(IF(W30="","",W30),"")</f>
        <v>0</v>
      </c>
      <c r="Y30" s="36">
        <f>IFERROR(IF(W30="","",W30*0.00936),"")</f>
        <v>0</v>
      </c>
      <c r="Z30" s="56"/>
      <c r="AA30" s="57"/>
      <c r="AE30" s="61"/>
      <c r="BB30" s="71" t="s">
        <v>76</v>
      </c>
    </row>
    <row r="31" spans="1:54" ht="27" hidden="1" customHeight="1" x14ac:dyDescent="0.25">
      <c r="A31" s="54" t="s">
        <v>81</v>
      </c>
      <c r="B31" s="54" t="s">
        <v>82</v>
      </c>
      <c r="C31" s="31">
        <v>4301132065</v>
      </c>
      <c r="D31" s="197">
        <v>4607111036599</v>
      </c>
      <c r="E31" s="196"/>
      <c r="F31" s="187">
        <v>0.25</v>
      </c>
      <c r="G31" s="32">
        <v>6</v>
      </c>
      <c r="H31" s="187">
        <v>1.5</v>
      </c>
      <c r="I31" s="187">
        <v>1.9218</v>
      </c>
      <c r="J31" s="32">
        <v>126</v>
      </c>
      <c r="K31" s="32" t="s">
        <v>75</v>
      </c>
      <c r="L31" s="33" t="s">
        <v>66</v>
      </c>
      <c r="M31" s="33"/>
      <c r="N31" s="32">
        <v>180</v>
      </c>
      <c r="O31" s="219" t="str">
        <f>HYPERLINK("https://abi.ru/products/Замороженные/Горячая штучка/Наггетсы ГШ/Наггетсы/P003142/","Нагетосы Сочная курочка со сладкой паприкой Наггетсы ГШ Фикс.вес 0,25 Лоток Горячая штучка")</f>
        <v>Нагетосы Сочная курочка со сладкой паприкой Наггетсы ГШ Фикс.вес 0,25 Лоток Горячая штучка</v>
      </c>
      <c r="P31" s="195"/>
      <c r="Q31" s="195"/>
      <c r="R31" s="195"/>
      <c r="S31" s="196"/>
      <c r="T31" s="34"/>
      <c r="U31" s="34"/>
      <c r="V31" s="35" t="s">
        <v>67</v>
      </c>
      <c r="W31" s="188">
        <v>0</v>
      </c>
      <c r="X31" s="189">
        <f>IFERROR(IF(W31="","",W31),"")</f>
        <v>0</v>
      </c>
      <c r="Y31" s="36">
        <f>IFERROR(IF(W31="","",W31*0.00936),"")</f>
        <v>0</v>
      </c>
      <c r="Z31" s="56"/>
      <c r="AA31" s="57"/>
      <c r="AE31" s="61"/>
      <c r="BB31" s="72" t="s">
        <v>76</v>
      </c>
    </row>
    <row r="32" spans="1:54" hidden="1" x14ac:dyDescent="0.2">
      <c r="A32" s="203"/>
      <c r="B32" s="202"/>
      <c r="C32" s="202"/>
      <c r="D32" s="202"/>
      <c r="E32" s="202"/>
      <c r="F32" s="202"/>
      <c r="G32" s="202"/>
      <c r="H32" s="202"/>
      <c r="I32" s="202"/>
      <c r="J32" s="202"/>
      <c r="K32" s="202"/>
      <c r="L32" s="202"/>
      <c r="M32" s="202"/>
      <c r="N32" s="204"/>
      <c r="O32" s="198" t="s">
        <v>68</v>
      </c>
      <c r="P32" s="199"/>
      <c r="Q32" s="199"/>
      <c r="R32" s="199"/>
      <c r="S32" s="199"/>
      <c r="T32" s="199"/>
      <c r="U32" s="200"/>
      <c r="V32" s="37" t="s">
        <v>67</v>
      </c>
      <c r="W32" s="190">
        <f>IFERROR(SUM(W28:W31),"0")</f>
        <v>0</v>
      </c>
      <c r="X32" s="190">
        <f>IFERROR(SUM(X28:X31),"0")</f>
        <v>0</v>
      </c>
      <c r="Y32" s="190">
        <f>IFERROR(IF(Y28="",0,Y28),"0")+IFERROR(IF(Y29="",0,Y29),"0")+IFERROR(IF(Y30="",0,Y30),"0")+IFERROR(IF(Y31="",0,Y31),"0")</f>
        <v>0</v>
      </c>
      <c r="Z32" s="191"/>
      <c r="AA32" s="191"/>
    </row>
    <row r="33" spans="1:54" hidden="1" x14ac:dyDescent="0.2">
      <c r="A33" s="202"/>
      <c r="B33" s="202"/>
      <c r="C33" s="202"/>
      <c r="D33" s="202"/>
      <c r="E33" s="202"/>
      <c r="F33" s="202"/>
      <c r="G33" s="202"/>
      <c r="H33" s="202"/>
      <c r="I33" s="202"/>
      <c r="J33" s="202"/>
      <c r="K33" s="202"/>
      <c r="L33" s="202"/>
      <c r="M33" s="202"/>
      <c r="N33" s="204"/>
      <c r="O33" s="198" t="s">
        <v>68</v>
      </c>
      <c r="P33" s="199"/>
      <c r="Q33" s="199"/>
      <c r="R33" s="199"/>
      <c r="S33" s="199"/>
      <c r="T33" s="199"/>
      <c r="U33" s="200"/>
      <c r="V33" s="37" t="s">
        <v>69</v>
      </c>
      <c r="W33" s="190">
        <f>IFERROR(SUMPRODUCT(W28:W31*H28:H31),"0")</f>
        <v>0</v>
      </c>
      <c r="X33" s="190">
        <f>IFERROR(SUMPRODUCT(X28:X31*H28:H31),"0")</f>
        <v>0</v>
      </c>
      <c r="Y33" s="37"/>
      <c r="Z33" s="191"/>
      <c r="AA33" s="191"/>
    </row>
    <row r="34" spans="1:54" ht="16.5" hidden="1" customHeight="1" x14ac:dyDescent="0.25">
      <c r="A34" s="218" t="s">
        <v>83</v>
      </c>
      <c r="B34" s="202"/>
      <c r="C34" s="202"/>
      <c r="D34" s="202"/>
      <c r="E34" s="202"/>
      <c r="F34" s="202"/>
      <c r="G34" s="202"/>
      <c r="H34" s="202"/>
      <c r="I34" s="202"/>
      <c r="J34" s="202"/>
      <c r="K34" s="202"/>
      <c r="L34" s="202"/>
      <c r="M34" s="202"/>
      <c r="N34" s="202"/>
      <c r="O34" s="202"/>
      <c r="P34" s="202"/>
      <c r="Q34" s="202"/>
      <c r="R34" s="202"/>
      <c r="S34" s="202"/>
      <c r="T34" s="202"/>
      <c r="U34" s="202"/>
      <c r="V34" s="202"/>
      <c r="W34" s="202"/>
      <c r="X34" s="202"/>
      <c r="Y34" s="202"/>
      <c r="Z34" s="182"/>
      <c r="AA34" s="182"/>
    </row>
    <row r="35" spans="1:54" ht="14.25" hidden="1" customHeight="1" x14ac:dyDescent="0.25">
      <c r="A35" s="201" t="s">
        <v>62</v>
      </c>
      <c r="B35" s="202"/>
      <c r="C35" s="202"/>
      <c r="D35" s="202"/>
      <c r="E35" s="202"/>
      <c r="F35" s="202"/>
      <c r="G35" s="202"/>
      <c r="H35" s="202"/>
      <c r="I35" s="202"/>
      <c r="J35" s="202"/>
      <c r="K35" s="202"/>
      <c r="L35" s="202"/>
      <c r="M35" s="202"/>
      <c r="N35" s="202"/>
      <c r="O35" s="202"/>
      <c r="P35" s="202"/>
      <c r="Q35" s="202"/>
      <c r="R35" s="202"/>
      <c r="S35" s="202"/>
      <c r="T35" s="202"/>
      <c r="U35" s="202"/>
      <c r="V35" s="202"/>
      <c r="W35" s="202"/>
      <c r="X35" s="202"/>
      <c r="Y35" s="202"/>
      <c r="Z35" s="181"/>
      <c r="AA35" s="181"/>
    </row>
    <row r="36" spans="1:54" ht="27" hidden="1" customHeight="1" x14ac:dyDescent="0.25">
      <c r="A36" s="54" t="s">
        <v>84</v>
      </c>
      <c r="B36" s="54" t="s">
        <v>85</v>
      </c>
      <c r="C36" s="31">
        <v>4301070865</v>
      </c>
      <c r="D36" s="197">
        <v>4607111036285</v>
      </c>
      <c r="E36" s="196"/>
      <c r="F36" s="187">
        <v>0.75</v>
      </c>
      <c r="G36" s="32">
        <v>8</v>
      </c>
      <c r="H36" s="187">
        <v>6</v>
      </c>
      <c r="I36" s="187">
        <v>6.27</v>
      </c>
      <c r="J36" s="32">
        <v>84</v>
      </c>
      <c r="K36" s="32" t="s">
        <v>65</v>
      </c>
      <c r="L36" s="33" t="s">
        <v>66</v>
      </c>
      <c r="M36" s="33"/>
      <c r="N36" s="32">
        <v>180</v>
      </c>
      <c r="O36" s="369" t="str">
        <f>HYPERLINK("https://abi.ru/products/Замороженные/Горячая штучка/Grandmeni/Пельмени/P002646/","Пельмени Grandmeni с говядиной Grandmeni 0,75 Сфера Горячая штучка")</f>
        <v>Пельмени Grandmeni с говядиной Grandmeni 0,75 Сфера Горячая штучка</v>
      </c>
      <c r="P36" s="195"/>
      <c r="Q36" s="195"/>
      <c r="R36" s="195"/>
      <c r="S36" s="196"/>
      <c r="T36" s="34"/>
      <c r="U36" s="34"/>
      <c r="V36" s="35" t="s">
        <v>67</v>
      </c>
      <c r="W36" s="188">
        <v>0</v>
      </c>
      <c r="X36" s="189">
        <f>IFERROR(IF(W36="","",W36),"")</f>
        <v>0</v>
      </c>
      <c r="Y36" s="36">
        <f>IFERROR(IF(W36="","",W36*0.0155),"")</f>
        <v>0</v>
      </c>
      <c r="Z36" s="56"/>
      <c r="AA36" s="57"/>
      <c r="AE36" s="61"/>
      <c r="BB36" s="73" t="s">
        <v>1</v>
      </c>
    </row>
    <row r="37" spans="1:54" ht="27" hidden="1" customHeight="1" x14ac:dyDescent="0.25">
      <c r="A37" s="54" t="s">
        <v>86</v>
      </c>
      <c r="B37" s="54" t="s">
        <v>87</v>
      </c>
      <c r="C37" s="31">
        <v>4301070861</v>
      </c>
      <c r="D37" s="197">
        <v>4607111036308</v>
      </c>
      <c r="E37" s="196"/>
      <c r="F37" s="187">
        <v>0.75</v>
      </c>
      <c r="G37" s="32">
        <v>8</v>
      </c>
      <c r="H37" s="187">
        <v>6</v>
      </c>
      <c r="I37" s="187">
        <v>6.27</v>
      </c>
      <c r="J37" s="32">
        <v>84</v>
      </c>
      <c r="K37" s="32" t="s">
        <v>65</v>
      </c>
      <c r="L37" s="33" t="s">
        <v>66</v>
      </c>
      <c r="M37" s="33"/>
      <c r="N37" s="32">
        <v>180</v>
      </c>
      <c r="O37" s="316" t="s">
        <v>88</v>
      </c>
      <c r="P37" s="195"/>
      <c r="Q37" s="195"/>
      <c r="R37" s="195"/>
      <c r="S37" s="196"/>
      <c r="T37" s="34"/>
      <c r="U37" s="34"/>
      <c r="V37" s="35" t="s">
        <v>67</v>
      </c>
      <c r="W37" s="188">
        <v>0</v>
      </c>
      <c r="X37" s="189">
        <f>IFERROR(IF(W37="","",W37),"")</f>
        <v>0</v>
      </c>
      <c r="Y37" s="36">
        <f>IFERROR(IF(W37="","",W37*0.0155),"")</f>
        <v>0</v>
      </c>
      <c r="Z37" s="56"/>
      <c r="AA37" s="57"/>
      <c r="AE37" s="61"/>
      <c r="BB37" s="74" t="s">
        <v>1</v>
      </c>
    </row>
    <row r="38" spans="1:54" ht="27" hidden="1" customHeight="1" x14ac:dyDescent="0.25">
      <c r="A38" s="54" t="s">
        <v>89</v>
      </c>
      <c r="B38" s="54" t="s">
        <v>90</v>
      </c>
      <c r="C38" s="31">
        <v>4301070884</v>
      </c>
      <c r="D38" s="197">
        <v>4607111036315</v>
      </c>
      <c r="E38" s="196"/>
      <c r="F38" s="187">
        <v>0.75</v>
      </c>
      <c r="G38" s="32">
        <v>8</v>
      </c>
      <c r="H38" s="187">
        <v>6</v>
      </c>
      <c r="I38" s="187">
        <v>6.27</v>
      </c>
      <c r="J38" s="32">
        <v>84</v>
      </c>
      <c r="K38" s="32" t="s">
        <v>65</v>
      </c>
      <c r="L38" s="33" t="s">
        <v>66</v>
      </c>
      <c r="M38" s="33"/>
      <c r="N38" s="32">
        <v>180</v>
      </c>
      <c r="O38" s="367" t="str">
        <f>HYPERLINK("https://abi.ru/products/Замороженные/Горячая штучка/Grandmeni/Пельмени/P002782/","Пельмени Grandmeni с говядиной и свининой Grandmeni 0,75 Сфера Горячая штучка")</f>
        <v>Пельмени Grandmeni с говядиной и свининой Grandmeni 0,75 Сфера Горячая штучка</v>
      </c>
      <c r="P38" s="195"/>
      <c r="Q38" s="195"/>
      <c r="R38" s="195"/>
      <c r="S38" s="196"/>
      <c r="T38" s="34"/>
      <c r="U38" s="34"/>
      <c r="V38" s="35" t="s">
        <v>67</v>
      </c>
      <c r="W38" s="188">
        <v>0</v>
      </c>
      <c r="X38" s="189">
        <f>IFERROR(IF(W38="","",W38),"")</f>
        <v>0</v>
      </c>
      <c r="Y38" s="36">
        <f>IFERROR(IF(W38="","",W38*0.0155),"")</f>
        <v>0</v>
      </c>
      <c r="Z38" s="56"/>
      <c r="AA38" s="57"/>
      <c r="AE38" s="61"/>
      <c r="BB38" s="75" t="s">
        <v>1</v>
      </c>
    </row>
    <row r="39" spans="1:54" ht="27" customHeight="1" x14ac:dyDescent="0.25">
      <c r="A39" s="54" t="s">
        <v>91</v>
      </c>
      <c r="B39" s="54" t="s">
        <v>92</v>
      </c>
      <c r="C39" s="31">
        <v>4301070864</v>
      </c>
      <c r="D39" s="197">
        <v>4607111036292</v>
      </c>
      <c r="E39" s="196"/>
      <c r="F39" s="187">
        <v>0.75</v>
      </c>
      <c r="G39" s="32">
        <v>8</v>
      </c>
      <c r="H39" s="187">
        <v>6</v>
      </c>
      <c r="I39" s="187">
        <v>6.27</v>
      </c>
      <c r="J39" s="32">
        <v>84</v>
      </c>
      <c r="K39" s="32" t="s">
        <v>65</v>
      </c>
      <c r="L39" s="33" t="s">
        <v>66</v>
      </c>
      <c r="M39" s="33"/>
      <c r="N39" s="32">
        <v>180</v>
      </c>
      <c r="O39" s="302" t="str">
        <f>HYPERLINK("https://abi.ru/products/Замороженные/Горячая штучка/Grandmeni/Пельмени/P002645/","Пельмени Grandmeni со сливочным маслом Grandmeni 0,75 Сфера Горячая штучка")</f>
        <v>Пельмени Grandmeni со сливочным маслом Grandmeni 0,75 Сфера Горячая штучка</v>
      </c>
      <c r="P39" s="195"/>
      <c r="Q39" s="195"/>
      <c r="R39" s="195"/>
      <c r="S39" s="196"/>
      <c r="T39" s="34"/>
      <c r="U39" s="34"/>
      <c r="V39" s="35" t="s">
        <v>67</v>
      </c>
      <c r="W39" s="188">
        <v>20</v>
      </c>
      <c r="X39" s="189">
        <f>IFERROR(IF(W39="","",W39),"")</f>
        <v>20</v>
      </c>
      <c r="Y39" s="36">
        <f>IFERROR(IF(W39="","",W39*0.0155),"")</f>
        <v>0.31</v>
      </c>
      <c r="Z39" s="56"/>
      <c r="AA39" s="57"/>
      <c r="AE39" s="61"/>
      <c r="BB39" s="76" t="s">
        <v>1</v>
      </c>
    </row>
    <row r="40" spans="1:54" x14ac:dyDescent="0.2">
      <c r="A40" s="203"/>
      <c r="B40" s="202"/>
      <c r="C40" s="202"/>
      <c r="D40" s="202"/>
      <c r="E40" s="202"/>
      <c r="F40" s="202"/>
      <c r="G40" s="202"/>
      <c r="H40" s="202"/>
      <c r="I40" s="202"/>
      <c r="J40" s="202"/>
      <c r="K40" s="202"/>
      <c r="L40" s="202"/>
      <c r="M40" s="202"/>
      <c r="N40" s="204"/>
      <c r="O40" s="198" t="s">
        <v>68</v>
      </c>
      <c r="P40" s="199"/>
      <c r="Q40" s="199"/>
      <c r="R40" s="199"/>
      <c r="S40" s="199"/>
      <c r="T40" s="199"/>
      <c r="U40" s="200"/>
      <c r="V40" s="37" t="s">
        <v>67</v>
      </c>
      <c r="W40" s="190">
        <f>IFERROR(SUM(W36:W39),"0")</f>
        <v>20</v>
      </c>
      <c r="X40" s="190">
        <f>IFERROR(SUM(X36:X39),"0")</f>
        <v>20</v>
      </c>
      <c r="Y40" s="190">
        <f>IFERROR(IF(Y36="",0,Y36),"0")+IFERROR(IF(Y37="",0,Y37),"0")+IFERROR(IF(Y38="",0,Y38),"0")+IFERROR(IF(Y39="",0,Y39),"0")</f>
        <v>0.31</v>
      </c>
      <c r="Z40" s="191"/>
      <c r="AA40" s="191"/>
    </row>
    <row r="41" spans="1:54" x14ac:dyDescent="0.2">
      <c r="A41" s="202"/>
      <c r="B41" s="202"/>
      <c r="C41" s="202"/>
      <c r="D41" s="202"/>
      <c r="E41" s="202"/>
      <c r="F41" s="202"/>
      <c r="G41" s="202"/>
      <c r="H41" s="202"/>
      <c r="I41" s="202"/>
      <c r="J41" s="202"/>
      <c r="K41" s="202"/>
      <c r="L41" s="202"/>
      <c r="M41" s="202"/>
      <c r="N41" s="204"/>
      <c r="O41" s="198" t="s">
        <v>68</v>
      </c>
      <c r="P41" s="199"/>
      <c r="Q41" s="199"/>
      <c r="R41" s="199"/>
      <c r="S41" s="199"/>
      <c r="T41" s="199"/>
      <c r="U41" s="200"/>
      <c r="V41" s="37" t="s">
        <v>69</v>
      </c>
      <c r="W41" s="190">
        <f>IFERROR(SUMPRODUCT(W36:W39*H36:H39),"0")</f>
        <v>120</v>
      </c>
      <c r="X41" s="190">
        <f>IFERROR(SUMPRODUCT(X36:X39*H36:H39),"0")</f>
        <v>120</v>
      </c>
      <c r="Y41" s="37"/>
      <c r="Z41" s="191"/>
      <c r="AA41" s="191"/>
    </row>
    <row r="42" spans="1:54" ht="16.5" hidden="1" customHeight="1" x14ac:dyDescent="0.25">
      <c r="A42" s="218" t="s">
        <v>93</v>
      </c>
      <c r="B42" s="202"/>
      <c r="C42" s="202"/>
      <c r="D42" s="202"/>
      <c r="E42" s="202"/>
      <c r="F42" s="202"/>
      <c r="G42" s="202"/>
      <c r="H42" s="202"/>
      <c r="I42" s="202"/>
      <c r="J42" s="202"/>
      <c r="K42" s="202"/>
      <c r="L42" s="202"/>
      <c r="M42" s="202"/>
      <c r="N42" s="202"/>
      <c r="O42" s="202"/>
      <c r="P42" s="202"/>
      <c r="Q42" s="202"/>
      <c r="R42" s="202"/>
      <c r="S42" s="202"/>
      <c r="T42" s="202"/>
      <c r="U42" s="202"/>
      <c r="V42" s="202"/>
      <c r="W42" s="202"/>
      <c r="X42" s="202"/>
      <c r="Y42" s="202"/>
      <c r="Z42" s="182"/>
      <c r="AA42" s="182"/>
    </row>
    <row r="43" spans="1:54" ht="14.25" hidden="1" customHeight="1" x14ac:dyDescent="0.25">
      <c r="A43" s="201" t="s">
        <v>94</v>
      </c>
      <c r="B43" s="202"/>
      <c r="C43" s="202"/>
      <c r="D43" s="202"/>
      <c r="E43" s="202"/>
      <c r="F43" s="202"/>
      <c r="G43" s="202"/>
      <c r="H43" s="202"/>
      <c r="I43" s="202"/>
      <c r="J43" s="202"/>
      <c r="K43" s="202"/>
      <c r="L43" s="202"/>
      <c r="M43" s="202"/>
      <c r="N43" s="202"/>
      <c r="O43" s="202"/>
      <c r="P43" s="202"/>
      <c r="Q43" s="202"/>
      <c r="R43" s="202"/>
      <c r="S43" s="202"/>
      <c r="T43" s="202"/>
      <c r="U43" s="202"/>
      <c r="V43" s="202"/>
      <c r="W43" s="202"/>
      <c r="X43" s="202"/>
      <c r="Y43" s="202"/>
      <c r="Z43" s="181"/>
      <c r="AA43" s="181"/>
    </row>
    <row r="44" spans="1:54" ht="16.5" hidden="1" customHeight="1" x14ac:dyDescent="0.25">
      <c r="A44" s="54" t="s">
        <v>95</v>
      </c>
      <c r="B44" s="54" t="s">
        <v>96</v>
      </c>
      <c r="C44" s="31">
        <v>4301190046</v>
      </c>
      <c r="D44" s="197">
        <v>4607111038951</v>
      </c>
      <c r="E44" s="196"/>
      <c r="F44" s="187">
        <v>0.2</v>
      </c>
      <c r="G44" s="32">
        <v>6</v>
      </c>
      <c r="H44" s="187">
        <v>1.2</v>
      </c>
      <c r="I44" s="187">
        <v>1.5918000000000001</v>
      </c>
      <c r="J44" s="32">
        <v>130</v>
      </c>
      <c r="K44" s="32" t="s">
        <v>97</v>
      </c>
      <c r="L44" s="33" t="s">
        <v>66</v>
      </c>
      <c r="M44" s="33"/>
      <c r="N44" s="32">
        <v>365</v>
      </c>
      <c r="O44" s="216" t="str">
        <f>HYPERLINK("https://abi.ru/products/Замороженные/Горячая штучка/Чебупай/Изделия хлебобулочные/P004172/","«Чебупай брауни» Фикс.вес 0,2 Лоток ТМ «Горячая штучка»")</f>
        <v>«Чебупай брауни» Фикс.вес 0,2 Лоток ТМ «Горячая штучка»</v>
      </c>
      <c r="P44" s="195"/>
      <c r="Q44" s="195"/>
      <c r="R44" s="195"/>
      <c r="S44" s="196"/>
      <c r="T44" s="34"/>
      <c r="U44" s="34"/>
      <c r="V44" s="35" t="s">
        <v>67</v>
      </c>
      <c r="W44" s="188">
        <v>0</v>
      </c>
      <c r="X44" s="189">
        <f>IFERROR(IF(W44="","",W44),"")</f>
        <v>0</v>
      </c>
      <c r="Y44" s="36">
        <f>IFERROR(IF(W44="","",W44*0.0095),"")</f>
        <v>0</v>
      </c>
      <c r="Z44" s="56"/>
      <c r="AA44" s="57"/>
      <c r="AE44" s="61"/>
      <c r="BB44" s="77" t="s">
        <v>76</v>
      </c>
    </row>
    <row r="45" spans="1:54" ht="27" hidden="1" customHeight="1" x14ac:dyDescent="0.25">
      <c r="A45" s="54" t="s">
        <v>98</v>
      </c>
      <c r="B45" s="54" t="s">
        <v>99</v>
      </c>
      <c r="C45" s="31">
        <v>4301190022</v>
      </c>
      <c r="D45" s="197">
        <v>4607111037053</v>
      </c>
      <c r="E45" s="196"/>
      <c r="F45" s="187">
        <v>0.2</v>
      </c>
      <c r="G45" s="32">
        <v>6</v>
      </c>
      <c r="H45" s="187">
        <v>1.2</v>
      </c>
      <c r="I45" s="187">
        <v>1.5918000000000001</v>
      </c>
      <c r="J45" s="32">
        <v>130</v>
      </c>
      <c r="K45" s="32" t="s">
        <v>97</v>
      </c>
      <c r="L45" s="33" t="s">
        <v>66</v>
      </c>
      <c r="M45" s="33"/>
      <c r="N45" s="32">
        <v>365</v>
      </c>
      <c r="O45" s="320" t="str">
        <f>HYPERLINK("https://abi.ru/products/Замороженные/Горячая штучка/Чебупай/Изделия хлебобулочные/P003337/","«Чебупай сочное яблоко» Фикс.вес 0,2 Лоток ТМ «Горячая штучка»")</f>
        <v>«Чебупай сочное яблоко» Фикс.вес 0,2 Лоток ТМ «Горячая штучка»</v>
      </c>
      <c r="P45" s="195"/>
      <c r="Q45" s="195"/>
      <c r="R45" s="195"/>
      <c r="S45" s="196"/>
      <c r="T45" s="34"/>
      <c r="U45" s="34"/>
      <c r="V45" s="35" t="s">
        <v>67</v>
      </c>
      <c r="W45" s="188">
        <v>0</v>
      </c>
      <c r="X45" s="189">
        <f>IFERROR(IF(W45="","",W45),"")</f>
        <v>0</v>
      </c>
      <c r="Y45" s="36">
        <f>IFERROR(IF(W45="","",W45*0.0095),"")</f>
        <v>0</v>
      </c>
      <c r="Z45" s="56"/>
      <c r="AA45" s="57"/>
      <c r="AE45" s="61"/>
      <c r="BB45" s="78" t="s">
        <v>76</v>
      </c>
    </row>
    <row r="46" spans="1:54" ht="27" hidden="1" customHeight="1" x14ac:dyDescent="0.25">
      <c r="A46" s="54" t="s">
        <v>100</v>
      </c>
      <c r="B46" s="54" t="s">
        <v>101</v>
      </c>
      <c r="C46" s="31">
        <v>4301190023</v>
      </c>
      <c r="D46" s="197">
        <v>4607111037060</v>
      </c>
      <c r="E46" s="196"/>
      <c r="F46" s="187">
        <v>0.2</v>
      </c>
      <c r="G46" s="32">
        <v>6</v>
      </c>
      <c r="H46" s="187">
        <v>1.2</v>
      </c>
      <c r="I46" s="187">
        <v>1.5918000000000001</v>
      </c>
      <c r="J46" s="32">
        <v>130</v>
      </c>
      <c r="K46" s="32" t="s">
        <v>97</v>
      </c>
      <c r="L46" s="33" t="s">
        <v>66</v>
      </c>
      <c r="M46" s="33"/>
      <c r="N46" s="32">
        <v>365</v>
      </c>
      <c r="O46" s="339" t="str">
        <f>HYPERLINK("https://abi.ru/products/Замороженные/Горячая штучка/Чебупай/Изделия хлебобулочные/P003341/","«Чебупай спелая вишня» Фикс.вес 0,2 Лоток ТМ «Горячая штучка»")</f>
        <v>«Чебупай спелая вишня» Фикс.вес 0,2 Лоток ТМ «Горячая штучка»</v>
      </c>
      <c r="P46" s="195"/>
      <c r="Q46" s="195"/>
      <c r="R46" s="195"/>
      <c r="S46" s="196"/>
      <c r="T46" s="34"/>
      <c r="U46" s="34"/>
      <c r="V46" s="35" t="s">
        <v>67</v>
      </c>
      <c r="W46" s="188">
        <v>0</v>
      </c>
      <c r="X46" s="189">
        <f>IFERROR(IF(W46="","",W46),"")</f>
        <v>0</v>
      </c>
      <c r="Y46" s="36">
        <f>IFERROR(IF(W46="","",W46*0.0095),"")</f>
        <v>0</v>
      </c>
      <c r="Z46" s="56"/>
      <c r="AA46" s="57"/>
      <c r="AE46" s="61"/>
      <c r="BB46" s="79" t="s">
        <v>76</v>
      </c>
    </row>
    <row r="47" spans="1:54" hidden="1" x14ac:dyDescent="0.2">
      <c r="A47" s="203"/>
      <c r="B47" s="202"/>
      <c r="C47" s="202"/>
      <c r="D47" s="202"/>
      <c r="E47" s="202"/>
      <c r="F47" s="202"/>
      <c r="G47" s="202"/>
      <c r="H47" s="202"/>
      <c r="I47" s="202"/>
      <c r="J47" s="202"/>
      <c r="K47" s="202"/>
      <c r="L47" s="202"/>
      <c r="M47" s="202"/>
      <c r="N47" s="204"/>
      <c r="O47" s="198" t="s">
        <v>68</v>
      </c>
      <c r="P47" s="199"/>
      <c r="Q47" s="199"/>
      <c r="R47" s="199"/>
      <c r="S47" s="199"/>
      <c r="T47" s="199"/>
      <c r="U47" s="200"/>
      <c r="V47" s="37" t="s">
        <v>67</v>
      </c>
      <c r="W47" s="190">
        <f>IFERROR(SUM(W44:W46),"0")</f>
        <v>0</v>
      </c>
      <c r="X47" s="190">
        <f>IFERROR(SUM(X44:X46),"0")</f>
        <v>0</v>
      </c>
      <c r="Y47" s="190">
        <f>IFERROR(IF(Y44="",0,Y44),"0")+IFERROR(IF(Y45="",0,Y45),"0")+IFERROR(IF(Y46="",0,Y46),"0")</f>
        <v>0</v>
      </c>
      <c r="Z47" s="191"/>
      <c r="AA47" s="191"/>
    </row>
    <row r="48" spans="1:54" hidden="1" x14ac:dyDescent="0.2">
      <c r="A48" s="202"/>
      <c r="B48" s="202"/>
      <c r="C48" s="202"/>
      <c r="D48" s="202"/>
      <c r="E48" s="202"/>
      <c r="F48" s="202"/>
      <c r="G48" s="202"/>
      <c r="H48" s="202"/>
      <c r="I48" s="202"/>
      <c r="J48" s="202"/>
      <c r="K48" s="202"/>
      <c r="L48" s="202"/>
      <c r="M48" s="202"/>
      <c r="N48" s="204"/>
      <c r="O48" s="198" t="s">
        <v>68</v>
      </c>
      <c r="P48" s="199"/>
      <c r="Q48" s="199"/>
      <c r="R48" s="199"/>
      <c r="S48" s="199"/>
      <c r="T48" s="199"/>
      <c r="U48" s="200"/>
      <c r="V48" s="37" t="s">
        <v>69</v>
      </c>
      <c r="W48" s="190">
        <f>IFERROR(SUMPRODUCT(W44:W46*H44:H46),"0")</f>
        <v>0</v>
      </c>
      <c r="X48" s="190">
        <f>IFERROR(SUMPRODUCT(X44:X46*H44:H46),"0")</f>
        <v>0</v>
      </c>
      <c r="Y48" s="37"/>
      <c r="Z48" s="191"/>
      <c r="AA48" s="191"/>
    </row>
    <row r="49" spans="1:54" ht="16.5" hidden="1" customHeight="1" x14ac:dyDescent="0.25">
      <c r="A49" s="218" t="s">
        <v>102</v>
      </c>
      <c r="B49" s="202"/>
      <c r="C49" s="202"/>
      <c r="D49" s="202"/>
      <c r="E49" s="202"/>
      <c r="F49" s="202"/>
      <c r="G49" s="202"/>
      <c r="H49" s="202"/>
      <c r="I49" s="202"/>
      <c r="J49" s="202"/>
      <c r="K49" s="202"/>
      <c r="L49" s="202"/>
      <c r="M49" s="202"/>
      <c r="N49" s="202"/>
      <c r="O49" s="202"/>
      <c r="P49" s="202"/>
      <c r="Q49" s="202"/>
      <c r="R49" s="202"/>
      <c r="S49" s="202"/>
      <c r="T49" s="202"/>
      <c r="U49" s="202"/>
      <c r="V49" s="202"/>
      <c r="W49" s="202"/>
      <c r="X49" s="202"/>
      <c r="Y49" s="202"/>
      <c r="Z49" s="182"/>
      <c r="AA49" s="182"/>
    </row>
    <row r="50" spans="1:54" ht="14.25" hidden="1" customHeight="1" x14ac:dyDescent="0.25">
      <c r="A50" s="201" t="s">
        <v>62</v>
      </c>
      <c r="B50" s="202"/>
      <c r="C50" s="202"/>
      <c r="D50" s="202"/>
      <c r="E50" s="202"/>
      <c r="F50" s="202"/>
      <c r="G50" s="202"/>
      <c r="H50" s="202"/>
      <c r="I50" s="202"/>
      <c r="J50" s="202"/>
      <c r="K50" s="202"/>
      <c r="L50" s="202"/>
      <c r="M50" s="202"/>
      <c r="N50" s="202"/>
      <c r="O50" s="202"/>
      <c r="P50" s="202"/>
      <c r="Q50" s="202"/>
      <c r="R50" s="202"/>
      <c r="S50" s="202"/>
      <c r="T50" s="202"/>
      <c r="U50" s="202"/>
      <c r="V50" s="202"/>
      <c r="W50" s="202"/>
      <c r="X50" s="202"/>
      <c r="Y50" s="202"/>
      <c r="Z50" s="181"/>
      <c r="AA50" s="181"/>
    </row>
    <row r="51" spans="1:54" ht="27" hidden="1" customHeight="1" x14ac:dyDescent="0.25">
      <c r="A51" s="54" t="s">
        <v>103</v>
      </c>
      <c r="B51" s="54" t="s">
        <v>104</v>
      </c>
      <c r="C51" s="31">
        <v>4301070989</v>
      </c>
      <c r="D51" s="197">
        <v>4607111037190</v>
      </c>
      <c r="E51" s="196"/>
      <c r="F51" s="187">
        <v>0.43</v>
      </c>
      <c r="G51" s="32">
        <v>16</v>
      </c>
      <c r="H51" s="187">
        <v>6.88</v>
      </c>
      <c r="I51" s="187">
        <v>7.1996000000000002</v>
      </c>
      <c r="J51" s="32">
        <v>84</v>
      </c>
      <c r="K51" s="32" t="s">
        <v>65</v>
      </c>
      <c r="L51" s="33" t="s">
        <v>66</v>
      </c>
      <c r="M51" s="33"/>
      <c r="N51" s="32">
        <v>180</v>
      </c>
      <c r="O51" s="229" t="str">
        <f>HYPERLINK("https://abi.ru/products/Замороженные/Горячая штучка/Бигбули ГШ/Пельмени/P003728/","Пельмени «Бигбули #МЕГАВКУСИЩЕ с сочной грудинкой» 0,43 сфера ТМ «Горячая штучка»")</f>
        <v>Пельмени «Бигбули #МЕГАВКУСИЩЕ с сочной грудинкой» 0,43 сфера ТМ «Горячая штучка»</v>
      </c>
      <c r="P51" s="195"/>
      <c r="Q51" s="195"/>
      <c r="R51" s="195"/>
      <c r="S51" s="196"/>
      <c r="T51" s="34"/>
      <c r="U51" s="34"/>
      <c r="V51" s="35" t="s">
        <v>67</v>
      </c>
      <c r="W51" s="188">
        <v>0</v>
      </c>
      <c r="X51" s="189">
        <f t="shared" ref="X51:X56" si="0">IFERROR(IF(W51="","",W51),"")</f>
        <v>0</v>
      </c>
      <c r="Y51" s="36">
        <f t="shared" ref="Y51:Y56" si="1">IFERROR(IF(W51="","",W51*0.0155),"")</f>
        <v>0</v>
      </c>
      <c r="Z51" s="56"/>
      <c r="AA51" s="57"/>
      <c r="AE51" s="61"/>
      <c r="BB51" s="80" t="s">
        <v>1</v>
      </c>
    </row>
    <row r="52" spans="1:54" ht="27" hidden="1" customHeight="1" x14ac:dyDescent="0.25">
      <c r="A52" s="54" t="s">
        <v>105</v>
      </c>
      <c r="B52" s="54" t="s">
        <v>106</v>
      </c>
      <c r="C52" s="31">
        <v>4301070972</v>
      </c>
      <c r="D52" s="197">
        <v>4607111037183</v>
      </c>
      <c r="E52" s="196"/>
      <c r="F52" s="187">
        <v>0.9</v>
      </c>
      <c r="G52" s="32">
        <v>8</v>
      </c>
      <c r="H52" s="187">
        <v>7.2</v>
      </c>
      <c r="I52" s="187">
        <v>7.4859999999999998</v>
      </c>
      <c r="J52" s="32">
        <v>84</v>
      </c>
      <c r="K52" s="32" t="s">
        <v>65</v>
      </c>
      <c r="L52" s="33" t="s">
        <v>66</v>
      </c>
      <c r="M52" s="33"/>
      <c r="N52" s="32">
        <v>180</v>
      </c>
      <c r="O52" s="270" t="str">
        <f>HYPERLINK("https://abi.ru/products/Замороженные/Горячая штучка/Бигбули ГШ/Пельмени/P003682/","Пельмени «Бигбули #МЕГАВКУСИЩЕ с сочной грудинкой» 0,9 сфера ТМ «Горячая штучка»")</f>
        <v>Пельмени «Бигбули #МЕГАВКУСИЩЕ с сочной грудинкой» 0,9 сфера ТМ «Горячая штучка»</v>
      </c>
      <c r="P52" s="195"/>
      <c r="Q52" s="195"/>
      <c r="R52" s="195"/>
      <c r="S52" s="196"/>
      <c r="T52" s="34"/>
      <c r="U52" s="34"/>
      <c r="V52" s="35" t="s">
        <v>67</v>
      </c>
      <c r="W52" s="188">
        <v>0</v>
      </c>
      <c r="X52" s="189">
        <f t="shared" si="0"/>
        <v>0</v>
      </c>
      <c r="Y52" s="36">
        <f t="shared" si="1"/>
        <v>0</v>
      </c>
      <c r="Z52" s="56"/>
      <c r="AA52" s="57"/>
      <c r="AE52" s="61"/>
      <c r="BB52" s="81" t="s">
        <v>1</v>
      </c>
    </row>
    <row r="53" spans="1:54" ht="27" hidden="1" customHeight="1" x14ac:dyDescent="0.25">
      <c r="A53" s="54" t="s">
        <v>107</v>
      </c>
      <c r="B53" s="54" t="s">
        <v>108</v>
      </c>
      <c r="C53" s="31">
        <v>4301070970</v>
      </c>
      <c r="D53" s="197">
        <v>4607111037091</v>
      </c>
      <c r="E53" s="196"/>
      <c r="F53" s="187">
        <v>0.43</v>
      </c>
      <c r="G53" s="32">
        <v>16</v>
      </c>
      <c r="H53" s="187">
        <v>6.88</v>
      </c>
      <c r="I53" s="187">
        <v>7.11</v>
      </c>
      <c r="J53" s="32">
        <v>84</v>
      </c>
      <c r="K53" s="32" t="s">
        <v>65</v>
      </c>
      <c r="L53" s="33" t="s">
        <v>66</v>
      </c>
      <c r="M53" s="33"/>
      <c r="N53" s="32">
        <v>180</v>
      </c>
      <c r="O53" s="289" t="str">
        <f>HYPERLINK("https://abi.ru/products/Замороженные/Горячая штучка/Бигбули ГШ/Пельмени/P003680/","Пельмени «Бигбули #МЕГАМАСЛИЩЕ со сливочным маслом» 0,43 сфера ТМ «Горячая штучка»")</f>
        <v>Пельмени «Бигбули #МЕГАМАСЛИЩЕ со сливочным маслом» 0,43 сфера ТМ «Горячая штучка»</v>
      </c>
      <c r="P53" s="195"/>
      <c r="Q53" s="195"/>
      <c r="R53" s="195"/>
      <c r="S53" s="196"/>
      <c r="T53" s="34"/>
      <c r="U53" s="34"/>
      <c r="V53" s="35" t="s">
        <v>67</v>
      </c>
      <c r="W53" s="188">
        <v>0</v>
      </c>
      <c r="X53" s="189">
        <f t="shared" si="0"/>
        <v>0</v>
      </c>
      <c r="Y53" s="36">
        <f t="shared" si="1"/>
        <v>0</v>
      </c>
      <c r="Z53" s="56"/>
      <c r="AA53" s="57"/>
      <c r="AE53" s="61"/>
      <c r="BB53" s="82" t="s">
        <v>1</v>
      </c>
    </row>
    <row r="54" spans="1:54" ht="27" hidden="1" customHeight="1" x14ac:dyDescent="0.25">
      <c r="A54" s="54" t="s">
        <v>109</v>
      </c>
      <c r="B54" s="54" t="s">
        <v>110</v>
      </c>
      <c r="C54" s="31">
        <v>4301070971</v>
      </c>
      <c r="D54" s="197">
        <v>4607111036902</v>
      </c>
      <c r="E54" s="196"/>
      <c r="F54" s="187">
        <v>0.9</v>
      </c>
      <c r="G54" s="32">
        <v>8</v>
      </c>
      <c r="H54" s="187">
        <v>7.2</v>
      </c>
      <c r="I54" s="187">
        <v>7.43</v>
      </c>
      <c r="J54" s="32">
        <v>84</v>
      </c>
      <c r="K54" s="32" t="s">
        <v>65</v>
      </c>
      <c r="L54" s="33" t="s">
        <v>66</v>
      </c>
      <c r="M54" s="33"/>
      <c r="N54" s="32">
        <v>180</v>
      </c>
      <c r="O54" s="390" t="str">
        <f>HYPERLINK("https://abi.ru/products/Замороженные/Горячая штучка/Бигбули ГШ/Пельмени/P003681/","Пельмени «Бигбули #МЕГАМАСЛИЩЕ со сливочным маслом» ф/в 0,9 ТМ «Горячая штучка»")</f>
        <v>Пельмени «Бигбули #МЕГАМАСЛИЩЕ со сливочным маслом» ф/в 0,9 ТМ «Горячая штучка»</v>
      </c>
      <c r="P54" s="195"/>
      <c r="Q54" s="195"/>
      <c r="R54" s="195"/>
      <c r="S54" s="196"/>
      <c r="T54" s="34"/>
      <c r="U54" s="34"/>
      <c r="V54" s="35" t="s">
        <v>67</v>
      </c>
      <c r="W54" s="188">
        <v>0</v>
      </c>
      <c r="X54" s="189">
        <f t="shared" si="0"/>
        <v>0</v>
      </c>
      <c r="Y54" s="36">
        <f t="shared" si="1"/>
        <v>0</v>
      </c>
      <c r="Z54" s="56"/>
      <c r="AA54" s="57"/>
      <c r="AE54" s="61"/>
      <c r="BB54" s="83" t="s">
        <v>1</v>
      </c>
    </row>
    <row r="55" spans="1:54" ht="27" hidden="1" customHeight="1" x14ac:dyDescent="0.25">
      <c r="A55" s="54" t="s">
        <v>111</v>
      </c>
      <c r="B55" s="54" t="s">
        <v>112</v>
      </c>
      <c r="C55" s="31">
        <v>4301070969</v>
      </c>
      <c r="D55" s="197">
        <v>4607111036858</v>
      </c>
      <c r="E55" s="196"/>
      <c r="F55" s="187">
        <v>0.43</v>
      </c>
      <c r="G55" s="32">
        <v>16</v>
      </c>
      <c r="H55" s="187">
        <v>6.88</v>
      </c>
      <c r="I55" s="187">
        <v>7.1996000000000002</v>
      </c>
      <c r="J55" s="32">
        <v>84</v>
      </c>
      <c r="K55" s="32" t="s">
        <v>65</v>
      </c>
      <c r="L55" s="33" t="s">
        <v>66</v>
      </c>
      <c r="M55" s="33"/>
      <c r="N55" s="32">
        <v>180</v>
      </c>
      <c r="O55" s="311" t="str">
        <f>HYPERLINK("https://abi.ru/products/Замороженные/Горячая штучка/Бигбули ГШ/Пельмени/P003679/","Пельмени «Бигбули с мясом» 0,43 Сфера ТМ «Горячая штучка»")</f>
        <v>Пельмени «Бигбули с мясом» 0,43 Сфера ТМ «Горячая штучка»</v>
      </c>
      <c r="P55" s="195"/>
      <c r="Q55" s="195"/>
      <c r="R55" s="195"/>
      <c r="S55" s="196"/>
      <c r="T55" s="34"/>
      <c r="U55" s="34"/>
      <c r="V55" s="35" t="s">
        <v>67</v>
      </c>
      <c r="W55" s="188">
        <v>0</v>
      </c>
      <c r="X55" s="189">
        <f t="shared" si="0"/>
        <v>0</v>
      </c>
      <c r="Y55" s="36">
        <f t="shared" si="1"/>
        <v>0</v>
      </c>
      <c r="Z55" s="56"/>
      <c r="AA55" s="57"/>
      <c r="AE55" s="61"/>
      <c r="BB55" s="84" t="s">
        <v>1</v>
      </c>
    </row>
    <row r="56" spans="1:54" ht="27" customHeight="1" x14ac:dyDescent="0.25">
      <c r="A56" s="54" t="s">
        <v>113</v>
      </c>
      <c r="B56" s="54" t="s">
        <v>114</v>
      </c>
      <c r="C56" s="31">
        <v>4301070968</v>
      </c>
      <c r="D56" s="197">
        <v>4607111036889</v>
      </c>
      <c r="E56" s="196"/>
      <c r="F56" s="187">
        <v>0.9</v>
      </c>
      <c r="G56" s="32">
        <v>8</v>
      </c>
      <c r="H56" s="187">
        <v>7.2</v>
      </c>
      <c r="I56" s="187">
        <v>7.4859999999999998</v>
      </c>
      <c r="J56" s="32">
        <v>84</v>
      </c>
      <c r="K56" s="32" t="s">
        <v>65</v>
      </c>
      <c r="L56" s="33" t="s">
        <v>66</v>
      </c>
      <c r="M56" s="33"/>
      <c r="N56" s="32">
        <v>180</v>
      </c>
      <c r="O56" s="245" t="str">
        <f>HYPERLINK("https://abi.ru/products/Замороженные/Горячая штучка/Бигбули ГШ/Пельмени/P003678/","Пельмени «Бигбули с мясом» 0,9 Сфера ТМ «Горячая штучка»")</f>
        <v>Пельмени «Бигбули с мясом» 0,9 Сфера ТМ «Горячая штучка»</v>
      </c>
      <c r="P56" s="195"/>
      <c r="Q56" s="195"/>
      <c r="R56" s="195"/>
      <c r="S56" s="196"/>
      <c r="T56" s="34"/>
      <c r="U56" s="34"/>
      <c r="V56" s="35" t="s">
        <v>67</v>
      </c>
      <c r="W56" s="188">
        <v>25</v>
      </c>
      <c r="X56" s="189">
        <f t="shared" si="0"/>
        <v>25</v>
      </c>
      <c r="Y56" s="36">
        <f t="shared" si="1"/>
        <v>0.38750000000000001</v>
      </c>
      <c r="Z56" s="56"/>
      <c r="AA56" s="57"/>
      <c r="AE56" s="61"/>
      <c r="BB56" s="85" t="s">
        <v>1</v>
      </c>
    </row>
    <row r="57" spans="1:54" x14ac:dyDescent="0.2">
      <c r="A57" s="203"/>
      <c r="B57" s="202"/>
      <c r="C57" s="202"/>
      <c r="D57" s="202"/>
      <c r="E57" s="202"/>
      <c r="F57" s="202"/>
      <c r="G57" s="202"/>
      <c r="H57" s="202"/>
      <c r="I57" s="202"/>
      <c r="J57" s="202"/>
      <c r="K57" s="202"/>
      <c r="L57" s="202"/>
      <c r="M57" s="202"/>
      <c r="N57" s="204"/>
      <c r="O57" s="198" t="s">
        <v>68</v>
      </c>
      <c r="P57" s="199"/>
      <c r="Q57" s="199"/>
      <c r="R57" s="199"/>
      <c r="S57" s="199"/>
      <c r="T57" s="199"/>
      <c r="U57" s="200"/>
      <c r="V57" s="37" t="s">
        <v>67</v>
      </c>
      <c r="W57" s="190">
        <f>IFERROR(SUM(W51:W56),"0")</f>
        <v>25</v>
      </c>
      <c r="X57" s="190">
        <f>IFERROR(SUM(X51:X56),"0")</f>
        <v>25</v>
      </c>
      <c r="Y57" s="190">
        <f>IFERROR(IF(Y51="",0,Y51),"0")+IFERROR(IF(Y52="",0,Y52),"0")+IFERROR(IF(Y53="",0,Y53),"0")+IFERROR(IF(Y54="",0,Y54),"0")+IFERROR(IF(Y55="",0,Y55),"0")+IFERROR(IF(Y56="",0,Y56),"0")</f>
        <v>0.38750000000000001</v>
      </c>
      <c r="Z57" s="191"/>
      <c r="AA57" s="191"/>
    </row>
    <row r="58" spans="1:54" x14ac:dyDescent="0.2">
      <c r="A58" s="202"/>
      <c r="B58" s="202"/>
      <c r="C58" s="202"/>
      <c r="D58" s="202"/>
      <c r="E58" s="202"/>
      <c r="F58" s="202"/>
      <c r="G58" s="202"/>
      <c r="H58" s="202"/>
      <c r="I58" s="202"/>
      <c r="J58" s="202"/>
      <c r="K58" s="202"/>
      <c r="L58" s="202"/>
      <c r="M58" s="202"/>
      <c r="N58" s="204"/>
      <c r="O58" s="198" t="s">
        <v>68</v>
      </c>
      <c r="P58" s="199"/>
      <c r="Q58" s="199"/>
      <c r="R58" s="199"/>
      <c r="S58" s="199"/>
      <c r="T58" s="199"/>
      <c r="U58" s="200"/>
      <c r="V58" s="37" t="s">
        <v>69</v>
      </c>
      <c r="W58" s="190">
        <f>IFERROR(SUMPRODUCT(W51:W56*H51:H56),"0")</f>
        <v>180</v>
      </c>
      <c r="X58" s="190">
        <f>IFERROR(SUMPRODUCT(X51:X56*H51:H56),"0")</f>
        <v>180</v>
      </c>
      <c r="Y58" s="37"/>
      <c r="Z58" s="191"/>
      <c r="AA58" s="191"/>
    </row>
    <row r="59" spans="1:54" ht="16.5" hidden="1" customHeight="1" x14ac:dyDescent="0.25">
      <c r="A59" s="218" t="s">
        <v>115</v>
      </c>
      <c r="B59" s="202"/>
      <c r="C59" s="202"/>
      <c r="D59" s="202"/>
      <c r="E59" s="202"/>
      <c r="F59" s="202"/>
      <c r="G59" s="202"/>
      <c r="H59" s="202"/>
      <c r="I59" s="202"/>
      <c r="J59" s="202"/>
      <c r="K59" s="202"/>
      <c r="L59" s="202"/>
      <c r="M59" s="202"/>
      <c r="N59" s="202"/>
      <c r="O59" s="202"/>
      <c r="P59" s="202"/>
      <c r="Q59" s="202"/>
      <c r="R59" s="202"/>
      <c r="S59" s="202"/>
      <c r="T59" s="202"/>
      <c r="U59" s="202"/>
      <c r="V59" s="202"/>
      <c r="W59" s="202"/>
      <c r="X59" s="202"/>
      <c r="Y59" s="202"/>
      <c r="Z59" s="182"/>
      <c r="AA59" s="182"/>
    </row>
    <row r="60" spans="1:54" ht="14.25" hidden="1" customHeight="1" x14ac:dyDescent="0.25">
      <c r="A60" s="201" t="s">
        <v>62</v>
      </c>
      <c r="B60" s="202"/>
      <c r="C60" s="202"/>
      <c r="D60" s="202"/>
      <c r="E60" s="202"/>
      <c r="F60" s="202"/>
      <c r="G60" s="202"/>
      <c r="H60" s="202"/>
      <c r="I60" s="202"/>
      <c r="J60" s="202"/>
      <c r="K60" s="202"/>
      <c r="L60" s="202"/>
      <c r="M60" s="202"/>
      <c r="N60" s="202"/>
      <c r="O60" s="202"/>
      <c r="P60" s="202"/>
      <c r="Q60" s="202"/>
      <c r="R60" s="202"/>
      <c r="S60" s="202"/>
      <c r="T60" s="202"/>
      <c r="U60" s="202"/>
      <c r="V60" s="202"/>
      <c r="W60" s="202"/>
      <c r="X60" s="202"/>
      <c r="Y60" s="202"/>
      <c r="Z60" s="181"/>
      <c r="AA60" s="181"/>
    </row>
    <row r="61" spans="1:54" ht="27" hidden="1" customHeight="1" x14ac:dyDescent="0.25">
      <c r="A61" s="54" t="s">
        <v>116</v>
      </c>
      <c r="B61" s="54" t="s">
        <v>117</v>
      </c>
      <c r="C61" s="31">
        <v>4301070977</v>
      </c>
      <c r="D61" s="197">
        <v>4607111037411</v>
      </c>
      <c r="E61" s="196"/>
      <c r="F61" s="187">
        <v>2.7</v>
      </c>
      <c r="G61" s="32">
        <v>1</v>
      </c>
      <c r="H61" s="187">
        <v>2.7</v>
      </c>
      <c r="I61" s="187">
        <v>2.8132000000000001</v>
      </c>
      <c r="J61" s="32">
        <v>234</v>
      </c>
      <c r="K61" s="32" t="s">
        <v>118</v>
      </c>
      <c r="L61" s="33" t="s">
        <v>66</v>
      </c>
      <c r="M61" s="33"/>
      <c r="N61" s="32">
        <v>180</v>
      </c>
      <c r="O61" s="343" t="str">
        <f>HYPERLINK("https://abi.ru/products/Замороженные/Горячая штучка/Бульмени вес ГШ/Пельмени/P003687/","Пельмени «Бульмени с говядиной и свининой Наваристые» Весовые Сфера ТМ «Горячая штучка» 2,7 кг")</f>
        <v>Пельмени «Бульмени с говядиной и свининой Наваристые» Весовые Сфера ТМ «Горячая штучка» 2,7 кг</v>
      </c>
      <c r="P61" s="195"/>
      <c r="Q61" s="195"/>
      <c r="R61" s="195"/>
      <c r="S61" s="196"/>
      <c r="T61" s="34"/>
      <c r="U61" s="34"/>
      <c r="V61" s="35" t="s">
        <v>67</v>
      </c>
      <c r="W61" s="188">
        <v>0</v>
      </c>
      <c r="X61" s="189">
        <f>IFERROR(IF(W61="","",W61),"")</f>
        <v>0</v>
      </c>
      <c r="Y61" s="36">
        <f>IFERROR(IF(W61="","",W61*0.00502),"")</f>
        <v>0</v>
      </c>
      <c r="Z61" s="56"/>
      <c r="AA61" s="57"/>
      <c r="AE61" s="61"/>
      <c r="BB61" s="86" t="s">
        <v>1</v>
      </c>
    </row>
    <row r="62" spans="1:54" ht="27" hidden="1" customHeight="1" x14ac:dyDescent="0.25">
      <c r="A62" s="54" t="s">
        <v>119</v>
      </c>
      <c r="B62" s="54" t="s">
        <v>120</v>
      </c>
      <c r="C62" s="31">
        <v>4301070981</v>
      </c>
      <c r="D62" s="197">
        <v>4607111036728</v>
      </c>
      <c r="E62" s="196"/>
      <c r="F62" s="187">
        <v>5</v>
      </c>
      <c r="G62" s="32">
        <v>1</v>
      </c>
      <c r="H62" s="187">
        <v>5</v>
      </c>
      <c r="I62" s="187">
        <v>5.2131999999999996</v>
      </c>
      <c r="J62" s="32">
        <v>144</v>
      </c>
      <c r="K62" s="32" t="s">
        <v>65</v>
      </c>
      <c r="L62" s="33" t="s">
        <v>66</v>
      </c>
      <c r="M62" s="33"/>
      <c r="N62" s="32">
        <v>180</v>
      </c>
      <c r="O62" s="244" t="str">
        <f>HYPERLINK("https://abi.ru/products/Замороженные/Горячая штучка/Бульмени вес ГШ/Пельмени/P003697/","Пельмени «Бульмени с говядиной и свининой Наваристые» Весовые Сфера ТМ «Горячая штучка» 5 кг")</f>
        <v>Пельмени «Бульмени с говядиной и свининой Наваристые» Весовые Сфера ТМ «Горячая штучка» 5 кг</v>
      </c>
      <c r="P62" s="195"/>
      <c r="Q62" s="195"/>
      <c r="R62" s="195"/>
      <c r="S62" s="196"/>
      <c r="T62" s="34"/>
      <c r="U62" s="34"/>
      <c r="V62" s="35" t="s">
        <v>67</v>
      </c>
      <c r="W62" s="188">
        <v>0</v>
      </c>
      <c r="X62" s="189">
        <f>IFERROR(IF(W62="","",W62),"")</f>
        <v>0</v>
      </c>
      <c r="Y62" s="36">
        <f>IFERROR(IF(W62="","",W62*0.00866),"")</f>
        <v>0</v>
      </c>
      <c r="Z62" s="56"/>
      <c r="AA62" s="57"/>
      <c r="AE62" s="61"/>
      <c r="BB62" s="87" t="s">
        <v>1</v>
      </c>
    </row>
    <row r="63" spans="1:54" hidden="1" x14ac:dyDescent="0.2">
      <c r="A63" s="203"/>
      <c r="B63" s="202"/>
      <c r="C63" s="202"/>
      <c r="D63" s="202"/>
      <c r="E63" s="202"/>
      <c r="F63" s="202"/>
      <c r="G63" s="202"/>
      <c r="H63" s="202"/>
      <c r="I63" s="202"/>
      <c r="J63" s="202"/>
      <c r="K63" s="202"/>
      <c r="L63" s="202"/>
      <c r="M63" s="202"/>
      <c r="N63" s="204"/>
      <c r="O63" s="198" t="s">
        <v>68</v>
      </c>
      <c r="P63" s="199"/>
      <c r="Q63" s="199"/>
      <c r="R63" s="199"/>
      <c r="S63" s="199"/>
      <c r="T63" s="199"/>
      <c r="U63" s="200"/>
      <c r="V63" s="37" t="s">
        <v>67</v>
      </c>
      <c r="W63" s="190">
        <f>IFERROR(SUM(W61:W62),"0")</f>
        <v>0</v>
      </c>
      <c r="X63" s="190">
        <f>IFERROR(SUM(X61:X62),"0")</f>
        <v>0</v>
      </c>
      <c r="Y63" s="190">
        <f>IFERROR(IF(Y61="",0,Y61),"0")+IFERROR(IF(Y62="",0,Y62),"0")</f>
        <v>0</v>
      </c>
      <c r="Z63" s="191"/>
      <c r="AA63" s="191"/>
    </row>
    <row r="64" spans="1:54" hidden="1" x14ac:dyDescent="0.2">
      <c r="A64" s="202"/>
      <c r="B64" s="202"/>
      <c r="C64" s="202"/>
      <c r="D64" s="202"/>
      <c r="E64" s="202"/>
      <c r="F64" s="202"/>
      <c r="G64" s="202"/>
      <c r="H64" s="202"/>
      <c r="I64" s="202"/>
      <c r="J64" s="202"/>
      <c r="K64" s="202"/>
      <c r="L64" s="202"/>
      <c r="M64" s="202"/>
      <c r="N64" s="204"/>
      <c r="O64" s="198" t="s">
        <v>68</v>
      </c>
      <c r="P64" s="199"/>
      <c r="Q64" s="199"/>
      <c r="R64" s="199"/>
      <c r="S64" s="199"/>
      <c r="T64" s="199"/>
      <c r="U64" s="200"/>
      <c r="V64" s="37" t="s">
        <v>69</v>
      </c>
      <c r="W64" s="190">
        <f>IFERROR(SUMPRODUCT(W61:W62*H61:H62),"0")</f>
        <v>0</v>
      </c>
      <c r="X64" s="190">
        <f>IFERROR(SUMPRODUCT(X61:X62*H61:H62),"0")</f>
        <v>0</v>
      </c>
      <c r="Y64" s="37"/>
      <c r="Z64" s="191"/>
      <c r="AA64" s="191"/>
    </row>
    <row r="65" spans="1:54" ht="16.5" hidden="1" customHeight="1" x14ac:dyDescent="0.25">
      <c r="A65" s="218" t="s">
        <v>121</v>
      </c>
      <c r="B65" s="202"/>
      <c r="C65" s="202"/>
      <c r="D65" s="202"/>
      <c r="E65" s="202"/>
      <c r="F65" s="202"/>
      <c r="G65" s="202"/>
      <c r="H65" s="202"/>
      <c r="I65" s="202"/>
      <c r="J65" s="202"/>
      <c r="K65" s="202"/>
      <c r="L65" s="202"/>
      <c r="M65" s="202"/>
      <c r="N65" s="202"/>
      <c r="O65" s="202"/>
      <c r="P65" s="202"/>
      <c r="Q65" s="202"/>
      <c r="R65" s="202"/>
      <c r="S65" s="202"/>
      <c r="T65" s="202"/>
      <c r="U65" s="202"/>
      <c r="V65" s="202"/>
      <c r="W65" s="202"/>
      <c r="X65" s="202"/>
      <c r="Y65" s="202"/>
      <c r="Z65" s="182"/>
      <c r="AA65" s="182"/>
    </row>
    <row r="66" spans="1:54" ht="14.25" hidden="1" customHeight="1" x14ac:dyDescent="0.25">
      <c r="A66" s="201" t="s">
        <v>122</v>
      </c>
      <c r="B66" s="202"/>
      <c r="C66" s="202"/>
      <c r="D66" s="202"/>
      <c r="E66" s="202"/>
      <c r="F66" s="202"/>
      <c r="G66" s="202"/>
      <c r="H66" s="202"/>
      <c r="I66" s="202"/>
      <c r="J66" s="202"/>
      <c r="K66" s="202"/>
      <c r="L66" s="202"/>
      <c r="M66" s="202"/>
      <c r="N66" s="202"/>
      <c r="O66" s="202"/>
      <c r="P66" s="202"/>
      <c r="Q66" s="202"/>
      <c r="R66" s="202"/>
      <c r="S66" s="202"/>
      <c r="T66" s="202"/>
      <c r="U66" s="202"/>
      <c r="V66" s="202"/>
      <c r="W66" s="202"/>
      <c r="X66" s="202"/>
      <c r="Y66" s="202"/>
      <c r="Z66" s="181"/>
      <c r="AA66" s="181"/>
    </row>
    <row r="67" spans="1:54" ht="27" hidden="1" customHeight="1" x14ac:dyDescent="0.25">
      <c r="A67" s="54" t="s">
        <v>123</v>
      </c>
      <c r="B67" s="54" t="s">
        <v>124</v>
      </c>
      <c r="C67" s="31">
        <v>4301135113</v>
      </c>
      <c r="D67" s="197">
        <v>4607111033659</v>
      </c>
      <c r="E67" s="196"/>
      <c r="F67" s="187">
        <v>0.3</v>
      </c>
      <c r="G67" s="32">
        <v>12</v>
      </c>
      <c r="H67" s="187">
        <v>3.6</v>
      </c>
      <c r="I67" s="187">
        <v>4.3036000000000003</v>
      </c>
      <c r="J67" s="32">
        <v>70</v>
      </c>
      <c r="K67" s="32" t="s">
        <v>75</v>
      </c>
      <c r="L67" s="33" t="s">
        <v>66</v>
      </c>
      <c r="M67" s="33"/>
      <c r="N67" s="32">
        <v>180</v>
      </c>
      <c r="O67" s="346" t="str">
        <f>HYPERLINK("https://abi.ru/products/Замороженные/Горячая штучка/Бельмеши/Снеки/P002878/","Бельмеши сочные с мясом Базовый ассортимент Фикс.вес 0,3 Лоток Горячая штучка")</f>
        <v>Бельмеши сочные с мясом Базовый ассортимент Фикс.вес 0,3 Лоток Горячая штучка</v>
      </c>
      <c r="P67" s="195"/>
      <c r="Q67" s="195"/>
      <c r="R67" s="195"/>
      <c r="S67" s="196"/>
      <c r="T67" s="34"/>
      <c r="U67" s="34"/>
      <c r="V67" s="35" t="s">
        <v>67</v>
      </c>
      <c r="W67" s="188">
        <v>0</v>
      </c>
      <c r="X67" s="189">
        <f>IFERROR(IF(W67="","",W67),"")</f>
        <v>0</v>
      </c>
      <c r="Y67" s="36">
        <f>IFERROR(IF(W67="","",W67*0.01788),"")</f>
        <v>0</v>
      </c>
      <c r="Z67" s="56"/>
      <c r="AA67" s="57"/>
      <c r="AE67" s="61"/>
      <c r="BB67" s="88" t="s">
        <v>76</v>
      </c>
    </row>
    <row r="68" spans="1:54" hidden="1" x14ac:dyDescent="0.2">
      <c r="A68" s="203"/>
      <c r="B68" s="202"/>
      <c r="C68" s="202"/>
      <c r="D68" s="202"/>
      <c r="E68" s="202"/>
      <c r="F68" s="202"/>
      <c r="G68" s="202"/>
      <c r="H68" s="202"/>
      <c r="I68" s="202"/>
      <c r="J68" s="202"/>
      <c r="K68" s="202"/>
      <c r="L68" s="202"/>
      <c r="M68" s="202"/>
      <c r="N68" s="204"/>
      <c r="O68" s="198" t="s">
        <v>68</v>
      </c>
      <c r="P68" s="199"/>
      <c r="Q68" s="199"/>
      <c r="R68" s="199"/>
      <c r="S68" s="199"/>
      <c r="T68" s="199"/>
      <c r="U68" s="200"/>
      <c r="V68" s="37" t="s">
        <v>67</v>
      </c>
      <c r="W68" s="190">
        <f>IFERROR(SUM(W67:W67),"0")</f>
        <v>0</v>
      </c>
      <c r="X68" s="190">
        <f>IFERROR(SUM(X67:X67),"0")</f>
        <v>0</v>
      </c>
      <c r="Y68" s="190">
        <f>IFERROR(IF(Y67="",0,Y67),"0")</f>
        <v>0</v>
      </c>
      <c r="Z68" s="191"/>
      <c r="AA68" s="191"/>
    </row>
    <row r="69" spans="1:54" hidden="1" x14ac:dyDescent="0.2">
      <c r="A69" s="202"/>
      <c r="B69" s="202"/>
      <c r="C69" s="202"/>
      <c r="D69" s="202"/>
      <c r="E69" s="202"/>
      <c r="F69" s="202"/>
      <c r="G69" s="202"/>
      <c r="H69" s="202"/>
      <c r="I69" s="202"/>
      <c r="J69" s="202"/>
      <c r="K69" s="202"/>
      <c r="L69" s="202"/>
      <c r="M69" s="202"/>
      <c r="N69" s="204"/>
      <c r="O69" s="198" t="s">
        <v>68</v>
      </c>
      <c r="P69" s="199"/>
      <c r="Q69" s="199"/>
      <c r="R69" s="199"/>
      <c r="S69" s="199"/>
      <c r="T69" s="199"/>
      <c r="U69" s="200"/>
      <c r="V69" s="37" t="s">
        <v>69</v>
      </c>
      <c r="W69" s="190">
        <f>IFERROR(SUMPRODUCT(W67:W67*H67:H67),"0")</f>
        <v>0</v>
      </c>
      <c r="X69" s="190">
        <f>IFERROR(SUMPRODUCT(X67:X67*H67:H67),"0")</f>
        <v>0</v>
      </c>
      <c r="Y69" s="37"/>
      <c r="Z69" s="191"/>
      <c r="AA69" s="191"/>
    </row>
    <row r="70" spans="1:54" ht="16.5" hidden="1" customHeight="1" x14ac:dyDescent="0.25">
      <c r="A70" s="218" t="s">
        <v>125</v>
      </c>
      <c r="B70" s="202"/>
      <c r="C70" s="202"/>
      <c r="D70" s="202"/>
      <c r="E70" s="202"/>
      <c r="F70" s="202"/>
      <c r="G70" s="202"/>
      <c r="H70" s="202"/>
      <c r="I70" s="202"/>
      <c r="J70" s="202"/>
      <c r="K70" s="202"/>
      <c r="L70" s="202"/>
      <c r="M70" s="202"/>
      <c r="N70" s="202"/>
      <c r="O70" s="202"/>
      <c r="P70" s="202"/>
      <c r="Q70" s="202"/>
      <c r="R70" s="202"/>
      <c r="S70" s="202"/>
      <c r="T70" s="202"/>
      <c r="U70" s="202"/>
      <c r="V70" s="202"/>
      <c r="W70" s="202"/>
      <c r="X70" s="202"/>
      <c r="Y70" s="202"/>
      <c r="Z70" s="182"/>
      <c r="AA70" s="182"/>
    </row>
    <row r="71" spans="1:54" ht="14.25" hidden="1" customHeight="1" x14ac:dyDescent="0.25">
      <c r="A71" s="201" t="s">
        <v>126</v>
      </c>
      <c r="B71" s="202"/>
      <c r="C71" s="202"/>
      <c r="D71" s="202"/>
      <c r="E71" s="202"/>
      <c r="F71" s="202"/>
      <c r="G71" s="202"/>
      <c r="H71" s="202"/>
      <c r="I71" s="202"/>
      <c r="J71" s="202"/>
      <c r="K71" s="202"/>
      <c r="L71" s="202"/>
      <c r="M71" s="202"/>
      <c r="N71" s="202"/>
      <c r="O71" s="202"/>
      <c r="P71" s="202"/>
      <c r="Q71" s="202"/>
      <c r="R71" s="202"/>
      <c r="S71" s="202"/>
      <c r="T71" s="202"/>
      <c r="U71" s="202"/>
      <c r="V71" s="202"/>
      <c r="W71" s="202"/>
      <c r="X71" s="202"/>
      <c r="Y71" s="202"/>
      <c r="Z71" s="181"/>
      <c r="AA71" s="181"/>
    </row>
    <row r="72" spans="1:54" ht="27" hidden="1" customHeight="1" x14ac:dyDescent="0.25">
      <c r="A72" s="54" t="s">
        <v>127</v>
      </c>
      <c r="B72" s="54" t="s">
        <v>128</v>
      </c>
      <c r="C72" s="31">
        <v>4301131012</v>
      </c>
      <c r="D72" s="197">
        <v>4607111034137</v>
      </c>
      <c r="E72" s="196"/>
      <c r="F72" s="187">
        <v>0.3</v>
      </c>
      <c r="G72" s="32">
        <v>12</v>
      </c>
      <c r="H72" s="187">
        <v>3.6</v>
      </c>
      <c r="I72" s="187">
        <v>4.3036000000000003</v>
      </c>
      <c r="J72" s="32">
        <v>70</v>
      </c>
      <c r="K72" s="32" t="s">
        <v>75</v>
      </c>
      <c r="L72" s="33" t="s">
        <v>66</v>
      </c>
      <c r="M72" s="33"/>
      <c r="N72" s="32">
        <v>180</v>
      </c>
      <c r="O72" s="375" t="str">
        <f>HYPERLINK("https://abi.ru/products/Замороженные/Горячая штучка/Крылышки ГШ/Крылья/P002882/","Крылья Крылышки острые к пиву Базовый ассортимент Фикс.вес 0,3 Лоток Горячая штучка")</f>
        <v>Крылья Крылышки острые к пиву Базовый ассортимент Фикс.вес 0,3 Лоток Горячая штучка</v>
      </c>
      <c r="P72" s="195"/>
      <c r="Q72" s="195"/>
      <c r="R72" s="195"/>
      <c r="S72" s="196"/>
      <c r="T72" s="34"/>
      <c r="U72" s="34"/>
      <c r="V72" s="35" t="s">
        <v>67</v>
      </c>
      <c r="W72" s="188">
        <v>0</v>
      </c>
      <c r="X72" s="189">
        <f>IFERROR(IF(W72="","",W72),"")</f>
        <v>0</v>
      </c>
      <c r="Y72" s="36">
        <f>IFERROR(IF(W72="","",W72*0.01788),"")</f>
        <v>0</v>
      </c>
      <c r="Z72" s="56"/>
      <c r="AA72" s="57"/>
      <c r="AE72" s="61"/>
      <c r="BB72" s="89" t="s">
        <v>76</v>
      </c>
    </row>
    <row r="73" spans="1:54" ht="27" customHeight="1" x14ac:dyDescent="0.25">
      <c r="A73" s="54" t="s">
        <v>129</v>
      </c>
      <c r="B73" s="54" t="s">
        <v>130</v>
      </c>
      <c r="C73" s="31">
        <v>4301131011</v>
      </c>
      <c r="D73" s="197">
        <v>4607111034120</v>
      </c>
      <c r="E73" s="196"/>
      <c r="F73" s="187">
        <v>0.3</v>
      </c>
      <c r="G73" s="32">
        <v>12</v>
      </c>
      <c r="H73" s="187">
        <v>3.6</v>
      </c>
      <c r="I73" s="187">
        <v>4.3036000000000003</v>
      </c>
      <c r="J73" s="32">
        <v>70</v>
      </c>
      <c r="K73" s="32" t="s">
        <v>75</v>
      </c>
      <c r="L73" s="33" t="s">
        <v>66</v>
      </c>
      <c r="M73" s="33"/>
      <c r="N73" s="32">
        <v>180</v>
      </c>
      <c r="O73" s="294" t="str">
        <f>HYPERLINK("https://abi.ru/products/Замороженные/Горячая штучка/Крылышки ГШ/Крылья/P002881/","Крылья Хрустящие крылышки Базовый ассортимент Фикс.вес 0,3 Лоток Горячая штучка")</f>
        <v>Крылья Хрустящие крылышки Базовый ассортимент Фикс.вес 0,3 Лоток Горячая штучка</v>
      </c>
      <c r="P73" s="195"/>
      <c r="Q73" s="195"/>
      <c r="R73" s="195"/>
      <c r="S73" s="196"/>
      <c r="T73" s="34"/>
      <c r="U73" s="34"/>
      <c r="V73" s="35" t="s">
        <v>67</v>
      </c>
      <c r="W73" s="188">
        <v>10</v>
      </c>
      <c r="X73" s="189">
        <f>IFERROR(IF(W73="","",W73),"")</f>
        <v>10</v>
      </c>
      <c r="Y73" s="36">
        <f>IFERROR(IF(W73="","",W73*0.01788),"")</f>
        <v>0.17880000000000001</v>
      </c>
      <c r="Z73" s="56"/>
      <c r="AA73" s="57"/>
      <c r="AE73" s="61"/>
      <c r="BB73" s="90" t="s">
        <v>76</v>
      </c>
    </row>
    <row r="74" spans="1:54" x14ac:dyDescent="0.2">
      <c r="A74" s="203"/>
      <c r="B74" s="202"/>
      <c r="C74" s="202"/>
      <c r="D74" s="202"/>
      <c r="E74" s="202"/>
      <c r="F74" s="202"/>
      <c r="G74" s="202"/>
      <c r="H74" s="202"/>
      <c r="I74" s="202"/>
      <c r="J74" s="202"/>
      <c r="K74" s="202"/>
      <c r="L74" s="202"/>
      <c r="M74" s="202"/>
      <c r="N74" s="204"/>
      <c r="O74" s="198" t="s">
        <v>68</v>
      </c>
      <c r="P74" s="199"/>
      <c r="Q74" s="199"/>
      <c r="R74" s="199"/>
      <c r="S74" s="199"/>
      <c r="T74" s="199"/>
      <c r="U74" s="200"/>
      <c r="V74" s="37" t="s">
        <v>67</v>
      </c>
      <c r="W74" s="190">
        <f>IFERROR(SUM(W72:W73),"0")</f>
        <v>10</v>
      </c>
      <c r="X74" s="190">
        <f>IFERROR(SUM(X72:X73),"0")</f>
        <v>10</v>
      </c>
      <c r="Y74" s="190">
        <f>IFERROR(IF(Y72="",0,Y72),"0")+IFERROR(IF(Y73="",0,Y73),"0")</f>
        <v>0.17880000000000001</v>
      </c>
      <c r="Z74" s="191"/>
      <c r="AA74" s="191"/>
    </row>
    <row r="75" spans="1:54" x14ac:dyDescent="0.2">
      <c r="A75" s="202"/>
      <c r="B75" s="202"/>
      <c r="C75" s="202"/>
      <c r="D75" s="202"/>
      <c r="E75" s="202"/>
      <c r="F75" s="202"/>
      <c r="G75" s="202"/>
      <c r="H75" s="202"/>
      <c r="I75" s="202"/>
      <c r="J75" s="202"/>
      <c r="K75" s="202"/>
      <c r="L75" s="202"/>
      <c r="M75" s="202"/>
      <c r="N75" s="204"/>
      <c r="O75" s="198" t="s">
        <v>68</v>
      </c>
      <c r="P75" s="199"/>
      <c r="Q75" s="199"/>
      <c r="R75" s="199"/>
      <c r="S75" s="199"/>
      <c r="T75" s="199"/>
      <c r="U75" s="200"/>
      <c r="V75" s="37" t="s">
        <v>69</v>
      </c>
      <c r="W75" s="190">
        <f>IFERROR(SUMPRODUCT(W72:W73*H72:H73),"0")</f>
        <v>36</v>
      </c>
      <c r="X75" s="190">
        <f>IFERROR(SUMPRODUCT(X72:X73*H72:H73),"0")</f>
        <v>36</v>
      </c>
      <c r="Y75" s="37"/>
      <c r="Z75" s="191"/>
      <c r="AA75" s="191"/>
    </row>
    <row r="76" spans="1:54" ht="16.5" hidden="1" customHeight="1" x14ac:dyDescent="0.25">
      <c r="A76" s="218" t="s">
        <v>131</v>
      </c>
      <c r="B76" s="202"/>
      <c r="C76" s="202"/>
      <c r="D76" s="202"/>
      <c r="E76" s="202"/>
      <c r="F76" s="202"/>
      <c r="G76" s="202"/>
      <c r="H76" s="202"/>
      <c r="I76" s="202"/>
      <c r="J76" s="202"/>
      <c r="K76" s="202"/>
      <c r="L76" s="202"/>
      <c r="M76" s="202"/>
      <c r="N76" s="202"/>
      <c r="O76" s="202"/>
      <c r="P76" s="202"/>
      <c r="Q76" s="202"/>
      <c r="R76" s="202"/>
      <c r="S76" s="202"/>
      <c r="T76" s="202"/>
      <c r="U76" s="202"/>
      <c r="V76" s="202"/>
      <c r="W76" s="202"/>
      <c r="X76" s="202"/>
      <c r="Y76" s="202"/>
      <c r="Z76" s="182"/>
      <c r="AA76" s="182"/>
    </row>
    <row r="77" spans="1:54" ht="14.25" hidden="1" customHeight="1" x14ac:dyDescent="0.25">
      <c r="A77" s="201" t="s">
        <v>122</v>
      </c>
      <c r="B77" s="202"/>
      <c r="C77" s="202"/>
      <c r="D77" s="202"/>
      <c r="E77" s="202"/>
      <c r="F77" s="202"/>
      <c r="G77" s="202"/>
      <c r="H77" s="202"/>
      <c r="I77" s="202"/>
      <c r="J77" s="202"/>
      <c r="K77" s="202"/>
      <c r="L77" s="202"/>
      <c r="M77" s="202"/>
      <c r="N77" s="202"/>
      <c r="O77" s="202"/>
      <c r="P77" s="202"/>
      <c r="Q77" s="202"/>
      <c r="R77" s="202"/>
      <c r="S77" s="202"/>
      <c r="T77" s="202"/>
      <c r="U77" s="202"/>
      <c r="V77" s="202"/>
      <c r="W77" s="202"/>
      <c r="X77" s="202"/>
      <c r="Y77" s="202"/>
      <c r="Z77" s="181"/>
      <c r="AA77" s="181"/>
    </row>
    <row r="78" spans="1:54" ht="27" hidden="1" customHeight="1" x14ac:dyDescent="0.25">
      <c r="A78" s="54" t="s">
        <v>132</v>
      </c>
      <c r="B78" s="54" t="s">
        <v>133</v>
      </c>
      <c r="C78" s="31">
        <v>4301135053</v>
      </c>
      <c r="D78" s="197">
        <v>4607111036407</v>
      </c>
      <c r="E78" s="196"/>
      <c r="F78" s="187">
        <v>0.3</v>
      </c>
      <c r="G78" s="32">
        <v>14</v>
      </c>
      <c r="H78" s="187">
        <v>4.2</v>
      </c>
      <c r="I78" s="187">
        <v>4.5292000000000003</v>
      </c>
      <c r="J78" s="32">
        <v>70</v>
      </c>
      <c r="K78" s="32" t="s">
        <v>75</v>
      </c>
      <c r="L78" s="33" t="s">
        <v>66</v>
      </c>
      <c r="M78" s="33"/>
      <c r="N78" s="32">
        <v>180</v>
      </c>
      <c r="O78" s="287" t="str">
        <f>HYPERLINK("https://abi.ru/products/Замороженные/Горячая штучка/Чебупели/Снеки/P002566/","Чебупели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P78" s="195"/>
      <c r="Q78" s="195"/>
      <c r="R78" s="195"/>
      <c r="S78" s="196"/>
      <c r="T78" s="34"/>
      <c r="U78" s="34"/>
      <c r="V78" s="35" t="s">
        <v>67</v>
      </c>
      <c r="W78" s="188">
        <v>0</v>
      </c>
      <c r="X78" s="189">
        <f t="shared" ref="X78:X83" si="2">IFERROR(IF(W78="","",W78),"")</f>
        <v>0</v>
      </c>
      <c r="Y78" s="36">
        <f t="shared" ref="Y78:Y83" si="3">IFERROR(IF(W78="","",W78*0.01788),"")</f>
        <v>0</v>
      </c>
      <c r="Z78" s="56"/>
      <c r="AA78" s="57"/>
      <c r="AE78" s="61"/>
      <c r="BB78" s="91" t="s">
        <v>76</v>
      </c>
    </row>
    <row r="79" spans="1:54" ht="16.5" customHeight="1" x14ac:dyDescent="0.25">
      <c r="A79" s="54" t="s">
        <v>134</v>
      </c>
      <c r="B79" s="54" t="s">
        <v>135</v>
      </c>
      <c r="C79" s="31">
        <v>4301135122</v>
      </c>
      <c r="D79" s="197">
        <v>4607111033628</v>
      </c>
      <c r="E79" s="196"/>
      <c r="F79" s="187">
        <v>0.3</v>
      </c>
      <c r="G79" s="32">
        <v>12</v>
      </c>
      <c r="H79" s="187">
        <v>3.6</v>
      </c>
      <c r="I79" s="187">
        <v>4.3036000000000003</v>
      </c>
      <c r="J79" s="32">
        <v>70</v>
      </c>
      <c r="K79" s="32" t="s">
        <v>75</v>
      </c>
      <c r="L79" s="33" t="s">
        <v>66</v>
      </c>
      <c r="M79" s="33"/>
      <c r="N79" s="32">
        <v>180</v>
      </c>
      <c r="O79" s="271" t="str">
        <f>HYPERLINK("https://abi.ru/products/Замороженные/Горячая штучка/Чебупели/Снеки/P002892/","Чебупели острые Базовый ассортимент Фикс.вес 0,3 Лоток Горячая штучка")</f>
        <v>Чебупели острые Базовый ассортимент Фикс.вес 0,3 Лоток Горячая штучка</v>
      </c>
      <c r="P79" s="195"/>
      <c r="Q79" s="195"/>
      <c r="R79" s="195"/>
      <c r="S79" s="196"/>
      <c r="T79" s="34"/>
      <c r="U79" s="34"/>
      <c r="V79" s="35" t="s">
        <v>67</v>
      </c>
      <c r="W79" s="188">
        <v>30</v>
      </c>
      <c r="X79" s="189">
        <f t="shared" si="2"/>
        <v>30</v>
      </c>
      <c r="Y79" s="36">
        <f t="shared" si="3"/>
        <v>0.53639999999999999</v>
      </c>
      <c r="Z79" s="56"/>
      <c r="AA79" s="57"/>
      <c r="AE79" s="61"/>
      <c r="BB79" s="92" t="s">
        <v>76</v>
      </c>
    </row>
    <row r="80" spans="1:54" ht="27" hidden="1" customHeight="1" x14ac:dyDescent="0.25">
      <c r="A80" s="54" t="s">
        <v>136</v>
      </c>
      <c r="B80" s="54" t="s">
        <v>137</v>
      </c>
      <c r="C80" s="31">
        <v>4301130400</v>
      </c>
      <c r="D80" s="197">
        <v>4607111033451</v>
      </c>
      <c r="E80" s="196"/>
      <c r="F80" s="187">
        <v>0.3</v>
      </c>
      <c r="G80" s="32">
        <v>12</v>
      </c>
      <c r="H80" s="187">
        <v>3.6</v>
      </c>
      <c r="I80" s="187">
        <v>4.3036000000000003</v>
      </c>
      <c r="J80" s="32">
        <v>70</v>
      </c>
      <c r="K80" s="32" t="s">
        <v>75</v>
      </c>
      <c r="L80" s="33" t="s">
        <v>66</v>
      </c>
      <c r="M80" s="33"/>
      <c r="N80" s="32">
        <v>180</v>
      </c>
      <c r="O80" s="267" t="str">
        <f>HYPERLINK("https://abi.ru/products/Замороженные/Горячая штучка/Чебупели/Снеки/P000419/","Чебупели с ветчиной и сыром Базовый ассортимент Фикс.вес 0,3 Лоток Горячая штучка")</f>
        <v>Чебупели с ветчиной и сыром Базовый ассортимент Фикс.вес 0,3 Лоток Горячая штучка</v>
      </c>
      <c r="P80" s="195"/>
      <c r="Q80" s="195"/>
      <c r="R80" s="195"/>
      <c r="S80" s="196"/>
      <c r="T80" s="34"/>
      <c r="U80" s="34"/>
      <c r="V80" s="35" t="s">
        <v>67</v>
      </c>
      <c r="W80" s="188">
        <v>0</v>
      </c>
      <c r="X80" s="189">
        <f t="shared" si="2"/>
        <v>0</v>
      </c>
      <c r="Y80" s="36">
        <f t="shared" si="3"/>
        <v>0</v>
      </c>
      <c r="Z80" s="56"/>
      <c r="AA80" s="57"/>
      <c r="AE80" s="61"/>
      <c r="BB80" s="93" t="s">
        <v>76</v>
      </c>
    </row>
    <row r="81" spans="1:54" ht="27" hidden="1" customHeight="1" x14ac:dyDescent="0.25">
      <c r="A81" s="54" t="s">
        <v>138</v>
      </c>
      <c r="B81" s="54" t="s">
        <v>139</v>
      </c>
      <c r="C81" s="31">
        <v>4301135120</v>
      </c>
      <c r="D81" s="197">
        <v>4607111035141</v>
      </c>
      <c r="E81" s="196"/>
      <c r="F81" s="187">
        <v>0.3</v>
      </c>
      <c r="G81" s="32">
        <v>12</v>
      </c>
      <c r="H81" s="187">
        <v>3.6</v>
      </c>
      <c r="I81" s="187">
        <v>4.3036000000000003</v>
      </c>
      <c r="J81" s="32">
        <v>70</v>
      </c>
      <c r="K81" s="32" t="s">
        <v>75</v>
      </c>
      <c r="L81" s="33" t="s">
        <v>66</v>
      </c>
      <c r="M81" s="33"/>
      <c r="N81" s="32">
        <v>180</v>
      </c>
      <c r="O81" s="272" t="str">
        <f>HYPERLINK("https://abi.ru/products/Замороженные/Горячая штучка/Чебупели/Снеки/P002888/","Чебупели с мясом без свинины Базовый ассортимент Фикс.вес 0,3 Лоток Горячая штучка")</f>
        <v>Чебупели с мясом без свинины Базовый ассортимент Фикс.вес 0,3 Лоток Горячая штучка</v>
      </c>
      <c r="P81" s="195"/>
      <c r="Q81" s="195"/>
      <c r="R81" s="195"/>
      <c r="S81" s="196"/>
      <c r="T81" s="34"/>
      <c r="U81" s="34"/>
      <c r="V81" s="35" t="s">
        <v>67</v>
      </c>
      <c r="W81" s="188">
        <v>0</v>
      </c>
      <c r="X81" s="189">
        <f t="shared" si="2"/>
        <v>0</v>
      </c>
      <c r="Y81" s="36">
        <f t="shared" si="3"/>
        <v>0</v>
      </c>
      <c r="Z81" s="56"/>
      <c r="AA81" s="57"/>
      <c r="AE81" s="61"/>
      <c r="BB81" s="94" t="s">
        <v>76</v>
      </c>
    </row>
    <row r="82" spans="1:54" ht="27" hidden="1" customHeight="1" x14ac:dyDescent="0.25">
      <c r="A82" s="54" t="s">
        <v>140</v>
      </c>
      <c r="B82" s="54" t="s">
        <v>141</v>
      </c>
      <c r="C82" s="31">
        <v>4301135111</v>
      </c>
      <c r="D82" s="197">
        <v>4607111035028</v>
      </c>
      <c r="E82" s="196"/>
      <c r="F82" s="187">
        <v>0.48</v>
      </c>
      <c r="G82" s="32">
        <v>8</v>
      </c>
      <c r="H82" s="187">
        <v>3.84</v>
      </c>
      <c r="I82" s="187">
        <v>4.4488000000000003</v>
      </c>
      <c r="J82" s="32">
        <v>70</v>
      </c>
      <c r="K82" s="32" t="s">
        <v>75</v>
      </c>
      <c r="L82" s="33" t="s">
        <v>66</v>
      </c>
      <c r="M82" s="33"/>
      <c r="N82" s="32">
        <v>180</v>
      </c>
      <c r="O82" s="357" t="str">
        <f>HYPERLINK("https://abi.ru/products/Замороженные/Горячая штучка/Чебупели/Снеки/P002876/","Чебупели с мясом Базовый ассортимент Фикс.вес 0,48 Лоток Горячая штучка ХХЛ")</f>
        <v>Чебупели с мясом Базовый ассортимент Фикс.вес 0,48 Лоток Горячая штучка ХХЛ</v>
      </c>
      <c r="P82" s="195"/>
      <c r="Q82" s="195"/>
      <c r="R82" s="195"/>
      <c r="S82" s="196"/>
      <c r="T82" s="34"/>
      <c r="U82" s="34"/>
      <c r="V82" s="35" t="s">
        <v>67</v>
      </c>
      <c r="W82" s="188">
        <v>0</v>
      </c>
      <c r="X82" s="189">
        <f t="shared" si="2"/>
        <v>0</v>
      </c>
      <c r="Y82" s="36">
        <f t="shared" si="3"/>
        <v>0</v>
      </c>
      <c r="Z82" s="56"/>
      <c r="AA82" s="57"/>
      <c r="AE82" s="61"/>
      <c r="BB82" s="95" t="s">
        <v>76</v>
      </c>
    </row>
    <row r="83" spans="1:54" ht="27" hidden="1" customHeight="1" x14ac:dyDescent="0.25">
      <c r="A83" s="54" t="s">
        <v>142</v>
      </c>
      <c r="B83" s="54" t="s">
        <v>143</v>
      </c>
      <c r="C83" s="31">
        <v>4301135109</v>
      </c>
      <c r="D83" s="197">
        <v>4607111033444</v>
      </c>
      <c r="E83" s="196"/>
      <c r="F83" s="187">
        <v>0.3</v>
      </c>
      <c r="G83" s="32">
        <v>12</v>
      </c>
      <c r="H83" s="187">
        <v>3.6</v>
      </c>
      <c r="I83" s="187">
        <v>4.3036000000000003</v>
      </c>
      <c r="J83" s="32">
        <v>70</v>
      </c>
      <c r="K83" s="32" t="s">
        <v>75</v>
      </c>
      <c r="L83" s="33" t="s">
        <v>66</v>
      </c>
      <c r="M83" s="33"/>
      <c r="N83" s="32">
        <v>180</v>
      </c>
      <c r="O83" s="363" t="str">
        <f>HYPERLINK("https://abi.ru/products/Замороженные/Горячая штучка/Чебупели/Снеки/P002874/","Чебупели сочные с мясом Базовый ассортимент Фикс.вес 0,3 Лоток Горячая штучка")</f>
        <v>Чебупели сочные с мясом Базовый ассортимент Фикс.вес 0,3 Лоток Горячая штучка</v>
      </c>
      <c r="P83" s="195"/>
      <c r="Q83" s="195"/>
      <c r="R83" s="195"/>
      <c r="S83" s="196"/>
      <c r="T83" s="34"/>
      <c r="U83" s="34"/>
      <c r="V83" s="35" t="s">
        <v>67</v>
      </c>
      <c r="W83" s="188">
        <v>0</v>
      </c>
      <c r="X83" s="189">
        <f t="shared" si="2"/>
        <v>0</v>
      </c>
      <c r="Y83" s="36">
        <f t="shared" si="3"/>
        <v>0</v>
      </c>
      <c r="Z83" s="56"/>
      <c r="AA83" s="57"/>
      <c r="AE83" s="61"/>
      <c r="BB83" s="96" t="s">
        <v>76</v>
      </c>
    </row>
    <row r="84" spans="1:54" x14ac:dyDescent="0.2">
      <c r="A84" s="203"/>
      <c r="B84" s="202"/>
      <c r="C84" s="202"/>
      <c r="D84" s="202"/>
      <c r="E84" s="202"/>
      <c r="F84" s="202"/>
      <c r="G84" s="202"/>
      <c r="H84" s="202"/>
      <c r="I84" s="202"/>
      <c r="J84" s="202"/>
      <c r="K84" s="202"/>
      <c r="L84" s="202"/>
      <c r="M84" s="202"/>
      <c r="N84" s="204"/>
      <c r="O84" s="198" t="s">
        <v>68</v>
      </c>
      <c r="P84" s="199"/>
      <c r="Q84" s="199"/>
      <c r="R84" s="199"/>
      <c r="S84" s="199"/>
      <c r="T84" s="199"/>
      <c r="U84" s="200"/>
      <c r="V84" s="37" t="s">
        <v>67</v>
      </c>
      <c r="W84" s="190">
        <f>IFERROR(SUM(W78:W83),"0")</f>
        <v>30</v>
      </c>
      <c r="X84" s="190">
        <f>IFERROR(SUM(X78:X83),"0")</f>
        <v>30</v>
      </c>
      <c r="Y84" s="190">
        <f>IFERROR(IF(Y78="",0,Y78),"0")+IFERROR(IF(Y79="",0,Y79),"0")+IFERROR(IF(Y80="",0,Y80),"0")+IFERROR(IF(Y81="",0,Y81),"0")+IFERROR(IF(Y82="",0,Y82),"0")+IFERROR(IF(Y83="",0,Y83),"0")</f>
        <v>0.53639999999999999</v>
      </c>
      <c r="Z84" s="191"/>
      <c r="AA84" s="191"/>
    </row>
    <row r="85" spans="1:54" x14ac:dyDescent="0.2">
      <c r="A85" s="202"/>
      <c r="B85" s="202"/>
      <c r="C85" s="202"/>
      <c r="D85" s="202"/>
      <c r="E85" s="202"/>
      <c r="F85" s="202"/>
      <c r="G85" s="202"/>
      <c r="H85" s="202"/>
      <c r="I85" s="202"/>
      <c r="J85" s="202"/>
      <c r="K85" s="202"/>
      <c r="L85" s="202"/>
      <c r="M85" s="202"/>
      <c r="N85" s="204"/>
      <c r="O85" s="198" t="s">
        <v>68</v>
      </c>
      <c r="P85" s="199"/>
      <c r="Q85" s="199"/>
      <c r="R85" s="199"/>
      <c r="S85" s="199"/>
      <c r="T85" s="199"/>
      <c r="U85" s="200"/>
      <c r="V85" s="37" t="s">
        <v>69</v>
      </c>
      <c r="W85" s="190">
        <f>IFERROR(SUMPRODUCT(W78:W83*H78:H83),"0")</f>
        <v>108</v>
      </c>
      <c r="X85" s="190">
        <f>IFERROR(SUMPRODUCT(X78:X83*H78:H83),"0")</f>
        <v>108</v>
      </c>
      <c r="Y85" s="37"/>
      <c r="Z85" s="191"/>
      <c r="AA85" s="191"/>
    </row>
    <row r="86" spans="1:54" ht="16.5" hidden="1" customHeight="1" x14ac:dyDescent="0.25">
      <c r="A86" s="218" t="s">
        <v>144</v>
      </c>
      <c r="B86" s="202"/>
      <c r="C86" s="202"/>
      <c r="D86" s="202"/>
      <c r="E86" s="202"/>
      <c r="F86" s="202"/>
      <c r="G86" s="202"/>
      <c r="H86" s="202"/>
      <c r="I86" s="202"/>
      <c r="J86" s="202"/>
      <c r="K86" s="202"/>
      <c r="L86" s="202"/>
      <c r="M86" s="202"/>
      <c r="N86" s="202"/>
      <c r="O86" s="202"/>
      <c r="P86" s="202"/>
      <c r="Q86" s="202"/>
      <c r="R86" s="202"/>
      <c r="S86" s="202"/>
      <c r="T86" s="202"/>
      <c r="U86" s="202"/>
      <c r="V86" s="202"/>
      <c r="W86" s="202"/>
      <c r="X86" s="202"/>
      <c r="Y86" s="202"/>
      <c r="Z86" s="182"/>
      <c r="AA86" s="182"/>
    </row>
    <row r="87" spans="1:54" ht="14.25" hidden="1" customHeight="1" x14ac:dyDescent="0.25">
      <c r="A87" s="201" t="s">
        <v>144</v>
      </c>
      <c r="B87" s="202"/>
      <c r="C87" s="202"/>
      <c r="D87" s="202"/>
      <c r="E87" s="202"/>
      <c r="F87" s="202"/>
      <c r="G87" s="202"/>
      <c r="H87" s="202"/>
      <c r="I87" s="202"/>
      <c r="J87" s="202"/>
      <c r="K87" s="202"/>
      <c r="L87" s="202"/>
      <c r="M87" s="202"/>
      <c r="N87" s="202"/>
      <c r="O87" s="202"/>
      <c r="P87" s="202"/>
      <c r="Q87" s="202"/>
      <c r="R87" s="202"/>
      <c r="S87" s="202"/>
      <c r="T87" s="202"/>
      <c r="U87" s="202"/>
      <c r="V87" s="202"/>
      <c r="W87" s="202"/>
      <c r="X87" s="202"/>
      <c r="Y87" s="202"/>
      <c r="Z87" s="181"/>
      <c r="AA87" s="181"/>
    </row>
    <row r="88" spans="1:54" ht="27" hidden="1" customHeight="1" x14ac:dyDescent="0.25">
      <c r="A88" s="54" t="s">
        <v>145</v>
      </c>
      <c r="B88" s="54" t="s">
        <v>146</v>
      </c>
      <c r="C88" s="31">
        <v>4301136013</v>
      </c>
      <c r="D88" s="197">
        <v>4607025784012</v>
      </c>
      <c r="E88" s="196"/>
      <c r="F88" s="187">
        <v>0.09</v>
      </c>
      <c r="G88" s="32">
        <v>24</v>
      </c>
      <c r="H88" s="187">
        <v>2.16</v>
      </c>
      <c r="I88" s="187">
        <v>2.4912000000000001</v>
      </c>
      <c r="J88" s="32">
        <v>126</v>
      </c>
      <c r="K88" s="32" t="s">
        <v>75</v>
      </c>
      <c r="L88" s="33" t="s">
        <v>66</v>
      </c>
      <c r="M88" s="33"/>
      <c r="N88" s="32">
        <v>180</v>
      </c>
      <c r="O88" s="317" t="str">
        <f>HYPERLINK("https://abi.ru/products/Замороженные/Горячая штучка/Чебуреки/Чебуреки/P002893/","Чебуреки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P88" s="195"/>
      <c r="Q88" s="195"/>
      <c r="R88" s="195"/>
      <c r="S88" s="196"/>
      <c r="T88" s="34"/>
      <c r="U88" s="34"/>
      <c r="V88" s="35" t="s">
        <v>67</v>
      </c>
      <c r="W88" s="188">
        <v>0</v>
      </c>
      <c r="X88" s="189">
        <f>IFERROR(IF(W88="","",W88),"")</f>
        <v>0</v>
      </c>
      <c r="Y88" s="36">
        <f>IFERROR(IF(W88="","",W88*0.00936),"")</f>
        <v>0</v>
      </c>
      <c r="Z88" s="56"/>
      <c r="AA88" s="57"/>
      <c r="AE88" s="61"/>
      <c r="BB88" s="97" t="s">
        <v>76</v>
      </c>
    </row>
    <row r="89" spans="1:54" ht="27" hidden="1" customHeight="1" x14ac:dyDescent="0.25">
      <c r="A89" s="54" t="s">
        <v>147</v>
      </c>
      <c r="B89" s="54" t="s">
        <v>148</v>
      </c>
      <c r="C89" s="31">
        <v>4301136012</v>
      </c>
      <c r="D89" s="197">
        <v>4607025784319</v>
      </c>
      <c r="E89" s="196"/>
      <c r="F89" s="187">
        <v>0.36</v>
      </c>
      <c r="G89" s="32">
        <v>10</v>
      </c>
      <c r="H89" s="187">
        <v>3.6</v>
      </c>
      <c r="I89" s="187">
        <v>4.2439999999999998</v>
      </c>
      <c r="J89" s="32">
        <v>70</v>
      </c>
      <c r="K89" s="32" t="s">
        <v>75</v>
      </c>
      <c r="L89" s="33" t="s">
        <v>66</v>
      </c>
      <c r="M89" s="33"/>
      <c r="N89" s="32">
        <v>180</v>
      </c>
      <c r="O89" s="341" t="str">
        <f>HYPERLINK("https://abi.ru/products/Замороженные/Горячая штучка/Чебуреки/Чебуреки/P002889/","Чебуреки со свининой и говядиной Базовый ассортимент Фикс.вес 0,36 Лоток Горячая штучка")</f>
        <v>Чебуреки со свининой и говядиной Базовый ассортимент Фикс.вес 0,36 Лоток Горячая штучка</v>
      </c>
      <c r="P89" s="195"/>
      <c r="Q89" s="195"/>
      <c r="R89" s="195"/>
      <c r="S89" s="196"/>
      <c r="T89" s="34"/>
      <c r="U89" s="34"/>
      <c r="V89" s="35" t="s">
        <v>67</v>
      </c>
      <c r="W89" s="188">
        <v>0</v>
      </c>
      <c r="X89" s="189">
        <f>IFERROR(IF(W89="","",W89),"")</f>
        <v>0</v>
      </c>
      <c r="Y89" s="36">
        <f>IFERROR(IF(W89="","",W89*0.01788),"")</f>
        <v>0</v>
      </c>
      <c r="Z89" s="56"/>
      <c r="AA89" s="57"/>
      <c r="AE89" s="61"/>
      <c r="BB89" s="98" t="s">
        <v>76</v>
      </c>
    </row>
    <row r="90" spans="1:54" ht="16.5" hidden="1" customHeight="1" x14ac:dyDescent="0.25">
      <c r="A90" s="54" t="s">
        <v>149</v>
      </c>
      <c r="B90" s="54" t="s">
        <v>150</v>
      </c>
      <c r="C90" s="31">
        <v>4301136014</v>
      </c>
      <c r="D90" s="197">
        <v>4607111035370</v>
      </c>
      <c r="E90" s="196"/>
      <c r="F90" s="187">
        <v>0.14000000000000001</v>
      </c>
      <c r="G90" s="32">
        <v>22</v>
      </c>
      <c r="H90" s="187">
        <v>3.08</v>
      </c>
      <c r="I90" s="187">
        <v>3.464</v>
      </c>
      <c r="J90" s="32">
        <v>84</v>
      </c>
      <c r="K90" s="32" t="s">
        <v>65</v>
      </c>
      <c r="L90" s="33" t="s">
        <v>66</v>
      </c>
      <c r="M90" s="33"/>
      <c r="N90" s="32">
        <v>180</v>
      </c>
      <c r="O90" s="348" t="str">
        <f>HYPERLINK("https://abi.ru/products/Замороженные/Горячая штучка/Чебуреки/Чебуреки/P002894/","Чебуречище Базовый ассортимент Штучка 0,14 Пленка Горячая штучка")</f>
        <v>Чебуречище Базовый ассортимент Штучка 0,14 Пленка Горячая штучка</v>
      </c>
      <c r="P90" s="195"/>
      <c r="Q90" s="195"/>
      <c r="R90" s="195"/>
      <c r="S90" s="196"/>
      <c r="T90" s="34"/>
      <c r="U90" s="34"/>
      <c r="V90" s="35" t="s">
        <v>67</v>
      </c>
      <c r="W90" s="188">
        <v>0</v>
      </c>
      <c r="X90" s="189">
        <f>IFERROR(IF(W90="","",W90),"")</f>
        <v>0</v>
      </c>
      <c r="Y90" s="36">
        <f>IFERROR(IF(W90="","",W90*0.0155),"")</f>
        <v>0</v>
      </c>
      <c r="Z90" s="56"/>
      <c r="AA90" s="57"/>
      <c r="AE90" s="61"/>
      <c r="BB90" s="99" t="s">
        <v>76</v>
      </c>
    </row>
    <row r="91" spans="1:54" hidden="1" x14ac:dyDescent="0.2">
      <c r="A91" s="203"/>
      <c r="B91" s="202"/>
      <c r="C91" s="202"/>
      <c r="D91" s="202"/>
      <c r="E91" s="202"/>
      <c r="F91" s="202"/>
      <c r="G91" s="202"/>
      <c r="H91" s="202"/>
      <c r="I91" s="202"/>
      <c r="J91" s="202"/>
      <c r="K91" s="202"/>
      <c r="L91" s="202"/>
      <c r="M91" s="202"/>
      <c r="N91" s="204"/>
      <c r="O91" s="198" t="s">
        <v>68</v>
      </c>
      <c r="P91" s="199"/>
      <c r="Q91" s="199"/>
      <c r="R91" s="199"/>
      <c r="S91" s="199"/>
      <c r="T91" s="199"/>
      <c r="U91" s="200"/>
      <c r="V91" s="37" t="s">
        <v>67</v>
      </c>
      <c r="W91" s="190">
        <f>IFERROR(SUM(W88:W90),"0")</f>
        <v>0</v>
      </c>
      <c r="X91" s="190">
        <f>IFERROR(SUM(X88:X90),"0")</f>
        <v>0</v>
      </c>
      <c r="Y91" s="190">
        <f>IFERROR(IF(Y88="",0,Y88),"0")+IFERROR(IF(Y89="",0,Y89),"0")+IFERROR(IF(Y90="",0,Y90),"0")</f>
        <v>0</v>
      </c>
      <c r="Z91" s="191"/>
      <c r="AA91" s="191"/>
    </row>
    <row r="92" spans="1:54" hidden="1" x14ac:dyDescent="0.2">
      <c r="A92" s="202"/>
      <c r="B92" s="202"/>
      <c r="C92" s="202"/>
      <c r="D92" s="202"/>
      <c r="E92" s="202"/>
      <c r="F92" s="202"/>
      <c r="G92" s="202"/>
      <c r="H92" s="202"/>
      <c r="I92" s="202"/>
      <c r="J92" s="202"/>
      <c r="K92" s="202"/>
      <c r="L92" s="202"/>
      <c r="M92" s="202"/>
      <c r="N92" s="204"/>
      <c r="O92" s="198" t="s">
        <v>68</v>
      </c>
      <c r="P92" s="199"/>
      <c r="Q92" s="199"/>
      <c r="R92" s="199"/>
      <c r="S92" s="199"/>
      <c r="T92" s="199"/>
      <c r="U92" s="200"/>
      <c r="V92" s="37" t="s">
        <v>69</v>
      </c>
      <c r="W92" s="190">
        <f>IFERROR(SUMPRODUCT(W88:W90*H88:H90),"0")</f>
        <v>0</v>
      </c>
      <c r="X92" s="190">
        <f>IFERROR(SUMPRODUCT(X88:X90*H88:H90),"0")</f>
        <v>0</v>
      </c>
      <c r="Y92" s="37"/>
      <c r="Z92" s="191"/>
      <c r="AA92" s="191"/>
    </row>
    <row r="93" spans="1:54" ht="16.5" hidden="1" customHeight="1" x14ac:dyDescent="0.25">
      <c r="A93" s="218" t="s">
        <v>151</v>
      </c>
      <c r="B93" s="202"/>
      <c r="C93" s="202"/>
      <c r="D93" s="202"/>
      <c r="E93" s="202"/>
      <c r="F93" s="202"/>
      <c r="G93" s="202"/>
      <c r="H93" s="202"/>
      <c r="I93" s="202"/>
      <c r="J93" s="202"/>
      <c r="K93" s="202"/>
      <c r="L93" s="202"/>
      <c r="M93" s="202"/>
      <c r="N93" s="202"/>
      <c r="O93" s="202"/>
      <c r="P93" s="202"/>
      <c r="Q93" s="202"/>
      <c r="R93" s="202"/>
      <c r="S93" s="202"/>
      <c r="T93" s="202"/>
      <c r="U93" s="202"/>
      <c r="V93" s="202"/>
      <c r="W93" s="202"/>
      <c r="X93" s="202"/>
      <c r="Y93" s="202"/>
      <c r="Z93" s="182"/>
      <c r="AA93" s="182"/>
    </row>
    <row r="94" spans="1:54" ht="14.25" hidden="1" customHeight="1" x14ac:dyDescent="0.25">
      <c r="A94" s="201" t="s">
        <v>62</v>
      </c>
      <c r="B94" s="202"/>
      <c r="C94" s="202"/>
      <c r="D94" s="202"/>
      <c r="E94" s="202"/>
      <c r="F94" s="202"/>
      <c r="G94" s="202"/>
      <c r="H94" s="202"/>
      <c r="I94" s="202"/>
      <c r="J94" s="202"/>
      <c r="K94" s="202"/>
      <c r="L94" s="202"/>
      <c r="M94" s="202"/>
      <c r="N94" s="202"/>
      <c r="O94" s="202"/>
      <c r="P94" s="202"/>
      <c r="Q94" s="202"/>
      <c r="R94" s="202"/>
      <c r="S94" s="202"/>
      <c r="T94" s="202"/>
      <c r="U94" s="202"/>
      <c r="V94" s="202"/>
      <c r="W94" s="202"/>
      <c r="X94" s="202"/>
      <c r="Y94" s="202"/>
      <c r="Z94" s="181"/>
      <c r="AA94" s="181"/>
    </row>
    <row r="95" spans="1:54" ht="27" hidden="1" customHeight="1" x14ac:dyDescent="0.25">
      <c r="A95" s="54" t="s">
        <v>152</v>
      </c>
      <c r="B95" s="54" t="s">
        <v>153</v>
      </c>
      <c r="C95" s="31">
        <v>4301070975</v>
      </c>
      <c r="D95" s="197">
        <v>4607111033970</v>
      </c>
      <c r="E95" s="196"/>
      <c r="F95" s="187">
        <v>0.43</v>
      </c>
      <c r="G95" s="32">
        <v>16</v>
      </c>
      <c r="H95" s="187">
        <v>6.88</v>
      </c>
      <c r="I95" s="187">
        <v>7.1996000000000002</v>
      </c>
      <c r="J95" s="32">
        <v>84</v>
      </c>
      <c r="K95" s="32" t="s">
        <v>65</v>
      </c>
      <c r="L95" s="33" t="s">
        <v>66</v>
      </c>
      <c r="M95" s="33"/>
      <c r="N95" s="32">
        <v>180</v>
      </c>
      <c r="O95" s="340" t="str">
        <f>HYPERLINK("https://abi.ru/products/Замороженные/Горячая штучка/Бульмени ГШ/Пельмени/P003685/","Пельмени «Бульмени с говядиной и свининой» 0,43 Сфера ТМ «Горячая штучка»")</f>
        <v>Пельмени «Бульмени с говядиной и свининой» 0,43 Сфера ТМ «Горячая штучка»</v>
      </c>
      <c r="P95" s="195"/>
      <c r="Q95" s="195"/>
      <c r="R95" s="195"/>
      <c r="S95" s="196"/>
      <c r="T95" s="34"/>
      <c r="U95" s="34"/>
      <c r="V95" s="35" t="s">
        <v>67</v>
      </c>
      <c r="W95" s="188">
        <v>0</v>
      </c>
      <c r="X95" s="189">
        <f>IFERROR(IF(W95="","",W95),"")</f>
        <v>0</v>
      </c>
      <c r="Y95" s="36">
        <f>IFERROR(IF(W95="","",W95*0.0155),"")</f>
        <v>0</v>
      </c>
      <c r="Z95" s="56"/>
      <c r="AA95" s="57"/>
      <c r="AE95" s="61"/>
      <c r="BB95" s="100" t="s">
        <v>1</v>
      </c>
    </row>
    <row r="96" spans="1:54" ht="27" hidden="1" customHeight="1" x14ac:dyDescent="0.25">
      <c r="A96" s="54" t="s">
        <v>154</v>
      </c>
      <c r="B96" s="54" t="s">
        <v>155</v>
      </c>
      <c r="C96" s="31">
        <v>4301070976</v>
      </c>
      <c r="D96" s="197">
        <v>4607111034144</v>
      </c>
      <c r="E96" s="196"/>
      <c r="F96" s="187">
        <v>0.9</v>
      </c>
      <c r="G96" s="32">
        <v>8</v>
      </c>
      <c r="H96" s="187">
        <v>7.2</v>
      </c>
      <c r="I96" s="187">
        <v>7.4859999999999998</v>
      </c>
      <c r="J96" s="32">
        <v>84</v>
      </c>
      <c r="K96" s="32" t="s">
        <v>65</v>
      </c>
      <c r="L96" s="33" t="s">
        <v>66</v>
      </c>
      <c r="M96" s="33"/>
      <c r="N96" s="32">
        <v>180</v>
      </c>
      <c r="O96" s="334" t="str">
        <f>HYPERLINK("https://abi.ru/products/Замороженные/Горячая штучка/Бульмени ГШ/Пельмени/P003686/","Пельмени «Бульмени с говядиной и свининой» 0,9 Сфера ТМ «Горячая штучка»")</f>
        <v>Пельмени «Бульмени с говядиной и свининой» 0,9 Сфера ТМ «Горячая штучка»</v>
      </c>
      <c r="P96" s="195"/>
      <c r="Q96" s="195"/>
      <c r="R96" s="195"/>
      <c r="S96" s="196"/>
      <c r="T96" s="34"/>
      <c r="U96" s="34"/>
      <c r="V96" s="35" t="s">
        <v>67</v>
      </c>
      <c r="W96" s="188">
        <v>0</v>
      </c>
      <c r="X96" s="189">
        <f>IFERROR(IF(W96="","",W96),"")</f>
        <v>0</v>
      </c>
      <c r="Y96" s="36">
        <f>IFERROR(IF(W96="","",W96*0.0155),"")</f>
        <v>0</v>
      </c>
      <c r="Z96" s="56"/>
      <c r="AA96" s="57"/>
      <c r="AE96" s="61"/>
      <c r="BB96" s="101" t="s">
        <v>1</v>
      </c>
    </row>
    <row r="97" spans="1:54" ht="27" hidden="1" customHeight="1" x14ac:dyDescent="0.25">
      <c r="A97" s="54" t="s">
        <v>156</v>
      </c>
      <c r="B97" s="54" t="s">
        <v>157</v>
      </c>
      <c r="C97" s="31">
        <v>4301070973</v>
      </c>
      <c r="D97" s="197">
        <v>4607111033987</v>
      </c>
      <c r="E97" s="196"/>
      <c r="F97" s="187">
        <v>0.43</v>
      </c>
      <c r="G97" s="32">
        <v>16</v>
      </c>
      <c r="H97" s="187">
        <v>6.88</v>
      </c>
      <c r="I97" s="187">
        <v>7.1996000000000002</v>
      </c>
      <c r="J97" s="32">
        <v>84</v>
      </c>
      <c r="K97" s="32" t="s">
        <v>65</v>
      </c>
      <c r="L97" s="33" t="s">
        <v>66</v>
      </c>
      <c r="M97" s="33"/>
      <c r="N97" s="32">
        <v>180</v>
      </c>
      <c r="O97" s="298" t="str">
        <f>HYPERLINK("https://abi.ru/products/Замороженные/Горячая штучка/Бульмени ГШ/Пельмени/P003683/","Пельмени «Бульмени со сливочным маслом» 0,43 Сфера ТМ «Горячая штучка»")</f>
        <v>Пельмени «Бульмени со сливочным маслом» 0,43 Сфера ТМ «Горячая штучка»</v>
      </c>
      <c r="P97" s="195"/>
      <c r="Q97" s="195"/>
      <c r="R97" s="195"/>
      <c r="S97" s="196"/>
      <c r="T97" s="34"/>
      <c r="U97" s="34"/>
      <c r="V97" s="35" t="s">
        <v>67</v>
      </c>
      <c r="W97" s="188">
        <v>0</v>
      </c>
      <c r="X97" s="189">
        <f>IFERROR(IF(W97="","",W97),"")</f>
        <v>0</v>
      </c>
      <c r="Y97" s="36">
        <f>IFERROR(IF(W97="","",W97*0.0155),"")</f>
        <v>0</v>
      </c>
      <c r="Z97" s="56"/>
      <c r="AA97" s="57"/>
      <c r="AE97" s="61"/>
      <c r="BB97" s="102" t="s">
        <v>1</v>
      </c>
    </row>
    <row r="98" spans="1:54" ht="27" hidden="1" customHeight="1" x14ac:dyDescent="0.25">
      <c r="A98" s="54" t="s">
        <v>158</v>
      </c>
      <c r="B98" s="54" t="s">
        <v>159</v>
      </c>
      <c r="C98" s="31">
        <v>4301070974</v>
      </c>
      <c r="D98" s="197">
        <v>4607111034151</v>
      </c>
      <c r="E98" s="196"/>
      <c r="F98" s="187">
        <v>0.9</v>
      </c>
      <c r="G98" s="32">
        <v>8</v>
      </c>
      <c r="H98" s="187">
        <v>7.2</v>
      </c>
      <c r="I98" s="187">
        <v>7.4859999999999998</v>
      </c>
      <c r="J98" s="32">
        <v>84</v>
      </c>
      <c r="K98" s="32" t="s">
        <v>65</v>
      </c>
      <c r="L98" s="33" t="s">
        <v>66</v>
      </c>
      <c r="M98" s="33"/>
      <c r="N98" s="32">
        <v>180</v>
      </c>
      <c r="O98" s="353" t="str">
        <f>HYPERLINK("https://abi.ru/products/Замороженные/Горячая штучка/Бульмени ГШ/Пельмени/P003684/","Пельмени «Бульмени со сливочным маслом» 0,9 Сфера ТМ «Горячая штучка»")</f>
        <v>Пельмени «Бульмени со сливочным маслом» 0,9 Сфера ТМ «Горячая штучка»</v>
      </c>
      <c r="P98" s="195"/>
      <c r="Q98" s="195"/>
      <c r="R98" s="195"/>
      <c r="S98" s="196"/>
      <c r="T98" s="34"/>
      <c r="U98" s="34"/>
      <c r="V98" s="35" t="s">
        <v>67</v>
      </c>
      <c r="W98" s="188">
        <v>0</v>
      </c>
      <c r="X98" s="189">
        <f>IFERROR(IF(W98="","",W98),"")</f>
        <v>0</v>
      </c>
      <c r="Y98" s="36">
        <f>IFERROR(IF(W98="","",W98*0.0155),"")</f>
        <v>0</v>
      </c>
      <c r="Z98" s="56"/>
      <c r="AA98" s="57"/>
      <c r="AE98" s="61"/>
      <c r="BB98" s="103" t="s">
        <v>1</v>
      </c>
    </row>
    <row r="99" spans="1:54" ht="27" hidden="1" customHeight="1" x14ac:dyDescent="0.25">
      <c r="A99" s="54" t="s">
        <v>160</v>
      </c>
      <c r="B99" s="54" t="s">
        <v>161</v>
      </c>
      <c r="C99" s="31">
        <v>4301070958</v>
      </c>
      <c r="D99" s="197">
        <v>4607111038098</v>
      </c>
      <c r="E99" s="196"/>
      <c r="F99" s="187">
        <v>0.8</v>
      </c>
      <c r="G99" s="32">
        <v>8</v>
      </c>
      <c r="H99" s="187">
        <v>6.4</v>
      </c>
      <c r="I99" s="187">
        <v>6.6859999999999999</v>
      </c>
      <c r="J99" s="32">
        <v>84</v>
      </c>
      <c r="K99" s="32" t="s">
        <v>65</v>
      </c>
      <c r="L99" s="33" t="s">
        <v>66</v>
      </c>
      <c r="M99" s="33"/>
      <c r="N99" s="32">
        <v>180</v>
      </c>
      <c r="O99" s="263" t="str">
        <f>HYPERLINK("https://abi.ru/products/Замороженные/Горячая штучка/Бульмени ГШ/Пельмени/P003603/","Пельмени «Бульмени по-сибирски с говядиной и свининой» 0,8 сфера ТМ «Горячая штучка»")</f>
        <v>Пельмени «Бульмени по-сибирски с говядиной и свининой» 0,8 сфера ТМ «Горячая штучка»</v>
      </c>
      <c r="P99" s="195"/>
      <c r="Q99" s="195"/>
      <c r="R99" s="195"/>
      <c r="S99" s="196"/>
      <c r="T99" s="34"/>
      <c r="U99" s="34"/>
      <c r="V99" s="35" t="s">
        <v>67</v>
      </c>
      <c r="W99" s="188">
        <v>0</v>
      </c>
      <c r="X99" s="189">
        <f>IFERROR(IF(W99="","",W99),"")</f>
        <v>0</v>
      </c>
      <c r="Y99" s="36">
        <f>IFERROR(IF(W99="","",W99*0.0155),"")</f>
        <v>0</v>
      </c>
      <c r="Z99" s="56"/>
      <c r="AA99" s="57"/>
      <c r="AE99" s="61"/>
      <c r="BB99" s="104" t="s">
        <v>1</v>
      </c>
    </row>
    <row r="100" spans="1:54" hidden="1" x14ac:dyDescent="0.2">
      <c r="A100" s="203"/>
      <c r="B100" s="202"/>
      <c r="C100" s="202"/>
      <c r="D100" s="202"/>
      <c r="E100" s="202"/>
      <c r="F100" s="202"/>
      <c r="G100" s="202"/>
      <c r="H100" s="202"/>
      <c r="I100" s="202"/>
      <c r="J100" s="202"/>
      <c r="K100" s="202"/>
      <c r="L100" s="202"/>
      <c r="M100" s="202"/>
      <c r="N100" s="204"/>
      <c r="O100" s="198" t="s">
        <v>68</v>
      </c>
      <c r="P100" s="199"/>
      <c r="Q100" s="199"/>
      <c r="R100" s="199"/>
      <c r="S100" s="199"/>
      <c r="T100" s="199"/>
      <c r="U100" s="200"/>
      <c r="V100" s="37" t="s">
        <v>67</v>
      </c>
      <c r="W100" s="190">
        <f>IFERROR(SUM(W95:W99),"0")</f>
        <v>0</v>
      </c>
      <c r="X100" s="190">
        <f>IFERROR(SUM(X95:X99),"0")</f>
        <v>0</v>
      </c>
      <c r="Y100" s="190">
        <f>IFERROR(IF(Y95="",0,Y95),"0")+IFERROR(IF(Y96="",0,Y96),"0")+IFERROR(IF(Y97="",0,Y97),"0")+IFERROR(IF(Y98="",0,Y98),"0")+IFERROR(IF(Y99="",0,Y99),"0")</f>
        <v>0</v>
      </c>
      <c r="Z100" s="191"/>
      <c r="AA100" s="191"/>
    </row>
    <row r="101" spans="1:54" hidden="1" x14ac:dyDescent="0.2">
      <c r="A101" s="202"/>
      <c r="B101" s="202"/>
      <c r="C101" s="202"/>
      <c r="D101" s="202"/>
      <c r="E101" s="202"/>
      <c r="F101" s="202"/>
      <c r="G101" s="202"/>
      <c r="H101" s="202"/>
      <c r="I101" s="202"/>
      <c r="J101" s="202"/>
      <c r="K101" s="202"/>
      <c r="L101" s="202"/>
      <c r="M101" s="202"/>
      <c r="N101" s="204"/>
      <c r="O101" s="198" t="s">
        <v>68</v>
      </c>
      <c r="P101" s="199"/>
      <c r="Q101" s="199"/>
      <c r="R101" s="199"/>
      <c r="S101" s="199"/>
      <c r="T101" s="199"/>
      <c r="U101" s="200"/>
      <c r="V101" s="37" t="s">
        <v>69</v>
      </c>
      <c r="W101" s="190">
        <f>IFERROR(SUMPRODUCT(W95:W99*H95:H99),"0")</f>
        <v>0</v>
      </c>
      <c r="X101" s="190">
        <f>IFERROR(SUMPRODUCT(X95:X99*H95:H99),"0")</f>
        <v>0</v>
      </c>
      <c r="Y101" s="37"/>
      <c r="Z101" s="191"/>
      <c r="AA101" s="191"/>
    </row>
    <row r="102" spans="1:54" ht="16.5" hidden="1" customHeight="1" x14ac:dyDescent="0.25">
      <c r="A102" s="218" t="s">
        <v>162</v>
      </c>
      <c r="B102" s="202"/>
      <c r="C102" s="202"/>
      <c r="D102" s="202"/>
      <c r="E102" s="202"/>
      <c r="F102" s="202"/>
      <c r="G102" s="202"/>
      <c r="H102" s="202"/>
      <c r="I102" s="202"/>
      <c r="J102" s="202"/>
      <c r="K102" s="202"/>
      <c r="L102" s="202"/>
      <c r="M102" s="202"/>
      <c r="N102" s="202"/>
      <c r="O102" s="202"/>
      <c r="P102" s="202"/>
      <c r="Q102" s="202"/>
      <c r="R102" s="202"/>
      <c r="S102" s="202"/>
      <c r="T102" s="202"/>
      <c r="U102" s="202"/>
      <c r="V102" s="202"/>
      <c r="W102" s="202"/>
      <c r="X102" s="202"/>
      <c r="Y102" s="202"/>
      <c r="Z102" s="182"/>
      <c r="AA102" s="182"/>
    </row>
    <row r="103" spans="1:54" ht="14.25" hidden="1" customHeight="1" x14ac:dyDescent="0.25">
      <c r="A103" s="201" t="s">
        <v>122</v>
      </c>
      <c r="B103" s="202"/>
      <c r="C103" s="202"/>
      <c r="D103" s="202"/>
      <c r="E103" s="202"/>
      <c r="F103" s="202"/>
      <c r="G103" s="202"/>
      <c r="H103" s="202"/>
      <c r="I103" s="202"/>
      <c r="J103" s="202"/>
      <c r="K103" s="202"/>
      <c r="L103" s="202"/>
      <c r="M103" s="202"/>
      <c r="N103" s="202"/>
      <c r="O103" s="202"/>
      <c r="P103" s="202"/>
      <c r="Q103" s="202"/>
      <c r="R103" s="202"/>
      <c r="S103" s="202"/>
      <c r="T103" s="202"/>
      <c r="U103" s="202"/>
      <c r="V103" s="202"/>
      <c r="W103" s="202"/>
      <c r="X103" s="202"/>
      <c r="Y103" s="202"/>
      <c r="Z103" s="181"/>
      <c r="AA103" s="181"/>
    </row>
    <row r="104" spans="1:54" ht="27" customHeight="1" x14ac:dyDescent="0.25">
      <c r="A104" s="54" t="s">
        <v>163</v>
      </c>
      <c r="B104" s="54" t="s">
        <v>164</v>
      </c>
      <c r="C104" s="31">
        <v>4301135162</v>
      </c>
      <c r="D104" s="197">
        <v>4607111034014</v>
      </c>
      <c r="E104" s="196"/>
      <c r="F104" s="187">
        <v>0.25</v>
      </c>
      <c r="G104" s="32">
        <v>12</v>
      </c>
      <c r="H104" s="187">
        <v>3</v>
      </c>
      <c r="I104" s="187">
        <v>3.7035999999999998</v>
      </c>
      <c r="J104" s="32">
        <v>70</v>
      </c>
      <c r="K104" s="32" t="s">
        <v>75</v>
      </c>
      <c r="L104" s="33" t="s">
        <v>66</v>
      </c>
      <c r="M104" s="33"/>
      <c r="N104" s="32">
        <v>180</v>
      </c>
      <c r="O104" s="269" t="str">
        <f>HYPERLINK("https://abi.ru/products/Замороженные/Горячая штучка/Чебупицца/Снеки/P003286/","«Чебупицца курочка По-итальянски» Фикс.вес 0,25 Лоток ТМ «Горячая штучка»")</f>
        <v>«Чебупицца курочка По-итальянски» Фикс.вес 0,25 Лоток ТМ «Горячая штучка»</v>
      </c>
      <c r="P104" s="195"/>
      <c r="Q104" s="195"/>
      <c r="R104" s="195"/>
      <c r="S104" s="196"/>
      <c r="T104" s="34"/>
      <c r="U104" s="34"/>
      <c r="V104" s="35" t="s">
        <v>67</v>
      </c>
      <c r="W104" s="188">
        <v>50</v>
      </c>
      <c r="X104" s="189">
        <f>IFERROR(IF(W104="","",W104),"")</f>
        <v>50</v>
      </c>
      <c r="Y104" s="36">
        <f>IFERROR(IF(W104="","",W104*0.01788),"")</f>
        <v>0.89400000000000002</v>
      </c>
      <c r="Z104" s="56"/>
      <c r="AA104" s="57"/>
      <c r="AE104" s="61"/>
      <c r="BB104" s="105" t="s">
        <v>76</v>
      </c>
    </row>
    <row r="105" spans="1:54" ht="27" customHeight="1" x14ac:dyDescent="0.25">
      <c r="A105" s="54" t="s">
        <v>165</v>
      </c>
      <c r="B105" s="54" t="s">
        <v>166</v>
      </c>
      <c r="C105" s="31">
        <v>4301135117</v>
      </c>
      <c r="D105" s="197">
        <v>4607111033994</v>
      </c>
      <c r="E105" s="196"/>
      <c r="F105" s="187">
        <v>0.25</v>
      </c>
      <c r="G105" s="32">
        <v>12</v>
      </c>
      <c r="H105" s="187">
        <v>3</v>
      </c>
      <c r="I105" s="187">
        <v>3.7035999999999998</v>
      </c>
      <c r="J105" s="32">
        <v>70</v>
      </c>
      <c r="K105" s="32" t="s">
        <v>75</v>
      </c>
      <c r="L105" s="33" t="s">
        <v>66</v>
      </c>
      <c r="M105" s="33"/>
      <c r="N105" s="32">
        <v>180</v>
      </c>
      <c r="O105" s="377" t="str">
        <f>HYPERLINK("https://abi.ru/products/Замороженные/Горячая штучка/Чебупицца/Снеки/P002884/","Чебупицца Пепперони Чебупицца Фикс.вес 0,25 Лоток Горячая штучка")</f>
        <v>Чебупицца Пепперони Чебупицца Фикс.вес 0,25 Лоток Горячая штучка</v>
      </c>
      <c r="P105" s="195"/>
      <c r="Q105" s="195"/>
      <c r="R105" s="195"/>
      <c r="S105" s="196"/>
      <c r="T105" s="34"/>
      <c r="U105" s="34"/>
      <c r="V105" s="35" t="s">
        <v>67</v>
      </c>
      <c r="W105" s="188">
        <v>50</v>
      </c>
      <c r="X105" s="189">
        <f>IFERROR(IF(W105="","",W105),"")</f>
        <v>50</v>
      </c>
      <c r="Y105" s="36">
        <f>IFERROR(IF(W105="","",W105*0.01788),"")</f>
        <v>0.89400000000000002</v>
      </c>
      <c r="Z105" s="56"/>
      <c r="AA105" s="57"/>
      <c r="AE105" s="61"/>
      <c r="BB105" s="106" t="s">
        <v>76</v>
      </c>
    </row>
    <row r="106" spans="1:54" x14ac:dyDescent="0.2">
      <c r="A106" s="203"/>
      <c r="B106" s="202"/>
      <c r="C106" s="202"/>
      <c r="D106" s="202"/>
      <c r="E106" s="202"/>
      <c r="F106" s="202"/>
      <c r="G106" s="202"/>
      <c r="H106" s="202"/>
      <c r="I106" s="202"/>
      <c r="J106" s="202"/>
      <c r="K106" s="202"/>
      <c r="L106" s="202"/>
      <c r="M106" s="202"/>
      <c r="N106" s="204"/>
      <c r="O106" s="198" t="s">
        <v>68</v>
      </c>
      <c r="P106" s="199"/>
      <c r="Q106" s="199"/>
      <c r="R106" s="199"/>
      <c r="S106" s="199"/>
      <c r="T106" s="199"/>
      <c r="U106" s="200"/>
      <c r="V106" s="37" t="s">
        <v>67</v>
      </c>
      <c r="W106" s="190">
        <f>IFERROR(SUM(W104:W105),"0")</f>
        <v>100</v>
      </c>
      <c r="X106" s="190">
        <f>IFERROR(SUM(X104:X105),"0")</f>
        <v>100</v>
      </c>
      <c r="Y106" s="190">
        <f>IFERROR(IF(Y104="",0,Y104),"0")+IFERROR(IF(Y105="",0,Y105),"0")</f>
        <v>1.788</v>
      </c>
      <c r="Z106" s="191"/>
      <c r="AA106" s="191"/>
    </row>
    <row r="107" spans="1:54" x14ac:dyDescent="0.2">
      <c r="A107" s="202"/>
      <c r="B107" s="202"/>
      <c r="C107" s="202"/>
      <c r="D107" s="202"/>
      <c r="E107" s="202"/>
      <c r="F107" s="202"/>
      <c r="G107" s="202"/>
      <c r="H107" s="202"/>
      <c r="I107" s="202"/>
      <c r="J107" s="202"/>
      <c r="K107" s="202"/>
      <c r="L107" s="202"/>
      <c r="M107" s="202"/>
      <c r="N107" s="204"/>
      <c r="O107" s="198" t="s">
        <v>68</v>
      </c>
      <c r="P107" s="199"/>
      <c r="Q107" s="199"/>
      <c r="R107" s="199"/>
      <c r="S107" s="199"/>
      <c r="T107" s="199"/>
      <c r="U107" s="200"/>
      <c r="V107" s="37" t="s">
        <v>69</v>
      </c>
      <c r="W107" s="190">
        <f>IFERROR(SUMPRODUCT(W104:W105*H104:H105),"0")</f>
        <v>300</v>
      </c>
      <c r="X107" s="190">
        <f>IFERROR(SUMPRODUCT(X104:X105*H104:H105),"0")</f>
        <v>300</v>
      </c>
      <c r="Y107" s="37"/>
      <c r="Z107" s="191"/>
      <c r="AA107" s="191"/>
    </row>
    <row r="108" spans="1:54" ht="16.5" hidden="1" customHeight="1" x14ac:dyDescent="0.25">
      <c r="A108" s="218" t="s">
        <v>167</v>
      </c>
      <c r="B108" s="202"/>
      <c r="C108" s="202"/>
      <c r="D108" s="202"/>
      <c r="E108" s="202"/>
      <c r="F108" s="202"/>
      <c r="G108" s="202"/>
      <c r="H108" s="202"/>
      <c r="I108" s="202"/>
      <c r="J108" s="202"/>
      <c r="K108" s="202"/>
      <c r="L108" s="202"/>
      <c r="M108" s="202"/>
      <c r="N108" s="202"/>
      <c r="O108" s="202"/>
      <c r="P108" s="202"/>
      <c r="Q108" s="202"/>
      <c r="R108" s="202"/>
      <c r="S108" s="202"/>
      <c r="T108" s="202"/>
      <c r="U108" s="202"/>
      <c r="V108" s="202"/>
      <c r="W108" s="202"/>
      <c r="X108" s="202"/>
      <c r="Y108" s="202"/>
      <c r="Z108" s="182"/>
      <c r="AA108" s="182"/>
    </row>
    <row r="109" spans="1:54" ht="14.25" hidden="1" customHeight="1" x14ac:dyDescent="0.25">
      <c r="A109" s="201" t="s">
        <v>122</v>
      </c>
      <c r="B109" s="202"/>
      <c r="C109" s="202"/>
      <c r="D109" s="202"/>
      <c r="E109" s="202"/>
      <c r="F109" s="202"/>
      <c r="G109" s="202"/>
      <c r="H109" s="202"/>
      <c r="I109" s="202"/>
      <c r="J109" s="202"/>
      <c r="K109" s="202"/>
      <c r="L109" s="202"/>
      <c r="M109" s="202"/>
      <c r="N109" s="202"/>
      <c r="O109" s="202"/>
      <c r="P109" s="202"/>
      <c r="Q109" s="202"/>
      <c r="R109" s="202"/>
      <c r="S109" s="202"/>
      <c r="T109" s="202"/>
      <c r="U109" s="202"/>
      <c r="V109" s="202"/>
      <c r="W109" s="202"/>
      <c r="X109" s="202"/>
      <c r="Y109" s="202"/>
      <c r="Z109" s="181"/>
      <c r="AA109" s="181"/>
    </row>
    <row r="110" spans="1:54" ht="16.5" hidden="1" customHeight="1" x14ac:dyDescent="0.25">
      <c r="A110" s="54" t="s">
        <v>168</v>
      </c>
      <c r="B110" s="54" t="s">
        <v>169</v>
      </c>
      <c r="C110" s="31">
        <v>4301135112</v>
      </c>
      <c r="D110" s="197">
        <v>4607111034199</v>
      </c>
      <c r="E110" s="196"/>
      <c r="F110" s="187">
        <v>0.25</v>
      </c>
      <c r="G110" s="32">
        <v>12</v>
      </c>
      <c r="H110" s="187">
        <v>3</v>
      </c>
      <c r="I110" s="187">
        <v>3.7035999999999998</v>
      </c>
      <c r="J110" s="32">
        <v>70</v>
      </c>
      <c r="K110" s="32" t="s">
        <v>75</v>
      </c>
      <c r="L110" s="33" t="s">
        <v>66</v>
      </c>
      <c r="M110" s="33"/>
      <c r="N110" s="32">
        <v>180</v>
      </c>
      <c r="O110" s="394" t="str">
        <f>HYPERLINK("https://abi.ru/products/Замороженные/Горячая штучка/Хотстеры/Снеки/P002877/","Хотстеры Хотстеры Фикс.вес 0,25 Лоток Горячая штучка")</f>
        <v>Хотстеры Хотстеры Фикс.вес 0,25 Лоток Горячая штучка</v>
      </c>
      <c r="P110" s="195"/>
      <c r="Q110" s="195"/>
      <c r="R110" s="195"/>
      <c r="S110" s="196"/>
      <c r="T110" s="34"/>
      <c r="U110" s="34"/>
      <c r="V110" s="35" t="s">
        <v>67</v>
      </c>
      <c r="W110" s="188">
        <v>0</v>
      </c>
      <c r="X110" s="189">
        <f>IFERROR(IF(W110="","",W110),"")</f>
        <v>0</v>
      </c>
      <c r="Y110" s="36">
        <f>IFERROR(IF(W110="","",W110*0.01788),"")</f>
        <v>0</v>
      </c>
      <c r="Z110" s="56"/>
      <c r="AA110" s="57"/>
      <c r="AE110" s="61"/>
      <c r="BB110" s="107" t="s">
        <v>76</v>
      </c>
    </row>
    <row r="111" spans="1:54" hidden="1" x14ac:dyDescent="0.2">
      <c r="A111" s="203"/>
      <c r="B111" s="202"/>
      <c r="C111" s="202"/>
      <c r="D111" s="202"/>
      <c r="E111" s="202"/>
      <c r="F111" s="202"/>
      <c r="G111" s="202"/>
      <c r="H111" s="202"/>
      <c r="I111" s="202"/>
      <c r="J111" s="202"/>
      <c r="K111" s="202"/>
      <c r="L111" s="202"/>
      <c r="M111" s="202"/>
      <c r="N111" s="204"/>
      <c r="O111" s="198" t="s">
        <v>68</v>
      </c>
      <c r="P111" s="199"/>
      <c r="Q111" s="199"/>
      <c r="R111" s="199"/>
      <c r="S111" s="199"/>
      <c r="T111" s="199"/>
      <c r="U111" s="200"/>
      <c r="V111" s="37" t="s">
        <v>67</v>
      </c>
      <c r="W111" s="190">
        <f>IFERROR(SUM(W110:W110),"0")</f>
        <v>0</v>
      </c>
      <c r="X111" s="190">
        <f>IFERROR(SUM(X110:X110),"0")</f>
        <v>0</v>
      </c>
      <c r="Y111" s="190">
        <f>IFERROR(IF(Y110="",0,Y110),"0")</f>
        <v>0</v>
      </c>
      <c r="Z111" s="191"/>
      <c r="AA111" s="191"/>
    </row>
    <row r="112" spans="1:54" hidden="1" x14ac:dyDescent="0.2">
      <c r="A112" s="202"/>
      <c r="B112" s="202"/>
      <c r="C112" s="202"/>
      <c r="D112" s="202"/>
      <c r="E112" s="202"/>
      <c r="F112" s="202"/>
      <c r="G112" s="202"/>
      <c r="H112" s="202"/>
      <c r="I112" s="202"/>
      <c r="J112" s="202"/>
      <c r="K112" s="202"/>
      <c r="L112" s="202"/>
      <c r="M112" s="202"/>
      <c r="N112" s="204"/>
      <c r="O112" s="198" t="s">
        <v>68</v>
      </c>
      <c r="P112" s="199"/>
      <c r="Q112" s="199"/>
      <c r="R112" s="199"/>
      <c r="S112" s="199"/>
      <c r="T112" s="199"/>
      <c r="U112" s="200"/>
      <c r="V112" s="37" t="s">
        <v>69</v>
      </c>
      <c r="W112" s="190">
        <f>IFERROR(SUMPRODUCT(W110:W110*H110:H110),"0")</f>
        <v>0</v>
      </c>
      <c r="X112" s="190">
        <f>IFERROR(SUMPRODUCT(X110:X110*H110:H110),"0")</f>
        <v>0</v>
      </c>
      <c r="Y112" s="37"/>
      <c r="Z112" s="191"/>
      <c r="AA112" s="191"/>
    </row>
    <row r="113" spans="1:54" ht="16.5" hidden="1" customHeight="1" x14ac:dyDescent="0.25">
      <c r="A113" s="218" t="s">
        <v>170</v>
      </c>
      <c r="B113" s="202"/>
      <c r="C113" s="202"/>
      <c r="D113" s="202"/>
      <c r="E113" s="202"/>
      <c r="F113" s="202"/>
      <c r="G113" s="202"/>
      <c r="H113" s="202"/>
      <c r="I113" s="202"/>
      <c r="J113" s="202"/>
      <c r="K113" s="202"/>
      <c r="L113" s="202"/>
      <c r="M113" s="202"/>
      <c r="N113" s="202"/>
      <c r="O113" s="202"/>
      <c r="P113" s="202"/>
      <c r="Q113" s="202"/>
      <c r="R113" s="202"/>
      <c r="S113" s="202"/>
      <c r="T113" s="202"/>
      <c r="U113" s="202"/>
      <c r="V113" s="202"/>
      <c r="W113" s="202"/>
      <c r="X113" s="202"/>
      <c r="Y113" s="202"/>
      <c r="Z113" s="182"/>
      <c r="AA113" s="182"/>
    </row>
    <row r="114" spans="1:54" ht="14.25" hidden="1" customHeight="1" x14ac:dyDescent="0.25">
      <c r="A114" s="201" t="s">
        <v>122</v>
      </c>
      <c r="B114" s="202"/>
      <c r="C114" s="202"/>
      <c r="D114" s="202"/>
      <c r="E114" s="202"/>
      <c r="F114" s="202"/>
      <c r="G114" s="202"/>
      <c r="H114" s="202"/>
      <c r="I114" s="202"/>
      <c r="J114" s="202"/>
      <c r="K114" s="202"/>
      <c r="L114" s="202"/>
      <c r="M114" s="202"/>
      <c r="N114" s="202"/>
      <c r="O114" s="202"/>
      <c r="P114" s="202"/>
      <c r="Q114" s="202"/>
      <c r="R114" s="202"/>
      <c r="S114" s="202"/>
      <c r="T114" s="202"/>
      <c r="U114" s="202"/>
      <c r="V114" s="202"/>
      <c r="W114" s="202"/>
      <c r="X114" s="202"/>
      <c r="Y114" s="202"/>
      <c r="Z114" s="181"/>
      <c r="AA114" s="181"/>
    </row>
    <row r="115" spans="1:54" ht="27" hidden="1" customHeight="1" x14ac:dyDescent="0.25">
      <c r="A115" s="54" t="s">
        <v>171</v>
      </c>
      <c r="B115" s="54" t="s">
        <v>172</v>
      </c>
      <c r="C115" s="31">
        <v>4301130006</v>
      </c>
      <c r="D115" s="197">
        <v>4607111034670</v>
      </c>
      <c r="E115" s="196"/>
      <c r="F115" s="187">
        <v>3</v>
      </c>
      <c r="G115" s="32">
        <v>3</v>
      </c>
      <c r="H115" s="187">
        <v>9</v>
      </c>
      <c r="I115" s="187">
        <v>9.2249999999999996</v>
      </c>
      <c r="J115" s="32">
        <v>126</v>
      </c>
      <c r="K115" s="32" t="s">
        <v>75</v>
      </c>
      <c r="L115" s="33" t="s">
        <v>66</v>
      </c>
      <c r="M115" s="33"/>
      <c r="N115" s="32">
        <v>180</v>
      </c>
      <c r="O115" s="296" t="str">
        <f>HYPERLINK("https://abi.ru/products/Замороженные/Горячая штучка/Круггетсы/Снеки/P001982/","Круггетсы с сырным соусом Хорека Весовые Пакет 3 кг Горячая штучка")</f>
        <v>Круггетсы с сырным соусом Хорека Весовые Пакет 3 кг Горячая штучка</v>
      </c>
      <c r="P115" s="195"/>
      <c r="Q115" s="195"/>
      <c r="R115" s="195"/>
      <c r="S115" s="196"/>
      <c r="T115" s="34"/>
      <c r="U115" s="34"/>
      <c r="V115" s="35" t="s">
        <v>67</v>
      </c>
      <c r="W115" s="188">
        <v>0</v>
      </c>
      <c r="X115" s="189">
        <f>IFERROR(IF(W115="","",W115),"")</f>
        <v>0</v>
      </c>
      <c r="Y115" s="36">
        <f>IFERROR(IF(W115="","",W115*0.00936),"")</f>
        <v>0</v>
      </c>
      <c r="Z115" s="56" t="s">
        <v>173</v>
      </c>
      <c r="AA115" s="57"/>
      <c r="AE115" s="61"/>
      <c r="BB115" s="108" t="s">
        <v>76</v>
      </c>
    </row>
    <row r="116" spans="1:54" ht="27" hidden="1" customHeight="1" x14ac:dyDescent="0.25">
      <c r="A116" s="54" t="s">
        <v>174</v>
      </c>
      <c r="B116" s="54" t="s">
        <v>175</v>
      </c>
      <c r="C116" s="31">
        <v>4301130003</v>
      </c>
      <c r="D116" s="197">
        <v>4607111034687</v>
      </c>
      <c r="E116" s="196"/>
      <c r="F116" s="187">
        <v>3</v>
      </c>
      <c r="G116" s="32">
        <v>1</v>
      </c>
      <c r="H116" s="187">
        <v>3</v>
      </c>
      <c r="I116" s="187">
        <v>3.1949999999999998</v>
      </c>
      <c r="J116" s="32">
        <v>126</v>
      </c>
      <c r="K116" s="32" t="s">
        <v>75</v>
      </c>
      <c r="L116" s="33" t="s">
        <v>66</v>
      </c>
      <c r="M116" s="33"/>
      <c r="N116" s="32">
        <v>180</v>
      </c>
      <c r="O116" s="307" t="str">
        <f>HYPERLINK("https://abi.ru/products/Замороженные/Горячая штучка/Круггетсы/Снеки/P001980/","Круггетсы сочные Хорека Весовые Пакет 3 кг Горячая штучка")</f>
        <v>Круггетсы сочные Хорека Весовые Пакет 3 кг Горячая штучка</v>
      </c>
      <c r="P116" s="195"/>
      <c r="Q116" s="195"/>
      <c r="R116" s="195"/>
      <c r="S116" s="196"/>
      <c r="T116" s="34"/>
      <c r="U116" s="34"/>
      <c r="V116" s="35" t="s">
        <v>67</v>
      </c>
      <c r="W116" s="188">
        <v>0</v>
      </c>
      <c r="X116" s="189">
        <f>IFERROR(IF(W116="","",W116),"")</f>
        <v>0</v>
      </c>
      <c r="Y116" s="36">
        <f>IFERROR(IF(W116="","",W116*0.00936),"")</f>
        <v>0</v>
      </c>
      <c r="Z116" s="56" t="s">
        <v>173</v>
      </c>
      <c r="AA116" s="57"/>
      <c r="AE116" s="61"/>
      <c r="BB116" s="109" t="s">
        <v>76</v>
      </c>
    </row>
    <row r="117" spans="1:54" ht="27" customHeight="1" x14ac:dyDescent="0.25">
      <c r="A117" s="54" t="s">
        <v>176</v>
      </c>
      <c r="B117" s="54" t="s">
        <v>177</v>
      </c>
      <c r="C117" s="31">
        <v>4301135181</v>
      </c>
      <c r="D117" s="197">
        <v>4607111034380</v>
      </c>
      <c r="E117" s="196"/>
      <c r="F117" s="187">
        <v>0.25</v>
      </c>
      <c r="G117" s="32">
        <v>12</v>
      </c>
      <c r="H117" s="187">
        <v>3</v>
      </c>
      <c r="I117" s="187">
        <v>3.28</v>
      </c>
      <c r="J117" s="32">
        <v>70</v>
      </c>
      <c r="K117" s="32" t="s">
        <v>75</v>
      </c>
      <c r="L117" s="33" t="s">
        <v>66</v>
      </c>
      <c r="M117" s="33"/>
      <c r="N117" s="32">
        <v>180</v>
      </c>
      <c r="O117" s="362" t="str">
        <f>HYPERLINK("https://abi.ru/products/Замороженные/Горячая штучка/Круггетсы/Снеки/P003379/","«Круггетсы с сырным соусом» Фикс.вес 0,25 ф/п ТМ «Горячая штучка»")</f>
        <v>«Круггетсы с сырным соусом» Фикс.вес 0,25 ф/п ТМ «Горячая штучка»</v>
      </c>
      <c r="P117" s="195"/>
      <c r="Q117" s="195"/>
      <c r="R117" s="195"/>
      <c r="S117" s="196"/>
      <c r="T117" s="34"/>
      <c r="U117" s="34"/>
      <c r="V117" s="35" t="s">
        <v>67</v>
      </c>
      <c r="W117" s="188">
        <v>20</v>
      </c>
      <c r="X117" s="189">
        <f>IFERROR(IF(W117="","",W117),"")</f>
        <v>20</v>
      </c>
      <c r="Y117" s="36">
        <f>IFERROR(IF(W117="","",W117*0.01788),"")</f>
        <v>0.35760000000000003</v>
      </c>
      <c r="Z117" s="56"/>
      <c r="AA117" s="57"/>
      <c r="AE117" s="61"/>
      <c r="BB117" s="110" t="s">
        <v>76</v>
      </c>
    </row>
    <row r="118" spans="1:54" ht="27" customHeight="1" x14ac:dyDescent="0.25">
      <c r="A118" s="54" t="s">
        <v>178</v>
      </c>
      <c r="B118" s="54" t="s">
        <v>179</v>
      </c>
      <c r="C118" s="31">
        <v>4301135180</v>
      </c>
      <c r="D118" s="197">
        <v>4607111034397</v>
      </c>
      <c r="E118" s="196"/>
      <c r="F118" s="187">
        <v>0.25</v>
      </c>
      <c r="G118" s="32">
        <v>12</v>
      </c>
      <c r="H118" s="187">
        <v>3</v>
      </c>
      <c r="I118" s="187">
        <v>3.28</v>
      </c>
      <c r="J118" s="32">
        <v>70</v>
      </c>
      <c r="K118" s="32" t="s">
        <v>75</v>
      </c>
      <c r="L118" s="33" t="s">
        <v>66</v>
      </c>
      <c r="M118" s="33"/>
      <c r="N118" s="32">
        <v>180</v>
      </c>
      <c r="O118" s="305" t="str">
        <f>HYPERLINK("https://abi.ru/products/Замороженные/Горячая штучка/Круггетсы/Снеки/P003378/","«Круггетсы Сочные» Фикс.вес 0,25 ф/п ТМ «Горячая штучка»")</f>
        <v>«Круггетсы Сочные» Фикс.вес 0,25 ф/п ТМ «Горячая штучка»</v>
      </c>
      <c r="P118" s="195"/>
      <c r="Q118" s="195"/>
      <c r="R118" s="195"/>
      <c r="S118" s="196"/>
      <c r="T118" s="34"/>
      <c r="U118" s="34"/>
      <c r="V118" s="35" t="s">
        <v>67</v>
      </c>
      <c r="W118" s="188">
        <v>40</v>
      </c>
      <c r="X118" s="189">
        <f>IFERROR(IF(W118="","",W118),"")</f>
        <v>40</v>
      </c>
      <c r="Y118" s="36">
        <f>IFERROR(IF(W118="","",W118*0.01788),"")</f>
        <v>0.71520000000000006</v>
      </c>
      <c r="Z118" s="56"/>
      <c r="AA118" s="57"/>
      <c r="AE118" s="61"/>
      <c r="BB118" s="111" t="s">
        <v>76</v>
      </c>
    </row>
    <row r="119" spans="1:54" x14ac:dyDescent="0.2">
      <c r="A119" s="203"/>
      <c r="B119" s="202"/>
      <c r="C119" s="202"/>
      <c r="D119" s="202"/>
      <c r="E119" s="202"/>
      <c r="F119" s="202"/>
      <c r="G119" s="202"/>
      <c r="H119" s="202"/>
      <c r="I119" s="202"/>
      <c r="J119" s="202"/>
      <c r="K119" s="202"/>
      <c r="L119" s="202"/>
      <c r="M119" s="202"/>
      <c r="N119" s="204"/>
      <c r="O119" s="198" t="s">
        <v>68</v>
      </c>
      <c r="P119" s="199"/>
      <c r="Q119" s="199"/>
      <c r="R119" s="199"/>
      <c r="S119" s="199"/>
      <c r="T119" s="199"/>
      <c r="U119" s="200"/>
      <c r="V119" s="37" t="s">
        <v>67</v>
      </c>
      <c r="W119" s="190">
        <f>IFERROR(SUM(W115:W118),"0")</f>
        <v>60</v>
      </c>
      <c r="X119" s="190">
        <f>IFERROR(SUM(X115:X118),"0")</f>
        <v>60</v>
      </c>
      <c r="Y119" s="190">
        <f>IFERROR(IF(Y115="",0,Y115),"0")+IFERROR(IF(Y116="",0,Y116),"0")+IFERROR(IF(Y117="",0,Y117),"0")+IFERROR(IF(Y118="",0,Y118),"0")</f>
        <v>1.0728</v>
      </c>
      <c r="Z119" s="191"/>
      <c r="AA119" s="191"/>
    </row>
    <row r="120" spans="1:54" x14ac:dyDescent="0.2">
      <c r="A120" s="202"/>
      <c r="B120" s="202"/>
      <c r="C120" s="202"/>
      <c r="D120" s="202"/>
      <c r="E120" s="202"/>
      <c r="F120" s="202"/>
      <c r="G120" s="202"/>
      <c r="H120" s="202"/>
      <c r="I120" s="202"/>
      <c r="J120" s="202"/>
      <c r="K120" s="202"/>
      <c r="L120" s="202"/>
      <c r="M120" s="202"/>
      <c r="N120" s="204"/>
      <c r="O120" s="198" t="s">
        <v>68</v>
      </c>
      <c r="P120" s="199"/>
      <c r="Q120" s="199"/>
      <c r="R120" s="199"/>
      <c r="S120" s="199"/>
      <c r="T120" s="199"/>
      <c r="U120" s="200"/>
      <c r="V120" s="37" t="s">
        <v>69</v>
      </c>
      <c r="W120" s="190">
        <f>IFERROR(SUMPRODUCT(W115:W118*H115:H118),"0")</f>
        <v>180</v>
      </c>
      <c r="X120" s="190">
        <f>IFERROR(SUMPRODUCT(X115:X118*H115:H118),"0")</f>
        <v>180</v>
      </c>
      <c r="Y120" s="37"/>
      <c r="Z120" s="191"/>
      <c r="AA120" s="191"/>
    </row>
    <row r="121" spans="1:54" ht="16.5" hidden="1" customHeight="1" x14ac:dyDescent="0.25">
      <c r="A121" s="218" t="s">
        <v>180</v>
      </c>
      <c r="B121" s="202"/>
      <c r="C121" s="202"/>
      <c r="D121" s="202"/>
      <c r="E121" s="202"/>
      <c r="F121" s="202"/>
      <c r="G121" s="202"/>
      <c r="H121" s="202"/>
      <c r="I121" s="202"/>
      <c r="J121" s="202"/>
      <c r="K121" s="202"/>
      <c r="L121" s="202"/>
      <c r="M121" s="202"/>
      <c r="N121" s="202"/>
      <c r="O121" s="202"/>
      <c r="P121" s="202"/>
      <c r="Q121" s="202"/>
      <c r="R121" s="202"/>
      <c r="S121" s="202"/>
      <c r="T121" s="202"/>
      <c r="U121" s="202"/>
      <c r="V121" s="202"/>
      <c r="W121" s="202"/>
      <c r="X121" s="202"/>
      <c r="Y121" s="202"/>
      <c r="Z121" s="182"/>
      <c r="AA121" s="182"/>
    </row>
    <row r="122" spans="1:54" ht="14.25" hidden="1" customHeight="1" x14ac:dyDescent="0.25">
      <c r="A122" s="201" t="s">
        <v>122</v>
      </c>
      <c r="B122" s="202"/>
      <c r="C122" s="202"/>
      <c r="D122" s="202"/>
      <c r="E122" s="202"/>
      <c r="F122" s="202"/>
      <c r="G122" s="202"/>
      <c r="H122" s="202"/>
      <c r="I122" s="202"/>
      <c r="J122" s="202"/>
      <c r="K122" s="202"/>
      <c r="L122" s="202"/>
      <c r="M122" s="202"/>
      <c r="N122" s="202"/>
      <c r="O122" s="202"/>
      <c r="P122" s="202"/>
      <c r="Q122" s="202"/>
      <c r="R122" s="202"/>
      <c r="S122" s="202"/>
      <c r="T122" s="202"/>
      <c r="U122" s="202"/>
      <c r="V122" s="202"/>
      <c r="W122" s="202"/>
      <c r="X122" s="202"/>
      <c r="Y122" s="202"/>
      <c r="Z122" s="181"/>
      <c r="AA122" s="181"/>
    </row>
    <row r="123" spans="1:54" ht="27" hidden="1" customHeight="1" x14ac:dyDescent="0.25">
      <c r="A123" s="54" t="s">
        <v>181</v>
      </c>
      <c r="B123" s="54" t="s">
        <v>182</v>
      </c>
      <c r="C123" s="31">
        <v>4301135134</v>
      </c>
      <c r="D123" s="197">
        <v>4607111035806</v>
      </c>
      <c r="E123" s="196"/>
      <c r="F123" s="187">
        <v>0.25</v>
      </c>
      <c r="G123" s="32">
        <v>12</v>
      </c>
      <c r="H123" s="187">
        <v>3</v>
      </c>
      <c r="I123" s="187">
        <v>3.7035999999999998</v>
      </c>
      <c r="J123" s="32">
        <v>70</v>
      </c>
      <c r="K123" s="32" t="s">
        <v>75</v>
      </c>
      <c r="L123" s="33" t="s">
        <v>66</v>
      </c>
      <c r="M123" s="33"/>
      <c r="N123" s="32">
        <v>180</v>
      </c>
      <c r="O123" s="393" t="str">
        <f>HYPERLINK("https://abi.ru/products/Замороженные/Горячая штучка/Пекерсы/Снеки/P003041/","Снеки Пекерсы с индейкой в сливочном соусе Пекерсы Фикс.вес 0,25 Лоток Горячая штучка НД")</f>
        <v>Снеки Пекерсы с индейкой в сливочном соусе Пекерсы Фикс.вес 0,25 Лоток Горячая штучка НД</v>
      </c>
      <c r="P123" s="195"/>
      <c r="Q123" s="195"/>
      <c r="R123" s="195"/>
      <c r="S123" s="196"/>
      <c r="T123" s="34"/>
      <c r="U123" s="34"/>
      <c r="V123" s="35" t="s">
        <v>67</v>
      </c>
      <c r="W123" s="188">
        <v>0</v>
      </c>
      <c r="X123" s="189">
        <f>IFERROR(IF(W123="","",W123),"")</f>
        <v>0</v>
      </c>
      <c r="Y123" s="36">
        <f>IFERROR(IF(W123="","",W123*0.01788),"")</f>
        <v>0</v>
      </c>
      <c r="Z123" s="56"/>
      <c r="AA123" s="57"/>
      <c r="AE123" s="61"/>
      <c r="BB123" s="112" t="s">
        <v>76</v>
      </c>
    </row>
    <row r="124" spans="1:54" hidden="1" x14ac:dyDescent="0.2">
      <c r="A124" s="203"/>
      <c r="B124" s="202"/>
      <c r="C124" s="202"/>
      <c r="D124" s="202"/>
      <c r="E124" s="202"/>
      <c r="F124" s="202"/>
      <c r="G124" s="202"/>
      <c r="H124" s="202"/>
      <c r="I124" s="202"/>
      <c r="J124" s="202"/>
      <c r="K124" s="202"/>
      <c r="L124" s="202"/>
      <c r="M124" s="202"/>
      <c r="N124" s="204"/>
      <c r="O124" s="198" t="s">
        <v>68</v>
      </c>
      <c r="P124" s="199"/>
      <c r="Q124" s="199"/>
      <c r="R124" s="199"/>
      <c r="S124" s="199"/>
      <c r="T124" s="199"/>
      <c r="U124" s="200"/>
      <c r="V124" s="37" t="s">
        <v>67</v>
      </c>
      <c r="W124" s="190">
        <f>IFERROR(SUM(W123:W123),"0")</f>
        <v>0</v>
      </c>
      <c r="X124" s="190">
        <f>IFERROR(SUM(X123:X123),"0")</f>
        <v>0</v>
      </c>
      <c r="Y124" s="190">
        <f>IFERROR(IF(Y123="",0,Y123),"0")</f>
        <v>0</v>
      </c>
      <c r="Z124" s="191"/>
      <c r="AA124" s="191"/>
    </row>
    <row r="125" spans="1:54" hidden="1" x14ac:dyDescent="0.2">
      <c r="A125" s="202"/>
      <c r="B125" s="202"/>
      <c r="C125" s="202"/>
      <c r="D125" s="202"/>
      <c r="E125" s="202"/>
      <c r="F125" s="202"/>
      <c r="G125" s="202"/>
      <c r="H125" s="202"/>
      <c r="I125" s="202"/>
      <c r="J125" s="202"/>
      <c r="K125" s="202"/>
      <c r="L125" s="202"/>
      <c r="M125" s="202"/>
      <c r="N125" s="204"/>
      <c r="O125" s="198" t="s">
        <v>68</v>
      </c>
      <c r="P125" s="199"/>
      <c r="Q125" s="199"/>
      <c r="R125" s="199"/>
      <c r="S125" s="199"/>
      <c r="T125" s="199"/>
      <c r="U125" s="200"/>
      <c r="V125" s="37" t="s">
        <v>69</v>
      </c>
      <c r="W125" s="190">
        <f>IFERROR(SUMPRODUCT(W123:W123*H123:H123),"0")</f>
        <v>0</v>
      </c>
      <c r="X125" s="190">
        <f>IFERROR(SUMPRODUCT(X123:X123*H123:H123),"0")</f>
        <v>0</v>
      </c>
      <c r="Y125" s="37"/>
      <c r="Z125" s="191"/>
      <c r="AA125" s="191"/>
    </row>
    <row r="126" spans="1:54" ht="16.5" hidden="1" customHeight="1" x14ac:dyDescent="0.25">
      <c r="A126" s="218" t="s">
        <v>183</v>
      </c>
      <c r="B126" s="202"/>
      <c r="C126" s="202"/>
      <c r="D126" s="202"/>
      <c r="E126" s="202"/>
      <c r="F126" s="202"/>
      <c r="G126" s="202"/>
      <c r="H126" s="202"/>
      <c r="I126" s="202"/>
      <c r="J126" s="202"/>
      <c r="K126" s="202"/>
      <c r="L126" s="202"/>
      <c r="M126" s="202"/>
      <c r="N126" s="202"/>
      <c r="O126" s="202"/>
      <c r="P126" s="202"/>
      <c r="Q126" s="202"/>
      <c r="R126" s="202"/>
      <c r="S126" s="202"/>
      <c r="T126" s="202"/>
      <c r="U126" s="202"/>
      <c r="V126" s="202"/>
      <c r="W126" s="202"/>
      <c r="X126" s="202"/>
      <c r="Y126" s="202"/>
      <c r="Z126" s="182"/>
      <c r="AA126" s="182"/>
    </row>
    <row r="127" spans="1:54" ht="14.25" hidden="1" customHeight="1" x14ac:dyDescent="0.25">
      <c r="A127" s="201" t="s">
        <v>184</v>
      </c>
      <c r="B127" s="202"/>
      <c r="C127" s="202"/>
      <c r="D127" s="202"/>
      <c r="E127" s="202"/>
      <c r="F127" s="202"/>
      <c r="G127" s="202"/>
      <c r="H127" s="202"/>
      <c r="I127" s="202"/>
      <c r="J127" s="202"/>
      <c r="K127" s="202"/>
      <c r="L127" s="202"/>
      <c r="M127" s="202"/>
      <c r="N127" s="202"/>
      <c r="O127" s="202"/>
      <c r="P127" s="202"/>
      <c r="Q127" s="202"/>
      <c r="R127" s="202"/>
      <c r="S127" s="202"/>
      <c r="T127" s="202"/>
      <c r="U127" s="202"/>
      <c r="V127" s="202"/>
      <c r="W127" s="202"/>
      <c r="X127" s="202"/>
      <c r="Y127" s="202"/>
      <c r="Z127" s="181"/>
      <c r="AA127" s="181"/>
    </row>
    <row r="128" spans="1:54" ht="27" hidden="1" customHeight="1" x14ac:dyDescent="0.25">
      <c r="A128" s="54" t="s">
        <v>185</v>
      </c>
      <c r="B128" s="54" t="s">
        <v>186</v>
      </c>
      <c r="C128" s="31">
        <v>4301070768</v>
      </c>
      <c r="D128" s="197">
        <v>4607111035639</v>
      </c>
      <c r="E128" s="196"/>
      <c r="F128" s="187">
        <v>0.2</v>
      </c>
      <c r="G128" s="32">
        <v>12</v>
      </c>
      <c r="H128" s="187">
        <v>2.4</v>
      </c>
      <c r="I128" s="187">
        <v>3.13</v>
      </c>
      <c r="J128" s="32">
        <v>48</v>
      </c>
      <c r="K128" s="32" t="s">
        <v>187</v>
      </c>
      <c r="L128" s="33" t="s">
        <v>66</v>
      </c>
      <c r="M128" s="33"/>
      <c r="N128" s="32">
        <v>180</v>
      </c>
      <c r="O128" s="283" t="str">
        <f>HYPERLINK("https://abi.ru/products/Замороженные/Горячая штучка/Супермени/Пельмени ПГП/P002098/","Пельмени Супермени с мясом Супермени 0,2 Сфера Горячая штучка")</f>
        <v>Пельмени Супермени с мясом Супермени 0,2 Сфера Горячая штучка</v>
      </c>
      <c r="P128" s="195"/>
      <c r="Q128" s="195"/>
      <c r="R128" s="195"/>
      <c r="S128" s="196"/>
      <c r="T128" s="34"/>
      <c r="U128" s="34"/>
      <c r="V128" s="35" t="s">
        <v>67</v>
      </c>
      <c r="W128" s="188">
        <v>0</v>
      </c>
      <c r="X128" s="189">
        <f>IFERROR(IF(W128="","",W128),"")</f>
        <v>0</v>
      </c>
      <c r="Y128" s="36">
        <f>IFERROR(IF(W128="","",W128*0.01786),"")</f>
        <v>0</v>
      </c>
      <c r="Z128" s="56"/>
      <c r="AA128" s="57"/>
      <c r="AE128" s="61"/>
      <c r="BB128" s="113" t="s">
        <v>76</v>
      </c>
    </row>
    <row r="129" spans="1:54" ht="27" hidden="1" customHeight="1" x14ac:dyDescent="0.25">
      <c r="A129" s="54" t="s">
        <v>188</v>
      </c>
      <c r="B129" s="54" t="s">
        <v>189</v>
      </c>
      <c r="C129" s="31">
        <v>4301070797</v>
      </c>
      <c r="D129" s="197">
        <v>4607111035646</v>
      </c>
      <c r="E129" s="196"/>
      <c r="F129" s="187">
        <v>0.2</v>
      </c>
      <c r="G129" s="32">
        <v>8</v>
      </c>
      <c r="H129" s="187">
        <v>1.6</v>
      </c>
      <c r="I129" s="187">
        <v>2.12</v>
      </c>
      <c r="J129" s="32">
        <v>72</v>
      </c>
      <c r="K129" s="32" t="s">
        <v>190</v>
      </c>
      <c r="L129" s="33" t="s">
        <v>66</v>
      </c>
      <c r="M129" s="33"/>
      <c r="N129" s="32">
        <v>180</v>
      </c>
      <c r="O129" s="300" t="str">
        <f>HYPERLINK("https://abi.ru/products/Замороженные/Горячая штучка/Супермени/Пельмени ПГП/P002299/","Пельмени Супермени со сливочным маслом Супермени 0,2 Сфера Горячая штучка")</f>
        <v>Пельмени Супермени со сливочным маслом Супермени 0,2 Сфера Горячая штучка</v>
      </c>
      <c r="P129" s="195"/>
      <c r="Q129" s="195"/>
      <c r="R129" s="195"/>
      <c r="S129" s="196"/>
      <c r="T129" s="34"/>
      <c r="U129" s="34"/>
      <c r="V129" s="35" t="s">
        <v>67</v>
      </c>
      <c r="W129" s="188">
        <v>0</v>
      </c>
      <c r="X129" s="189">
        <f>IFERROR(IF(W129="","",W129),"")</f>
        <v>0</v>
      </c>
      <c r="Y129" s="36">
        <f>IFERROR(IF(W129="","",W129*0.01157),"")</f>
        <v>0</v>
      </c>
      <c r="Z129" s="56"/>
      <c r="AA129" s="57"/>
      <c r="AE129" s="61"/>
      <c r="BB129" s="114" t="s">
        <v>76</v>
      </c>
    </row>
    <row r="130" spans="1:54" hidden="1" x14ac:dyDescent="0.2">
      <c r="A130" s="203"/>
      <c r="B130" s="202"/>
      <c r="C130" s="202"/>
      <c r="D130" s="202"/>
      <c r="E130" s="202"/>
      <c r="F130" s="202"/>
      <c r="G130" s="202"/>
      <c r="H130" s="202"/>
      <c r="I130" s="202"/>
      <c r="J130" s="202"/>
      <c r="K130" s="202"/>
      <c r="L130" s="202"/>
      <c r="M130" s="202"/>
      <c r="N130" s="204"/>
      <c r="O130" s="198" t="s">
        <v>68</v>
      </c>
      <c r="P130" s="199"/>
      <c r="Q130" s="199"/>
      <c r="R130" s="199"/>
      <c r="S130" s="199"/>
      <c r="T130" s="199"/>
      <c r="U130" s="200"/>
      <c r="V130" s="37" t="s">
        <v>67</v>
      </c>
      <c r="W130" s="190">
        <f>IFERROR(SUM(W128:W129),"0")</f>
        <v>0</v>
      </c>
      <c r="X130" s="190">
        <f>IFERROR(SUM(X128:X129),"0")</f>
        <v>0</v>
      </c>
      <c r="Y130" s="190">
        <f>IFERROR(IF(Y128="",0,Y128),"0")+IFERROR(IF(Y129="",0,Y129),"0")</f>
        <v>0</v>
      </c>
      <c r="Z130" s="191"/>
      <c r="AA130" s="191"/>
    </row>
    <row r="131" spans="1:54" hidden="1" x14ac:dyDescent="0.2">
      <c r="A131" s="202"/>
      <c r="B131" s="202"/>
      <c r="C131" s="202"/>
      <c r="D131" s="202"/>
      <c r="E131" s="202"/>
      <c r="F131" s="202"/>
      <c r="G131" s="202"/>
      <c r="H131" s="202"/>
      <c r="I131" s="202"/>
      <c r="J131" s="202"/>
      <c r="K131" s="202"/>
      <c r="L131" s="202"/>
      <c r="M131" s="202"/>
      <c r="N131" s="204"/>
      <c r="O131" s="198" t="s">
        <v>68</v>
      </c>
      <c r="P131" s="199"/>
      <c r="Q131" s="199"/>
      <c r="R131" s="199"/>
      <c r="S131" s="199"/>
      <c r="T131" s="199"/>
      <c r="U131" s="200"/>
      <c r="V131" s="37" t="s">
        <v>69</v>
      </c>
      <c r="W131" s="190">
        <f>IFERROR(SUMPRODUCT(W128:W129*H128:H129),"0")</f>
        <v>0</v>
      </c>
      <c r="X131" s="190">
        <f>IFERROR(SUMPRODUCT(X128:X129*H128:H129),"0")</f>
        <v>0</v>
      </c>
      <c r="Y131" s="37"/>
      <c r="Z131" s="191"/>
      <c r="AA131" s="191"/>
    </row>
    <row r="132" spans="1:54" ht="16.5" hidden="1" customHeight="1" x14ac:dyDescent="0.25">
      <c r="A132" s="218" t="s">
        <v>191</v>
      </c>
      <c r="B132" s="202"/>
      <c r="C132" s="202"/>
      <c r="D132" s="202"/>
      <c r="E132" s="202"/>
      <c r="F132" s="202"/>
      <c r="G132" s="202"/>
      <c r="H132" s="202"/>
      <c r="I132" s="202"/>
      <c r="J132" s="202"/>
      <c r="K132" s="202"/>
      <c r="L132" s="202"/>
      <c r="M132" s="202"/>
      <c r="N132" s="202"/>
      <c r="O132" s="202"/>
      <c r="P132" s="202"/>
      <c r="Q132" s="202"/>
      <c r="R132" s="202"/>
      <c r="S132" s="202"/>
      <c r="T132" s="202"/>
      <c r="U132" s="202"/>
      <c r="V132" s="202"/>
      <c r="W132" s="202"/>
      <c r="X132" s="202"/>
      <c r="Y132" s="202"/>
      <c r="Z132" s="182"/>
      <c r="AA132" s="182"/>
    </row>
    <row r="133" spans="1:54" ht="14.25" hidden="1" customHeight="1" x14ac:dyDescent="0.25">
      <c r="A133" s="201" t="s">
        <v>122</v>
      </c>
      <c r="B133" s="202"/>
      <c r="C133" s="202"/>
      <c r="D133" s="202"/>
      <c r="E133" s="202"/>
      <c r="F133" s="202"/>
      <c r="G133" s="202"/>
      <c r="H133" s="202"/>
      <c r="I133" s="202"/>
      <c r="J133" s="202"/>
      <c r="K133" s="202"/>
      <c r="L133" s="202"/>
      <c r="M133" s="202"/>
      <c r="N133" s="202"/>
      <c r="O133" s="202"/>
      <c r="P133" s="202"/>
      <c r="Q133" s="202"/>
      <c r="R133" s="202"/>
      <c r="S133" s="202"/>
      <c r="T133" s="202"/>
      <c r="U133" s="202"/>
      <c r="V133" s="202"/>
      <c r="W133" s="202"/>
      <c r="X133" s="202"/>
      <c r="Y133" s="202"/>
      <c r="Z133" s="181"/>
      <c r="AA133" s="181"/>
    </row>
    <row r="134" spans="1:54" ht="27" hidden="1" customHeight="1" x14ac:dyDescent="0.25">
      <c r="A134" s="54" t="s">
        <v>192</v>
      </c>
      <c r="B134" s="54" t="s">
        <v>193</v>
      </c>
      <c r="C134" s="31">
        <v>4301135133</v>
      </c>
      <c r="D134" s="197">
        <v>4607111036568</v>
      </c>
      <c r="E134" s="196"/>
      <c r="F134" s="187">
        <v>0.28000000000000003</v>
      </c>
      <c r="G134" s="32">
        <v>6</v>
      </c>
      <c r="H134" s="187">
        <v>1.68</v>
      </c>
      <c r="I134" s="187">
        <v>2.1017999999999999</v>
      </c>
      <c r="J134" s="32">
        <v>126</v>
      </c>
      <c r="K134" s="32" t="s">
        <v>75</v>
      </c>
      <c r="L134" s="33" t="s">
        <v>66</v>
      </c>
      <c r="M134" s="33"/>
      <c r="N134" s="32">
        <v>180</v>
      </c>
      <c r="O134" s="313" t="str">
        <f>HYPERLINK("https://abi.ru/products/Замороженные/Горячая штучка/Чебуманы/Снеки/P003040/","Снеки Чебуманы с говядиной Чебуманы Фикс.вес 0,28 лоток Горячая штучка")</f>
        <v>Снеки Чебуманы с говядиной Чебуманы Фикс.вес 0,28 лоток Горячая штучка</v>
      </c>
      <c r="P134" s="195"/>
      <c r="Q134" s="195"/>
      <c r="R134" s="195"/>
      <c r="S134" s="196"/>
      <c r="T134" s="34"/>
      <c r="U134" s="34"/>
      <c r="V134" s="35" t="s">
        <v>67</v>
      </c>
      <c r="W134" s="188">
        <v>0</v>
      </c>
      <c r="X134" s="189">
        <f>IFERROR(IF(W134="","",W134),"")</f>
        <v>0</v>
      </c>
      <c r="Y134" s="36">
        <f>IFERROR(IF(W134="","",W134*0.00936),"")</f>
        <v>0</v>
      </c>
      <c r="Z134" s="56"/>
      <c r="AA134" s="57"/>
      <c r="AE134" s="61"/>
      <c r="BB134" s="115" t="s">
        <v>76</v>
      </c>
    </row>
    <row r="135" spans="1:54" hidden="1" x14ac:dyDescent="0.2">
      <c r="A135" s="203"/>
      <c r="B135" s="202"/>
      <c r="C135" s="202"/>
      <c r="D135" s="202"/>
      <c r="E135" s="202"/>
      <c r="F135" s="202"/>
      <c r="G135" s="202"/>
      <c r="H135" s="202"/>
      <c r="I135" s="202"/>
      <c r="J135" s="202"/>
      <c r="K135" s="202"/>
      <c r="L135" s="202"/>
      <c r="M135" s="202"/>
      <c r="N135" s="204"/>
      <c r="O135" s="198" t="s">
        <v>68</v>
      </c>
      <c r="P135" s="199"/>
      <c r="Q135" s="199"/>
      <c r="R135" s="199"/>
      <c r="S135" s="199"/>
      <c r="T135" s="199"/>
      <c r="U135" s="200"/>
      <c r="V135" s="37" t="s">
        <v>67</v>
      </c>
      <c r="W135" s="190">
        <f>IFERROR(SUM(W134:W134),"0")</f>
        <v>0</v>
      </c>
      <c r="X135" s="190">
        <f>IFERROR(SUM(X134:X134),"0")</f>
        <v>0</v>
      </c>
      <c r="Y135" s="190">
        <f>IFERROR(IF(Y134="",0,Y134),"0")</f>
        <v>0</v>
      </c>
      <c r="Z135" s="191"/>
      <c r="AA135" s="191"/>
    </row>
    <row r="136" spans="1:54" hidden="1" x14ac:dyDescent="0.2">
      <c r="A136" s="202"/>
      <c r="B136" s="202"/>
      <c r="C136" s="202"/>
      <c r="D136" s="202"/>
      <c r="E136" s="202"/>
      <c r="F136" s="202"/>
      <c r="G136" s="202"/>
      <c r="H136" s="202"/>
      <c r="I136" s="202"/>
      <c r="J136" s="202"/>
      <c r="K136" s="202"/>
      <c r="L136" s="202"/>
      <c r="M136" s="202"/>
      <c r="N136" s="204"/>
      <c r="O136" s="198" t="s">
        <v>68</v>
      </c>
      <c r="P136" s="199"/>
      <c r="Q136" s="199"/>
      <c r="R136" s="199"/>
      <c r="S136" s="199"/>
      <c r="T136" s="199"/>
      <c r="U136" s="200"/>
      <c r="V136" s="37" t="s">
        <v>69</v>
      </c>
      <c r="W136" s="190">
        <f>IFERROR(SUMPRODUCT(W134:W134*H134:H134),"0")</f>
        <v>0</v>
      </c>
      <c r="X136" s="190">
        <f>IFERROR(SUMPRODUCT(X134:X134*H134:H134),"0")</f>
        <v>0</v>
      </c>
      <c r="Y136" s="37"/>
      <c r="Z136" s="191"/>
      <c r="AA136" s="191"/>
    </row>
    <row r="137" spans="1:54" ht="27.75" hidden="1" customHeight="1" x14ac:dyDescent="0.2">
      <c r="A137" s="226" t="s">
        <v>194</v>
      </c>
      <c r="B137" s="227"/>
      <c r="C137" s="227"/>
      <c r="D137" s="227"/>
      <c r="E137" s="227"/>
      <c r="F137" s="227"/>
      <c r="G137" s="227"/>
      <c r="H137" s="227"/>
      <c r="I137" s="227"/>
      <c r="J137" s="227"/>
      <c r="K137" s="227"/>
      <c r="L137" s="227"/>
      <c r="M137" s="227"/>
      <c r="N137" s="227"/>
      <c r="O137" s="227"/>
      <c r="P137" s="227"/>
      <c r="Q137" s="227"/>
      <c r="R137" s="227"/>
      <c r="S137" s="227"/>
      <c r="T137" s="227"/>
      <c r="U137" s="227"/>
      <c r="V137" s="227"/>
      <c r="W137" s="227"/>
      <c r="X137" s="227"/>
      <c r="Y137" s="227"/>
      <c r="Z137" s="48"/>
      <c r="AA137" s="48"/>
    </row>
    <row r="138" spans="1:54" ht="16.5" hidden="1" customHeight="1" x14ac:dyDescent="0.25">
      <c r="A138" s="218" t="s">
        <v>195</v>
      </c>
      <c r="B138" s="202"/>
      <c r="C138" s="202"/>
      <c r="D138" s="202"/>
      <c r="E138" s="202"/>
      <c r="F138" s="202"/>
      <c r="G138" s="202"/>
      <c r="H138" s="202"/>
      <c r="I138" s="202"/>
      <c r="J138" s="202"/>
      <c r="K138" s="202"/>
      <c r="L138" s="202"/>
      <c r="M138" s="202"/>
      <c r="N138" s="202"/>
      <c r="O138" s="202"/>
      <c r="P138" s="202"/>
      <c r="Q138" s="202"/>
      <c r="R138" s="202"/>
      <c r="S138" s="202"/>
      <c r="T138" s="202"/>
      <c r="U138" s="202"/>
      <c r="V138" s="202"/>
      <c r="W138" s="202"/>
      <c r="X138" s="202"/>
      <c r="Y138" s="202"/>
      <c r="Z138" s="182"/>
      <c r="AA138" s="182"/>
    </row>
    <row r="139" spans="1:54" ht="14.25" hidden="1" customHeight="1" x14ac:dyDescent="0.25">
      <c r="A139" s="201" t="s">
        <v>122</v>
      </c>
      <c r="B139" s="202"/>
      <c r="C139" s="202"/>
      <c r="D139" s="202"/>
      <c r="E139" s="202"/>
      <c r="F139" s="202"/>
      <c r="G139" s="202"/>
      <c r="H139" s="202"/>
      <c r="I139" s="202"/>
      <c r="J139" s="202"/>
      <c r="K139" s="202"/>
      <c r="L139" s="202"/>
      <c r="M139" s="202"/>
      <c r="N139" s="202"/>
      <c r="O139" s="202"/>
      <c r="P139" s="202"/>
      <c r="Q139" s="202"/>
      <c r="R139" s="202"/>
      <c r="S139" s="202"/>
      <c r="T139" s="202"/>
      <c r="U139" s="202"/>
      <c r="V139" s="202"/>
      <c r="W139" s="202"/>
      <c r="X139" s="202"/>
      <c r="Y139" s="202"/>
      <c r="Z139" s="181"/>
      <c r="AA139" s="181"/>
    </row>
    <row r="140" spans="1:54" ht="16.5" hidden="1" customHeight="1" x14ac:dyDescent="0.25">
      <c r="A140" s="54" t="s">
        <v>196</v>
      </c>
      <c r="B140" s="54" t="s">
        <v>197</v>
      </c>
      <c r="C140" s="31">
        <v>4301135317</v>
      </c>
      <c r="D140" s="197">
        <v>4607111039057</v>
      </c>
      <c r="E140" s="196"/>
      <c r="F140" s="187">
        <v>1.8</v>
      </c>
      <c r="G140" s="32">
        <v>1</v>
      </c>
      <c r="H140" s="187">
        <v>1.8</v>
      </c>
      <c r="I140" s="187">
        <v>1.9</v>
      </c>
      <c r="J140" s="32">
        <v>234</v>
      </c>
      <c r="K140" s="32" t="s">
        <v>118</v>
      </c>
      <c r="L140" s="33" t="s">
        <v>66</v>
      </c>
      <c r="M140" s="33"/>
      <c r="N140" s="32">
        <v>180</v>
      </c>
      <c r="O140" s="330" t="s">
        <v>198</v>
      </c>
      <c r="P140" s="195"/>
      <c r="Q140" s="195"/>
      <c r="R140" s="195"/>
      <c r="S140" s="196"/>
      <c r="T140" s="34"/>
      <c r="U140" s="34"/>
      <c r="V140" s="35" t="s">
        <v>67</v>
      </c>
      <c r="W140" s="188">
        <v>0</v>
      </c>
      <c r="X140" s="189">
        <f>IFERROR(IF(W140="","",W140),"")</f>
        <v>0</v>
      </c>
      <c r="Y140" s="36">
        <f>IFERROR(IF(W140="","",W140*0.00502),"")</f>
        <v>0</v>
      </c>
      <c r="Z140" s="56"/>
      <c r="AA140" s="57"/>
      <c r="AE140" s="61"/>
      <c r="BB140" s="116" t="s">
        <v>76</v>
      </c>
    </row>
    <row r="141" spans="1:54" hidden="1" x14ac:dyDescent="0.2">
      <c r="A141" s="203"/>
      <c r="B141" s="202"/>
      <c r="C141" s="202"/>
      <c r="D141" s="202"/>
      <c r="E141" s="202"/>
      <c r="F141" s="202"/>
      <c r="G141" s="202"/>
      <c r="H141" s="202"/>
      <c r="I141" s="202"/>
      <c r="J141" s="202"/>
      <c r="K141" s="202"/>
      <c r="L141" s="202"/>
      <c r="M141" s="202"/>
      <c r="N141" s="204"/>
      <c r="O141" s="198" t="s">
        <v>68</v>
      </c>
      <c r="P141" s="199"/>
      <c r="Q141" s="199"/>
      <c r="R141" s="199"/>
      <c r="S141" s="199"/>
      <c r="T141" s="199"/>
      <c r="U141" s="200"/>
      <c r="V141" s="37" t="s">
        <v>67</v>
      </c>
      <c r="W141" s="190">
        <f>IFERROR(SUM(W140:W140),"0")</f>
        <v>0</v>
      </c>
      <c r="X141" s="190">
        <f>IFERROR(SUM(X140:X140),"0")</f>
        <v>0</v>
      </c>
      <c r="Y141" s="190">
        <f>IFERROR(IF(Y140="",0,Y140),"0")</f>
        <v>0</v>
      </c>
      <c r="Z141" s="191"/>
      <c r="AA141" s="191"/>
    </row>
    <row r="142" spans="1:54" hidden="1" x14ac:dyDescent="0.2">
      <c r="A142" s="202"/>
      <c r="B142" s="202"/>
      <c r="C142" s="202"/>
      <c r="D142" s="202"/>
      <c r="E142" s="202"/>
      <c r="F142" s="202"/>
      <c r="G142" s="202"/>
      <c r="H142" s="202"/>
      <c r="I142" s="202"/>
      <c r="J142" s="202"/>
      <c r="K142" s="202"/>
      <c r="L142" s="202"/>
      <c r="M142" s="202"/>
      <c r="N142" s="204"/>
      <c r="O142" s="198" t="s">
        <v>68</v>
      </c>
      <c r="P142" s="199"/>
      <c r="Q142" s="199"/>
      <c r="R142" s="199"/>
      <c r="S142" s="199"/>
      <c r="T142" s="199"/>
      <c r="U142" s="200"/>
      <c r="V142" s="37" t="s">
        <v>69</v>
      </c>
      <c r="W142" s="190">
        <f>IFERROR(SUMPRODUCT(W140:W140*H140:H140),"0")</f>
        <v>0</v>
      </c>
      <c r="X142" s="190">
        <f>IFERROR(SUMPRODUCT(X140:X140*H140:H140),"0")</f>
        <v>0</v>
      </c>
      <c r="Y142" s="37"/>
      <c r="Z142" s="191"/>
      <c r="AA142" s="191"/>
    </row>
    <row r="143" spans="1:54" ht="16.5" hidden="1" customHeight="1" x14ac:dyDescent="0.25">
      <c r="A143" s="218" t="s">
        <v>199</v>
      </c>
      <c r="B143" s="202"/>
      <c r="C143" s="202"/>
      <c r="D143" s="202"/>
      <c r="E143" s="202"/>
      <c r="F143" s="202"/>
      <c r="G143" s="202"/>
      <c r="H143" s="202"/>
      <c r="I143" s="202"/>
      <c r="J143" s="202"/>
      <c r="K143" s="202"/>
      <c r="L143" s="202"/>
      <c r="M143" s="202"/>
      <c r="N143" s="202"/>
      <c r="O143" s="202"/>
      <c r="P143" s="202"/>
      <c r="Q143" s="202"/>
      <c r="R143" s="202"/>
      <c r="S143" s="202"/>
      <c r="T143" s="202"/>
      <c r="U143" s="202"/>
      <c r="V143" s="202"/>
      <c r="W143" s="202"/>
      <c r="X143" s="202"/>
      <c r="Y143" s="202"/>
      <c r="Z143" s="182"/>
      <c r="AA143" s="182"/>
    </row>
    <row r="144" spans="1:54" ht="14.25" hidden="1" customHeight="1" x14ac:dyDescent="0.25">
      <c r="A144" s="201" t="s">
        <v>184</v>
      </c>
      <c r="B144" s="202"/>
      <c r="C144" s="202"/>
      <c r="D144" s="202"/>
      <c r="E144" s="202"/>
      <c r="F144" s="202"/>
      <c r="G144" s="202"/>
      <c r="H144" s="202"/>
      <c r="I144" s="202"/>
      <c r="J144" s="202"/>
      <c r="K144" s="202"/>
      <c r="L144" s="202"/>
      <c r="M144" s="202"/>
      <c r="N144" s="202"/>
      <c r="O144" s="202"/>
      <c r="P144" s="202"/>
      <c r="Q144" s="202"/>
      <c r="R144" s="202"/>
      <c r="S144" s="202"/>
      <c r="T144" s="202"/>
      <c r="U144" s="202"/>
      <c r="V144" s="202"/>
      <c r="W144" s="202"/>
      <c r="X144" s="202"/>
      <c r="Y144" s="202"/>
      <c r="Z144" s="181"/>
      <c r="AA144" s="181"/>
    </row>
    <row r="145" spans="1:54" ht="16.5" hidden="1" customHeight="1" x14ac:dyDescent="0.25">
      <c r="A145" s="54" t="s">
        <v>200</v>
      </c>
      <c r="B145" s="54" t="s">
        <v>201</v>
      </c>
      <c r="C145" s="31">
        <v>4301071010</v>
      </c>
      <c r="D145" s="197">
        <v>4607111037701</v>
      </c>
      <c r="E145" s="196"/>
      <c r="F145" s="187">
        <v>5</v>
      </c>
      <c r="G145" s="32">
        <v>1</v>
      </c>
      <c r="H145" s="187">
        <v>5</v>
      </c>
      <c r="I145" s="187">
        <v>5.2</v>
      </c>
      <c r="J145" s="32">
        <v>144</v>
      </c>
      <c r="K145" s="32" t="s">
        <v>65</v>
      </c>
      <c r="L145" s="33" t="s">
        <v>66</v>
      </c>
      <c r="M145" s="33"/>
      <c r="N145" s="32">
        <v>180</v>
      </c>
      <c r="O145" s="290" t="str">
        <f>HYPERLINK("https://abi.ru/products/Замороженные/No Name/Стародворье ПГП/Пельмени ПГП/P003301/","Пельмени «Быстромени» Весовой ТМ «No Name» 5")</f>
        <v>Пельмени «Быстромени» Весовой ТМ «No Name» 5</v>
      </c>
      <c r="P145" s="195"/>
      <c r="Q145" s="195"/>
      <c r="R145" s="195"/>
      <c r="S145" s="196"/>
      <c r="T145" s="34"/>
      <c r="U145" s="34"/>
      <c r="V145" s="35" t="s">
        <v>67</v>
      </c>
      <c r="W145" s="188">
        <v>0</v>
      </c>
      <c r="X145" s="189">
        <f>IFERROR(IF(W145="","",W145),"")</f>
        <v>0</v>
      </c>
      <c r="Y145" s="36">
        <f>IFERROR(IF(W145="","",W145*0.00866),"")</f>
        <v>0</v>
      </c>
      <c r="Z145" s="56"/>
      <c r="AA145" s="57"/>
      <c r="AE145" s="61"/>
      <c r="BB145" s="117" t="s">
        <v>76</v>
      </c>
    </row>
    <row r="146" spans="1:54" hidden="1" x14ac:dyDescent="0.2">
      <c r="A146" s="203"/>
      <c r="B146" s="202"/>
      <c r="C146" s="202"/>
      <c r="D146" s="202"/>
      <c r="E146" s="202"/>
      <c r="F146" s="202"/>
      <c r="G146" s="202"/>
      <c r="H146" s="202"/>
      <c r="I146" s="202"/>
      <c r="J146" s="202"/>
      <c r="K146" s="202"/>
      <c r="L146" s="202"/>
      <c r="M146" s="202"/>
      <c r="N146" s="204"/>
      <c r="O146" s="198" t="s">
        <v>68</v>
      </c>
      <c r="P146" s="199"/>
      <c r="Q146" s="199"/>
      <c r="R146" s="199"/>
      <c r="S146" s="199"/>
      <c r="T146" s="199"/>
      <c r="U146" s="200"/>
      <c r="V146" s="37" t="s">
        <v>67</v>
      </c>
      <c r="W146" s="190">
        <f>IFERROR(SUM(W145:W145),"0")</f>
        <v>0</v>
      </c>
      <c r="X146" s="190">
        <f>IFERROR(SUM(X145:X145),"0")</f>
        <v>0</v>
      </c>
      <c r="Y146" s="190">
        <f>IFERROR(IF(Y145="",0,Y145),"0")</f>
        <v>0</v>
      </c>
      <c r="Z146" s="191"/>
      <c r="AA146" s="191"/>
    </row>
    <row r="147" spans="1:54" hidden="1" x14ac:dyDescent="0.2">
      <c r="A147" s="202"/>
      <c r="B147" s="202"/>
      <c r="C147" s="202"/>
      <c r="D147" s="202"/>
      <c r="E147" s="202"/>
      <c r="F147" s="202"/>
      <c r="G147" s="202"/>
      <c r="H147" s="202"/>
      <c r="I147" s="202"/>
      <c r="J147" s="202"/>
      <c r="K147" s="202"/>
      <c r="L147" s="202"/>
      <c r="M147" s="202"/>
      <c r="N147" s="204"/>
      <c r="O147" s="198" t="s">
        <v>68</v>
      </c>
      <c r="P147" s="199"/>
      <c r="Q147" s="199"/>
      <c r="R147" s="199"/>
      <c r="S147" s="199"/>
      <c r="T147" s="199"/>
      <c r="U147" s="200"/>
      <c r="V147" s="37" t="s">
        <v>69</v>
      </c>
      <c r="W147" s="190">
        <f>IFERROR(SUMPRODUCT(W145:W145*H145:H145),"0")</f>
        <v>0</v>
      </c>
      <c r="X147" s="190">
        <f>IFERROR(SUMPRODUCT(X145:X145*H145:H145),"0")</f>
        <v>0</v>
      </c>
      <c r="Y147" s="37"/>
      <c r="Z147" s="191"/>
      <c r="AA147" s="191"/>
    </row>
    <row r="148" spans="1:54" ht="16.5" hidden="1" customHeight="1" x14ac:dyDescent="0.25">
      <c r="A148" s="218" t="s">
        <v>202</v>
      </c>
      <c r="B148" s="202"/>
      <c r="C148" s="202"/>
      <c r="D148" s="202"/>
      <c r="E148" s="202"/>
      <c r="F148" s="202"/>
      <c r="G148" s="202"/>
      <c r="H148" s="202"/>
      <c r="I148" s="202"/>
      <c r="J148" s="202"/>
      <c r="K148" s="202"/>
      <c r="L148" s="202"/>
      <c r="M148" s="202"/>
      <c r="N148" s="202"/>
      <c r="O148" s="202"/>
      <c r="P148" s="202"/>
      <c r="Q148" s="202"/>
      <c r="R148" s="202"/>
      <c r="S148" s="202"/>
      <c r="T148" s="202"/>
      <c r="U148" s="202"/>
      <c r="V148" s="202"/>
      <c r="W148" s="202"/>
      <c r="X148" s="202"/>
      <c r="Y148" s="202"/>
      <c r="Z148" s="182"/>
      <c r="AA148" s="182"/>
    </row>
    <row r="149" spans="1:54" ht="14.25" hidden="1" customHeight="1" x14ac:dyDescent="0.25">
      <c r="A149" s="201" t="s">
        <v>62</v>
      </c>
      <c r="B149" s="202"/>
      <c r="C149" s="202"/>
      <c r="D149" s="202"/>
      <c r="E149" s="202"/>
      <c r="F149" s="202"/>
      <c r="G149" s="202"/>
      <c r="H149" s="202"/>
      <c r="I149" s="202"/>
      <c r="J149" s="202"/>
      <c r="K149" s="202"/>
      <c r="L149" s="202"/>
      <c r="M149" s="202"/>
      <c r="N149" s="202"/>
      <c r="O149" s="202"/>
      <c r="P149" s="202"/>
      <c r="Q149" s="202"/>
      <c r="R149" s="202"/>
      <c r="S149" s="202"/>
      <c r="T149" s="202"/>
      <c r="U149" s="202"/>
      <c r="V149" s="202"/>
      <c r="W149" s="202"/>
      <c r="X149" s="202"/>
      <c r="Y149" s="202"/>
      <c r="Z149" s="181"/>
      <c r="AA149" s="181"/>
    </row>
    <row r="150" spans="1:54" ht="16.5" hidden="1" customHeight="1" x14ac:dyDescent="0.25">
      <c r="A150" s="54" t="s">
        <v>203</v>
      </c>
      <c r="B150" s="54" t="s">
        <v>204</v>
      </c>
      <c r="C150" s="31">
        <v>4301071026</v>
      </c>
      <c r="D150" s="197">
        <v>4607111036384</v>
      </c>
      <c r="E150" s="196"/>
      <c r="F150" s="187">
        <v>1</v>
      </c>
      <c r="G150" s="32">
        <v>5</v>
      </c>
      <c r="H150" s="187">
        <v>5</v>
      </c>
      <c r="I150" s="187">
        <v>5.2530000000000001</v>
      </c>
      <c r="J150" s="32">
        <v>144</v>
      </c>
      <c r="K150" s="32" t="s">
        <v>65</v>
      </c>
      <c r="L150" s="33" t="s">
        <v>66</v>
      </c>
      <c r="M150" s="33"/>
      <c r="N150" s="32">
        <v>180</v>
      </c>
      <c r="O150" s="312" t="s">
        <v>205</v>
      </c>
      <c r="P150" s="195"/>
      <c r="Q150" s="195"/>
      <c r="R150" s="195"/>
      <c r="S150" s="196"/>
      <c r="T150" s="34"/>
      <c r="U150" s="34"/>
      <c r="V150" s="35" t="s">
        <v>67</v>
      </c>
      <c r="W150" s="188">
        <v>0</v>
      </c>
      <c r="X150" s="189">
        <f>IFERROR(IF(W150="","",W150),"")</f>
        <v>0</v>
      </c>
      <c r="Y150" s="36">
        <f>IFERROR(IF(W150="","",W150*0.00866),"")</f>
        <v>0</v>
      </c>
      <c r="Z150" s="56"/>
      <c r="AA150" s="57"/>
      <c r="AE150" s="61"/>
      <c r="BB150" s="118" t="s">
        <v>1</v>
      </c>
    </row>
    <row r="151" spans="1:54" ht="27" hidden="1" customHeight="1" x14ac:dyDescent="0.25">
      <c r="A151" s="54" t="s">
        <v>206</v>
      </c>
      <c r="B151" s="54" t="s">
        <v>207</v>
      </c>
      <c r="C151" s="31">
        <v>4301070956</v>
      </c>
      <c r="D151" s="197">
        <v>4640242180250</v>
      </c>
      <c r="E151" s="196"/>
      <c r="F151" s="187">
        <v>5</v>
      </c>
      <c r="G151" s="32">
        <v>1</v>
      </c>
      <c r="H151" s="187">
        <v>5</v>
      </c>
      <c r="I151" s="187">
        <v>5.2131999999999996</v>
      </c>
      <c r="J151" s="32">
        <v>144</v>
      </c>
      <c r="K151" s="32" t="s">
        <v>65</v>
      </c>
      <c r="L151" s="33" t="s">
        <v>66</v>
      </c>
      <c r="M151" s="33"/>
      <c r="N151" s="32">
        <v>180</v>
      </c>
      <c r="O151" s="252" t="s">
        <v>208</v>
      </c>
      <c r="P151" s="195"/>
      <c r="Q151" s="195"/>
      <c r="R151" s="195"/>
      <c r="S151" s="196"/>
      <c r="T151" s="34"/>
      <c r="U151" s="34"/>
      <c r="V151" s="35" t="s">
        <v>67</v>
      </c>
      <c r="W151" s="188">
        <v>0</v>
      </c>
      <c r="X151" s="189">
        <f>IFERROR(IF(W151="","",W151),"")</f>
        <v>0</v>
      </c>
      <c r="Y151" s="36">
        <f>IFERROR(IF(W151="","",W151*0.00866),"")</f>
        <v>0</v>
      </c>
      <c r="Z151" s="56"/>
      <c r="AA151" s="57"/>
      <c r="AE151" s="61"/>
      <c r="BB151" s="119" t="s">
        <v>1</v>
      </c>
    </row>
    <row r="152" spans="1:54" ht="27" customHeight="1" x14ac:dyDescent="0.25">
      <c r="A152" s="54" t="s">
        <v>209</v>
      </c>
      <c r="B152" s="54" t="s">
        <v>210</v>
      </c>
      <c r="C152" s="31">
        <v>4301071028</v>
      </c>
      <c r="D152" s="197">
        <v>4607111036216</v>
      </c>
      <c r="E152" s="196"/>
      <c r="F152" s="187">
        <v>1</v>
      </c>
      <c r="G152" s="32">
        <v>5</v>
      </c>
      <c r="H152" s="187">
        <v>5</v>
      </c>
      <c r="I152" s="187">
        <v>5.266</v>
      </c>
      <c r="J152" s="32">
        <v>144</v>
      </c>
      <c r="K152" s="32" t="s">
        <v>65</v>
      </c>
      <c r="L152" s="33" t="s">
        <v>66</v>
      </c>
      <c r="M152" s="33"/>
      <c r="N152" s="32">
        <v>180</v>
      </c>
      <c r="O152" s="318" t="str">
        <f>HYPERLINK("https://abi.ru/products/Замороженные/No Name/No Name ЗПФ/Пельмени/P004077/","Пельмени Пуговки с говядиной и свининой No Name Весовые Сфера No Name 5 кг")</f>
        <v>Пельмени Пуговки с говядиной и свининой No Name Весовые Сфера No Name 5 кг</v>
      </c>
      <c r="P152" s="195"/>
      <c r="Q152" s="195"/>
      <c r="R152" s="195"/>
      <c r="S152" s="196"/>
      <c r="T152" s="34"/>
      <c r="U152" s="34"/>
      <c r="V152" s="35" t="s">
        <v>67</v>
      </c>
      <c r="W152" s="188">
        <v>30</v>
      </c>
      <c r="X152" s="189">
        <f>IFERROR(IF(W152="","",W152),"")</f>
        <v>30</v>
      </c>
      <c r="Y152" s="36">
        <f>IFERROR(IF(W152="","",W152*0.00866),"")</f>
        <v>0.25979999999999998</v>
      </c>
      <c r="Z152" s="56"/>
      <c r="AA152" s="57"/>
      <c r="AE152" s="61"/>
      <c r="BB152" s="120" t="s">
        <v>1</v>
      </c>
    </row>
    <row r="153" spans="1:54" ht="27" hidden="1" customHeight="1" x14ac:dyDescent="0.25">
      <c r="A153" s="54" t="s">
        <v>211</v>
      </c>
      <c r="B153" s="54" t="s">
        <v>212</v>
      </c>
      <c r="C153" s="31">
        <v>4301071027</v>
      </c>
      <c r="D153" s="197">
        <v>4607111036278</v>
      </c>
      <c r="E153" s="196"/>
      <c r="F153" s="187">
        <v>1</v>
      </c>
      <c r="G153" s="32">
        <v>5</v>
      </c>
      <c r="H153" s="187">
        <v>5</v>
      </c>
      <c r="I153" s="187">
        <v>5.2830000000000004</v>
      </c>
      <c r="J153" s="32">
        <v>84</v>
      </c>
      <c r="K153" s="32" t="s">
        <v>65</v>
      </c>
      <c r="L153" s="33" t="s">
        <v>66</v>
      </c>
      <c r="M153" s="33"/>
      <c r="N153" s="32">
        <v>180</v>
      </c>
      <c r="O153" s="345" t="s">
        <v>213</v>
      </c>
      <c r="P153" s="195"/>
      <c r="Q153" s="195"/>
      <c r="R153" s="195"/>
      <c r="S153" s="196"/>
      <c r="T153" s="34"/>
      <c r="U153" s="34"/>
      <c r="V153" s="35" t="s">
        <v>67</v>
      </c>
      <c r="W153" s="188">
        <v>0</v>
      </c>
      <c r="X153" s="189">
        <f>IFERROR(IF(W153="","",W153),"")</f>
        <v>0</v>
      </c>
      <c r="Y153" s="36">
        <f>IFERROR(IF(W153="","",W153*0.0155),"")</f>
        <v>0</v>
      </c>
      <c r="Z153" s="56"/>
      <c r="AA153" s="57"/>
      <c r="AE153" s="61"/>
      <c r="BB153" s="121" t="s">
        <v>1</v>
      </c>
    </row>
    <row r="154" spans="1:54" x14ac:dyDescent="0.2">
      <c r="A154" s="203"/>
      <c r="B154" s="202"/>
      <c r="C154" s="202"/>
      <c r="D154" s="202"/>
      <c r="E154" s="202"/>
      <c r="F154" s="202"/>
      <c r="G154" s="202"/>
      <c r="H154" s="202"/>
      <c r="I154" s="202"/>
      <c r="J154" s="202"/>
      <c r="K154" s="202"/>
      <c r="L154" s="202"/>
      <c r="M154" s="202"/>
      <c r="N154" s="204"/>
      <c r="O154" s="198" t="s">
        <v>68</v>
      </c>
      <c r="P154" s="199"/>
      <c r="Q154" s="199"/>
      <c r="R154" s="199"/>
      <c r="S154" s="199"/>
      <c r="T154" s="199"/>
      <c r="U154" s="200"/>
      <c r="V154" s="37" t="s">
        <v>67</v>
      </c>
      <c r="W154" s="190">
        <f>IFERROR(SUM(W150:W153),"0")</f>
        <v>30</v>
      </c>
      <c r="X154" s="190">
        <f>IFERROR(SUM(X150:X153),"0")</f>
        <v>30</v>
      </c>
      <c r="Y154" s="190">
        <f>IFERROR(IF(Y150="",0,Y150),"0")+IFERROR(IF(Y151="",0,Y151),"0")+IFERROR(IF(Y152="",0,Y152),"0")+IFERROR(IF(Y153="",0,Y153),"0")</f>
        <v>0.25979999999999998</v>
      </c>
      <c r="Z154" s="191"/>
      <c r="AA154" s="191"/>
    </row>
    <row r="155" spans="1:54" x14ac:dyDescent="0.2">
      <c r="A155" s="202"/>
      <c r="B155" s="202"/>
      <c r="C155" s="202"/>
      <c r="D155" s="202"/>
      <c r="E155" s="202"/>
      <c r="F155" s="202"/>
      <c r="G155" s="202"/>
      <c r="H155" s="202"/>
      <c r="I155" s="202"/>
      <c r="J155" s="202"/>
      <c r="K155" s="202"/>
      <c r="L155" s="202"/>
      <c r="M155" s="202"/>
      <c r="N155" s="204"/>
      <c r="O155" s="198" t="s">
        <v>68</v>
      </c>
      <c r="P155" s="199"/>
      <c r="Q155" s="199"/>
      <c r="R155" s="199"/>
      <c r="S155" s="199"/>
      <c r="T155" s="199"/>
      <c r="U155" s="200"/>
      <c r="V155" s="37" t="s">
        <v>69</v>
      </c>
      <c r="W155" s="190">
        <f>IFERROR(SUMPRODUCT(W150:W153*H150:H153),"0")</f>
        <v>150</v>
      </c>
      <c r="X155" s="190">
        <f>IFERROR(SUMPRODUCT(X150:X153*H150:H153),"0")</f>
        <v>150</v>
      </c>
      <c r="Y155" s="37"/>
      <c r="Z155" s="191"/>
      <c r="AA155" s="191"/>
    </row>
    <row r="156" spans="1:54" ht="14.25" hidden="1" customHeight="1" x14ac:dyDescent="0.25">
      <c r="A156" s="201" t="s">
        <v>214</v>
      </c>
      <c r="B156" s="202"/>
      <c r="C156" s="202"/>
      <c r="D156" s="202"/>
      <c r="E156" s="202"/>
      <c r="F156" s="202"/>
      <c r="G156" s="202"/>
      <c r="H156" s="202"/>
      <c r="I156" s="202"/>
      <c r="J156" s="202"/>
      <c r="K156" s="202"/>
      <c r="L156" s="202"/>
      <c r="M156" s="202"/>
      <c r="N156" s="202"/>
      <c r="O156" s="202"/>
      <c r="P156" s="202"/>
      <c r="Q156" s="202"/>
      <c r="R156" s="202"/>
      <c r="S156" s="202"/>
      <c r="T156" s="202"/>
      <c r="U156" s="202"/>
      <c r="V156" s="202"/>
      <c r="W156" s="202"/>
      <c r="X156" s="202"/>
      <c r="Y156" s="202"/>
      <c r="Z156" s="181"/>
      <c r="AA156" s="181"/>
    </row>
    <row r="157" spans="1:54" ht="27" hidden="1" customHeight="1" x14ac:dyDescent="0.25">
      <c r="A157" s="54" t="s">
        <v>215</v>
      </c>
      <c r="B157" s="54" t="s">
        <v>216</v>
      </c>
      <c r="C157" s="31">
        <v>4301080153</v>
      </c>
      <c r="D157" s="197">
        <v>4607111036827</v>
      </c>
      <c r="E157" s="196"/>
      <c r="F157" s="187">
        <v>1</v>
      </c>
      <c r="G157" s="32">
        <v>5</v>
      </c>
      <c r="H157" s="187">
        <v>5</v>
      </c>
      <c r="I157" s="187">
        <v>5.2</v>
      </c>
      <c r="J157" s="32">
        <v>144</v>
      </c>
      <c r="K157" s="32" t="s">
        <v>65</v>
      </c>
      <c r="L157" s="33" t="s">
        <v>66</v>
      </c>
      <c r="M157" s="33"/>
      <c r="N157" s="32">
        <v>90</v>
      </c>
      <c r="O157" s="255" t="str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>Вареники Благолепные с картофелем и грибами No name Весовые Классическая форма No name 5 кг</v>
      </c>
      <c r="P157" s="195"/>
      <c r="Q157" s="195"/>
      <c r="R157" s="195"/>
      <c r="S157" s="196"/>
      <c r="T157" s="34"/>
      <c r="U157" s="34"/>
      <c r="V157" s="35" t="s">
        <v>67</v>
      </c>
      <c r="W157" s="188">
        <v>0</v>
      </c>
      <c r="X157" s="189">
        <f>IFERROR(IF(W157="","",W157),"")</f>
        <v>0</v>
      </c>
      <c r="Y157" s="36">
        <f>IFERROR(IF(W157="","",W157*0.00866),"")</f>
        <v>0</v>
      </c>
      <c r="Z157" s="56"/>
      <c r="AA157" s="57"/>
      <c r="AE157" s="61"/>
      <c r="BB157" s="122" t="s">
        <v>1</v>
      </c>
    </row>
    <row r="158" spans="1:54" ht="27" hidden="1" customHeight="1" x14ac:dyDescent="0.25">
      <c r="A158" s="54" t="s">
        <v>217</v>
      </c>
      <c r="B158" s="54" t="s">
        <v>218</v>
      </c>
      <c r="C158" s="31">
        <v>4301080154</v>
      </c>
      <c r="D158" s="197">
        <v>4607111036834</v>
      </c>
      <c r="E158" s="196"/>
      <c r="F158" s="187">
        <v>1</v>
      </c>
      <c r="G158" s="32">
        <v>5</v>
      </c>
      <c r="H158" s="187">
        <v>5</v>
      </c>
      <c r="I158" s="187">
        <v>5.2530000000000001</v>
      </c>
      <c r="J158" s="32">
        <v>144</v>
      </c>
      <c r="K158" s="32" t="s">
        <v>65</v>
      </c>
      <c r="L158" s="33" t="s">
        <v>66</v>
      </c>
      <c r="M158" s="33"/>
      <c r="N158" s="32">
        <v>90</v>
      </c>
      <c r="O158" s="337" t="str">
        <f>HYPERLINK("https://abi.ru/products/Замороженные/No Name/No Name ЗПФ/Вареники/P002961/","Вареники с картофелем и луком No name Весовые Классическая форма No name 5 кг")</f>
        <v>Вареники с картофелем и луком No name Весовые Классическая форма No name 5 кг</v>
      </c>
      <c r="P158" s="195"/>
      <c r="Q158" s="195"/>
      <c r="R158" s="195"/>
      <c r="S158" s="196"/>
      <c r="T158" s="34"/>
      <c r="U158" s="34"/>
      <c r="V158" s="35" t="s">
        <v>67</v>
      </c>
      <c r="W158" s="188">
        <v>0</v>
      </c>
      <c r="X158" s="189">
        <f>IFERROR(IF(W158="","",W158),"")</f>
        <v>0</v>
      </c>
      <c r="Y158" s="36">
        <f>IFERROR(IF(W158="","",W158*0.00866),"")</f>
        <v>0</v>
      </c>
      <c r="Z158" s="56"/>
      <c r="AA158" s="57"/>
      <c r="AE158" s="61"/>
      <c r="BB158" s="123" t="s">
        <v>1</v>
      </c>
    </row>
    <row r="159" spans="1:54" hidden="1" x14ac:dyDescent="0.2">
      <c r="A159" s="203"/>
      <c r="B159" s="202"/>
      <c r="C159" s="202"/>
      <c r="D159" s="202"/>
      <c r="E159" s="202"/>
      <c r="F159" s="202"/>
      <c r="G159" s="202"/>
      <c r="H159" s="202"/>
      <c r="I159" s="202"/>
      <c r="J159" s="202"/>
      <c r="K159" s="202"/>
      <c r="L159" s="202"/>
      <c r="M159" s="202"/>
      <c r="N159" s="204"/>
      <c r="O159" s="198" t="s">
        <v>68</v>
      </c>
      <c r="P159" s="199"/>
      <c r="Q159" s="199"/>
      <c r="R159" s="199"/>
      <c r="S159" s="199"/>
      <c r="T159" s="199"/>
      <c r="U159" s="200"/>
      <c r="V159" s="37" t="s">
        <v>67</v>
      </c>
      <c r="W159" s="190">
        <f>IFERROR(SUM(W157:W158),"0")</f>
        <v>0</v>
      </c>
      <c r="X159" s="190">
        <f>IFERROR(SUM(X157:X158),"0")</f>
        <v>0</v>
      </c>
      <c r="Y159" s="190">
        <f>IFERROR(IF(Y157="",0,Y157),"0")+IFERROR(IF(Y158="",0,Y158),"0")</f>
        <v>0</v>
      </c>
      <c r="Z159" s="191"/>
      <c r="AA159" s="191"/>
    </row>
    <row r="160" spans="1:54" hidden="1" x14ac:dyDescent="0.2">
      <c r="A160" s="202"/>
      <c r="B160" s="202"/>
      <c r="C160" s="202"/>
      <c r="D160" s="202"/>
      <c r="E160" s="202"/>
      <c r="F160" s="202"/>
      <c r="G160" s="202"/>
      <c r="H160" s="202"/>
      <c r="I160" s="202"/>
      <c r="J160" s="202"/>
      <c r="K160" s="202"/>
      <c r="L160" s="202"/>
      <c r="M160" s="202"/>
      <c r="N160" s="204"/>
      <c r="O160" s="198" t="s">
        <v>68</v>
      </c>
      <c r="P160" s="199"/>
      <c r="Q160" s="199"/>
      <c r="R160" s="199"/>
      <c r="S160" s="199"/>
      <c r="T160" s="199"/>
      <c r="U160" s="200"/>
      <c r="V160" s="37" t="s">
        <v>69</v>
      </c>
      <c r="W160" s="190">
        <f>IFERROR(SUMPRODUCT(W157:W158*H157:H158),"0")</f>
        <v>0</v>
      </c>
      <c r="X160" s="190">
        <f>IFERROR(SUMPRODUCT(X157:X158*H157:H158),"0")</f>
        <v>0</v>
      </c>
      <c r="Y160" s="37"/>
      <c r="Z160" s="191"/>
      <c r="AA160" s="191"/>
    </row>
    <row r="161" spans="1:54" ht="27.75" hidden="1" customHeight="1" x14ac:dyDescent="0.2">
      <c r="A161" s="226" t="s">
        <v>219</v>
      </c>
      <c r="B161" s="227"/>
      <c r="C161" s="227"/>
      <c r="D161" s="227"/>
      <c r="E161" s="227"/>
      <c r="F161" s="227"/>
      <c r="G161" s="227"/>
      <c r="H161" s="227"/>
      <c r="I161" s="227"/>
      <c r="J161" s="227"/>
      <c r="K161" s="227"/>
      <c r="L161" s="227"/>
      <c r="M161" s="227"/>
      <c r="N161" s="227"/>
      <c r="O161" s="227"/>
      <c r="P161" s="227"/>
      <c r="Q161" s="227"/>
      <c r="R161" s="227"/>
      <c r="S161" s="227"/>
      <c r="T161" s="227"/>
      <c r="U161" s="227"/>
      <c r="V161" s="227"/>
      <c r="W161" s="227"/>
      <c r="X161" s="227"/>
      <c r="Y161" s="227"/>
      <c r="Z161" s="48"/>
      <c r="AA161" s="48"/>
    </row>
    <row r="162" spans="1:54" ht="16.5" hidden="1" customHeight="1" x14ac:dyDescent="0.25">
      <c r="A162" s="218" t="s">
        <v>220</v>
      </c>
      <c r="B162" s="202"/>
      <c r="C162" s="202"/>
      <c r="D162" s="202"/>
      <c r="E162" s="202"/>
      <c r="F162" s="202"/>
      <c r="G162" s="202"/>
      <c r="H162" s="202"/>
      <c r="I162" s="202"/>
      <c r="J162" s="202"/>
      <c r="K162" s="202"/>
      <c r="L162" s="202"/>
      <c r="M162" s="202"/>
      <c r="N162" s="202"/>
      <c r="O162" s="202"/>
      <c r="P162" s="202"/>
      <c r="Q162" s="202"/>
      <c r="R162" s="202"/>
      <c r="S162" s="202"/>
      <c r="T162" s="202"/>
      <c r="U162" s="202"/>
      <c r="V162" s="202"/>
      <c r="W162" s="202"/>
      <c r="X162" s="202"/>
      <c r="Y162" s="202"/>
      <c r="Z162" s="182"/>
      <c r="AA162" s="182"/>
    </row>
    <row r="163" spans="1:54" ht="14.25" hidden="1" customHeight="1" x14ac:dyDescent="0.25">
      <c r="A163" s="201" t="s">
        <v>72</v>
      </c>
      <c r="B163" s="202"/>
      <c r="C163" s="202"/>
      <c r="D163" s="202"/>
      <c r="E163" s="202"/>
      <c r="F163" s="202"/>
      <c r="G163" s="202"/>
      <c r="H163" s="202"/>
      <c r="I163" s="202"/>
      <c r="J163" s="202"/>
      <c r="K163" s="202"/>
      <c r="L163" s="202"/>
      <c r="M163" s="202"/>
      <c r="N163" s="202"/>
      <c r="O163" s="202"/>
      <c r="P163" s="202"/>
      <c r="Q163" s="202"/>
      <c r="R163" s="202"/>
      <c r="S163" s="202"/>
      <c r="T163" s="202"/>
      <c r="U163" s="202"/>
      <c r="V163" s="202"/>
      <c r="W163" s="202"/>
      <c r="X163" s="202"/>
      <c r="Y163" s="202"/>
      <c r="Z163" s="181"/>
      <c r="AA163" s="181"/>
    </row>
    <row r="164" spans="1:54" ht="16.5" hidden="1" customHeight="1" x14ac:dyDescent="0.25">
      <c r="A164" s="54" t="s">
        <v>221</v>
      </c>
      <c r="B164" s="54" t="s">
        <v>222</v>
      </c>
      <c r="C164" s="31">
        <v>4301132048</v>
      </c>
      <c r="D164" s="197">
        <v>4607111035721</v>
      </c>
      <c r="E164" s="196"/>
      <c r="F164" s="187">
        <v>0.25</v>
      </c>
      <c r="G164" s="32">
        <v>12</v>
      </c>
      <c r="H164" s="187">
        <v>3</v>
      </c>
      <c r="I164" s="187">
        <v>3.3879999999999999</v>
      </c>
      <c r="J164" s="32">
        <v>70</v>
      </c>
      <c r="K164" s="32" t="s">
        <v>75</v>
      </c>
      <c r="L164" s="33" t="s">
        <v>66</v>
      </c>
      <c r="M164" s="33"/>
      <c r="N164" s="32">
        <v>180</v>
      </c>
      <c r="O164" s="361" t="str">
        <f>HYPERLINK("https://abi.ru/products/Замороженные/Вязанка/Няняггетсы Сливушки/Наггетсы/P002823/","Наггетсы С индейкой Наггетсы Фикс.вес 0,25 Лоток Вязанка")</f>
        <v>Наггетсы С индейкой Наггетсы Фикс.вес 0,25 Лоток Вязанка</v>
      </c>
      <c r="P164" s="195"/>
      <c r="Q164" s="195"/>
      <c r="R164" s="195"/>
      <c r="S164" s="196"/>
      <c r="T164" s="34"/>
      <c r="U164" s="34"/>
      <c r="V164" s="35" t="s">
        <v>67</v>
      </c>
      <c r="W164" s="188">
        <v>0</v>
      </c>
      <c r="X164" s="189">
        <f>IFERROR(IF(W164="","",W164),"")</f>
        <v>0</v>
      </c>
      <c r="Y164" s="36">
        <f>IFERROR(IF(W164="","",W164*0.01788),"")</f>
        <v>0</v>
      </c>
      <c r="Z164" s="56"/>
      <c r="AA164" s="57"/>
      <c r="AE164" s="61"/>
      <c r="BB164" s="124" t="s">
        <v>76</v>
      </c>
    </row>
    <row r="165" spans="1:54" ht="27" customHeight="1" x14ac:dyDescent="0.25">
      <c r="A165" s="54" t="s">
        <v>223</v>
      </c>
      <c r="B165" s="54" t="s">
        <v>224</v>
      </c>
      <c r="C165" s="31">
        <v>4301132100</v>
      </c>
      <c r="D165" s="197">
        <v>4607111035691</v>
      </c>
      <c r="E165" s="196"/>
      <c r="F165" s="187">
        <v>0.25</v>
      </c>
      <c r="G165" s="32">
        <v>12</v>
      </c>
      <c r="H165" s="187">
        <v>3</v>
      </c>
      <c r="I165" s="187">
        <v>3.3879999999999999</v>
      </c>
      <c r="J165" s="32">
        <v>70</v>
      </c>
      <c r="K165" s="32" t="s">
        <v>75</v>
      </c>
      <c r="L165" s="33" t="s">
        <v>66</v>
      </c>
      <c r="M165" s="33"/>
      <c r="N165" s="32">
        <v>365</v>
      </c>
      <c r="O165" s="329" t="s">
        <v>225</v>
      </c>
      <c r="P165" s="195"/>
      <c r="Q165" s="195"/>
      <c r="R165" s="195"/>
      <c r="S165" s="196"/>
      <c r="T165" s="34"/>
      <c r="U165" s="34"/>
      <c r="V165" s="35" t="s">
        <v>67</v>
      </c>
      <c r="W165" s="188">
        <v>30</v>
      </c>
      <c r="X165" s="189">
        <f>IFERROR(IF(W165="","",W165),"")</f>
        <v>30</v>
      </c>
      <c r="Y165" s="36">
        <f>IFERROR(IF(W165="","",W165*0.01788),"")</f>
        <v>0.53639999999999999</v>
      </c>
      <c r="Z165" s="56"/>
      <c r="AA165" s="57"/>
      <c r="AE165" s="61"/>
      <c r="BB165" s="125" t="s">
        <v>76</v>
      </c>
    </row>
    <row r="166" spans="1:54" x14ac:dyDescent="0.2">
      <c r="A166" s="203"/>
      <c r="B166" s="202"/>
      <c r="C166" s="202"/>
      <c r="D166" s="202"/>
      <c r="E166" s="202"/>
      <c r="F166" s="202"/>
      <c r="G166" s="202"/>
      <c r="H166" s="202"/>
      <c r="I166" s="202"/>
      <c r="J166" s="202"/>
      <c r="K166" s="202"/>
      <c r="L166" s="202"/>
      <c r="M166" s="202"/>
      <c r="N166" s="204"/>
      <c r="O166" s="198" t="s">
        <v>68</v>
      </c>
      <c r="P166" s="199"/>
      <c r="Q166" s="199"/>
      <c r="R166" s="199"/>
      <c r="S166" s="199"/>
      <c r="T166" s="199"/>
      <c r="U166" s="200"/>
      <c r="V166" s="37" t="s">
        <v>67</v>
      </c>
      <c r="W166" s="190">
        <f>IFERROR(SUM(W164:W165),"0")</f>
        <v>30</v>
      </c>
      <c r="X166" s="190">
        <f>IFERROR(SUM(X164:X165),"0")</f>
        <v>30</v>
      </c>
      <c r="Y166" s="190">
        <f>IFERROR(IF(Y164="",0,Y164),"0")+IFERROR(IF(Y165="",0,Y165),"0")</f>
        <v>0.53639999999999999</v>
      </c>
      <c r="Z166" s="191"/>
      <c r="AA166" s="191"/>
    </row>
    <row r="167" spans="1:54" x14ac:dyDescent="0.2">
      <c r="A167" s="202"/>
      <c r="B167" s="202"/>
      <c r="C167" s="202"/>
      <c r="D167" s="202"/>
      <c r="E167" s="202"/>
      <c r="F167" s="202"/>
      <c r="G167" s="202"/>
      <c r="H167" s="202"/>
      <c r="I167" s="202"/>
      <c r="J167" s="202"/>
      <c r="K167" s="202"/>
      <c r="L167" s="202"/>
      <c r="M167" s="202"/>
      <c r="N167" s="204"/>
      <c r="O167" s="198" t="s">
        <v>68</v>
      </c>
      <c r="P167" s="199"/>
      <c r="Q167" s="199"/>
      <c r="R167" s="199"/>
      <c r="S167" s="199"/>
      <c r="T167" s="199"/>
      <c r="U167" s="200"/>
      <c r="V167" s="37" t="s">
        <v>69</v>
      </c>
      <c r="W167" s="190">
        <f>IFERROR(SUMPRODUCT(W164:W165*H164:H165),"0")</f>
        <v>90</v>
      </c>
      <c r="X167" s="190">
        <f>IFERROR(SUMPRODUCT(X164:X165*H164:H165),"0")</f>
        <v>90</v>
      </c>
      <c r="Y167" s="37"/>
      <c r="Z167" s="191"/>
      <c r="AA167" s="191"/>
    </row>
    <row r="168" spans="1:54" ht="16.5" hidden="1" customHeight="1" x14ac:dyDescent="0.25">
      <c r="A168" s="218" t="s">
        <v>226</v>
      </c>
      <c r="B168" s="202"/>
      <c r="C168" s="202"/>
      <c r="D168" s="202"/>
      <c r="E168" s="202"/>
      <c r="F168" s="202"/>
      <c r="G168" s="202"/>
      <c r="H168" s="202"/>
      <c r="I168" s="202"/>
      <c r="J168" s="202"/>
      <c r="K168" s="202"/>
      <c r="L168" s="202"/>
      <c r="M168" s="202"/>
      <c r="N168" s="202"/>
      <c r="O168" s="202"/>
      <c r="P168" s="202"/>
      <c r="Q168" s="202"/>
      <c r="R168" s="202"/>
      <c r="S168" s="202"/>
      <c r="T168" s="202"/>
      <c r="U168" s="202"/>
      <c r="V168" s="202"/>
      <c r="W168" s="202"/>
      <c r="X168" s="202"/>
      <c r="Y168" s="202"/>
      <c r="Z168" s="182"/>
      <c r="AA168" s="182"/>
    </row>
    <row r="169" spans="1:54" ht="14.25" hidden="1" customHeight="1" x14ac:dyDescent="0.25">
      <c r="A169" s="201" t="s">
        <v>226</v>
      </c>
      <c r="B169" s="202"/>
      <c r="C169" s="202"/>
      <c r="D169" s="202"/>
      <c r="E169" s="202"/>
      <c r="F169" s="202"/>
      <c r="G169" s="202"/>
      <c r="H169" s="202"/>
      <c r="I169" s="202"/>
      <c r="J169" s="202"/>
      <c r="K169" s="202"/>
      <c r="L169" s="202"/>
      <c r="M169" s="202"/>
      <c r="N169" s="202"/>
      <c r="O169" s="202"/>
      <c r="P169" s="202"/>
      <c r="Q169" s="202"/>
      <c r="R169" s="202"/>
      <c r="S169" s="202"/>
      <c r="T169" s="202"/>
      <c r="U169" s="202"/>
      <c r="V169" s="202"/>
      <c r="W169" s="202"/>
      <c r="X169" s="202"/>
      <c r="Y169" s="202"/>
      <c r="Z169" s="181"/>
      <c r="AA169" s="181"/>
    </row>
    <row r="170" spans="1:54" ht="27" hidden="1" customHeight="1" x14ac:dyDescent="0.25">
      <c r="A170" s="54" t="s">
        <v>227</v>
      </c>
      <c r="B170" s="54" t="s">
        <v>228</v>
      </c>
      <c r="C170" s="31">
        <v>4301133002</v>
      </c>
      <c r="D170" s="197">
        <v>4607111035783</v>
      </c>
      <c r="E170" s="196"/>
      <c r="F170" s="187">
        <v>0.2</v>
      </c>
      <c r="G170" s="32">
        <v>8</v>
      </c>
      <c r="H170" s="187">
        <v>1.6</v>
      </c>
      <c r="I170" s="187">
        <v>2.12</v>
      </c>
      <c r="J170" s="32">
        <v>72</v>
      </c>
      <c r="K170" s="32" t="s">
        <v>190</v>
      </c>
      <c r="L170" s="33" t="s">
        <v>66</v>
      </c>
      <c r="M170" s="33"/>
      <c r="N170" s="32">
        <v>180</v>
      </c>
      <c r="O170" s="288" t="str">
        <f>HYPERLINK("https://abi.ru/products/Замороженные/Вязанка/Печеные пельмени/Печеные пельмени/P002411/","Печеные пельмени Печь-мени с мясом Печеные пельмени Фикс.вес 0,2 сфера Вязанка")</f>
        <v>Печеные пельмени Печь-мени с мясом Печеные пельмени Фикс.вес 0,2 сфера Вязанка</v>
      </c>
      <c r="P170" s="195"/>
      <c r="Q170" s="195"/>
      <c r="R170" s="195"/>
      <c r="S170" s="196"/>
      <c r="T170" s="34"/>
      <c r="U170" s="34"/>
      <c r="V170" s="35" t="s">
        <v>67</v>
      </c>
      <c r="W170" s="188">
        <v>0</v>
      </c>
      <c r="X170" s="189">
        <f>IFERROR(IF(W170="","",W170),"")</f>
        <v>0</v>
      </c>
      <c r="Y170" s="36">
        <f>IFERROR(IF(W170="","",W170*0.01157),"")</f>
        <v>0</v>
      </c>
      <c r="Z170" s="56"/>
      <c r="AA170" s="57"/>
      <c r="AE170" s="61"/>
      <c r="BB170" s="126" t="s">
        <v>76</v>
      </c>
    </row>
    <row r="171" spans="1:54" hidden="1" x14ac:dyDescent="0.2">
      <c r="A171" s="203"/>
      <c r="B171" s="202"/>
      <c r="C171" s="202"/>
      <c r="D171" s="202"/>
      <c r="E171" s="202"/>
      <c r="F171" s="202"/>
      <c r="G171" s="202"/>
      <c r="H171" s="202"/>
      <c r="I171" s="202"/>
      <c r="J171" s="202"/>
      <c r="K171" s="202"/>
      <c r="L171" s="202"/>
      <c r="M171" s="202"/>
      <c r="N171" s="204"/>
      <c r="O171" s="198" t="s">
        <v>68</v>
      </c>
      <c r="P171" s="199"/>
      <c r="Q171" s="199"/>
      <c r="R171" s="199"/>
      <c r="S171" s="199"/>
      <c r="T171" s="199"/>
      <c r="U171" s="200"/>
      <c r="V171" s="37" t="s">
        <v>67</v>
      </c>
      <c r="W171" s="190">
        <f>IFERROR(SUM(W170:W170),"0")</f>
        <v>0</v>
      </c>
      <c r="X171" s="190">
        <f>IFERROR(SUM(X170:X170),"0")</f>
        <v>0</v>
      </c>
      <c r="Y171" s="190">
        <f>IFERROR(IF(Y170="",0,Y170),"0")</f>
        <v>0</v>
      </c>
      <c r="Z171" s="191"/>
      <c r="AA171" s="191"/>
    </row>
    <row r="172" spans="1:54" hidden="1" x14ac:dyDescent="0.2">
      <c r="A172" s="202"/>
      <c r="B172" s="202"/>
      <c r="C172" s="202"/>
      <c r="D172" s="202"/>
      <c r="E172" s="202"/>
      <c r="F172" s="202"/>
      <c r="G172" s="202"/>
      <c r="H172" s="202"/>
      <c r="I172" s="202"/>
      <c r="J172" s="202"/>
      <c r="K172" s="202"/>
      <c r="L172" s="202"/>
      <c r="M172" s="202"/>
      <c r="N172" s="204"/>
      <c r="O172" s="198" t="s">
        <v>68</v>
      </c>
      <c r="P172" s="199"/>
      <c r="Q172" s="199"/>
      <c r="R172" s="199"/>
      <c r="S172" s="199"/>
      <c r="T172" s="199"/>
      <c r="U172" s="200"/>
      <c r="V172" s="37" t="s">
        <v>69</v>
      </c>
      <c r="W172" s="190">
        <f>IFERROR(SUMPRODUCT(W170:W170*H170:H170),"0")</f>
        <v>0</v>
      </c>
      <c r="X172" s="190">
        <f>IFERROR(SUMPRODUCT(X170:X170*H170:H170),"0")</f>
        <v>0</v>
      </c>
      <c r="Y172" s="37"/>
      <c r="Z172" s="191"/>
      <c r="AA172" s="191"/>
    </row>
    <row r="173" spans="1:54" ht="16.5" hidden="1" customHeight="1" x14ac:dyDescent="0.25">
      <c r="A173" s="218" t="s">
        <v>219</v>
      </c>
      <c r="B173" s="202"/>
      <c r="C173" s="202"/>
      <c r="D173" s="202"/>
      <c r="E173" s="202"/>
      <c r="F173" s="202"/>
      <c r="G173" s="202"/>
      <c r="H173" s="202"/>
      <c r="I173" s="202"/>
      <c r="J173" s="202"/>
      <c r="K173" s="202"/>
      <c r="L173" s="202"/>
      <c r="M173" s="202"/>
      <c r="N173" s="202"/>
      <c r="O173" s="202"/>
      <c r="P173" s="202"/>
      <c r="Q173" s="202"/>
      <c r="R173" s="202"/>
      <c r="S173" s="202"/>
      <c r="T173" s="202"/>
      <c r="U173" s="202"/>
      <c r="V173" s="202"/>
      <c r="W173" s="202"/>
      <c r="X173" s="202"/>
      <c r="Y173" s="202"/>
      <c r="Z173" s="182"/>
      <c r="AA173" s="182"/>
    </row>
    <row r="174" spans="1:54" ht="14.25" hidden="1" customHeight="1" x14ac:dyDescent="0.25">
      <c r="A174" s="201" t="s">
        <v>229</v>
      </c>
      <c r="B174" s="202"/>
      <c r="C174" s="202"/>
      <c r="D174" s="202"/>
      <c r="E174" s="202"/>
      <c r="F174" s="202"/>
      <c r="G174" s="202"/>
      <c r="H174" s="202"/>
      <c r="I174" s="202"/>
      <c r="J174" s="202"/>
      <c r="K174" s="202"/>
      <c r="L174" s="202"/>
      <c r="M174" s="202"/>
      <c r="N174" s="202"/>
      <c r="O174" s="202"/>
      <c r="P174" s="202"/>
      <c r="Q174" s="202"/>
      <c r="R174" s="202"/>
      <c r="S174" s="202"/>
      <c r="T174" s="202"/>
      <c r="U174" s="202"/>
      <c r="V174" s="202"/>
      <c r="W174" s="202"/>
      <c r="X174" s="202"/>
      <c r="Y174" s="202"/>
      <c r="Z174" s="181"/>
      <c r="AA174" s="181"/>
    </row>
    <row r="175" spans="1:54" ht="27" hidden="1" customHeight="1" x14ac:dyDescent="0.25">
      <c r="A175" s="54" t="s">
        <v>230</v>
      </c>
      <c r="B175" s="54" t="s">
        <v>231</v>
      </c>
      <c r="C175" s="31">
        <v>4301051319</v>
      </c>
      <c r="D175" s="197">
        <v>4680115881204</v>
      </c>
      <c r="E175" s="196"/>
      <c r="F175" s="187">
        <v>0.33</v>
      </c>
      <c r="G175" s="32">
        <v>6</v>
      </c>
      <c r="H175" s="187">
        <v>1.98</v>
      </c>
      <c r="I175" s="187">
        <v>2.246</v>
      </c>
      <c r="J175" s="32">
        <v>156</v>
      </c>
      <c r="K175" s="32" t="s">
        <v>65</v>
      </c>
      <c r="L175" s="33" t="s">
        <v>232</v>
      </c>
      <c r="M175" s="33"/>
      <c r="N175" s="32">
        <v>365</v>
      </c>
      <c r="O175" s="359" t="str">
        <f>HYPERLINK("https://abi.ru/products/Замороженные/Вязанка/Вязанка/Сосиски замороженные/P003053/","Сосиски «Сливушки #нежнушки» замороженные Фикс.вес 0,33 п/а ТМ «Вязанка»")</f>
        <v>Сосиски «Сливушки #нежнушки» замороженные Фикс.вес 0,33 п/а ТМ «Вязанка»</v>
      </c>
      <c r="P175" s="195"/>
      <c r="Q175" s="195"/>
      <c r="R175" s="195"/>
      <c r="S175" s="196"/>
      <c r="T175" s="34"/>
      <c r="U175" s="34"/>
      <c r="V175" s="35" t="s">
        <v>67</v>
      </c>
      <c r="W175" s="188">
        <v>0</v>
      </c>
      <c r="X175" s="189">
        <f>IFERROR(IF(W175="","",W175),"")</f>
        <v>0</v>
      </c>
      <c r="Y175" s="36">
        <f>IFERROR(IF(W175="","",W175*0.00753),"")</f>
        <v>0</v>
      </c>
      <c r="Z175" s="56"/>
      <c r="AA175" s="57"/>
      <c r="AE175" s="61"/>
      <c r="BB175" s="127" t="s">
        <v>233</v>
      </c>
    </row>
    <row r="176" spans="1:54" hidden="1" x14ac:dyDescent="0.2">
      <c r="A176" s="203"/>
      <c r="B176" s="202"/>
      <c r="C176" s="202"/>
      <c r="D176" s="202"/>
      <c r="E176" s="202"/>
      <c r="F176" s="202"/>
      <c r="G176" s="202"/>
      <c r="H176" s="202"/>
      <c r="I176" s="202"/>
      <c r="J176" s="202"/>
      <c r="K176" s="202"/>
      <c r="L176" s="202"/>
      <c r="M176" s="202"/>
      <c r="N176" s="204"/>
      <c r="O176" s="198" t="s">
        <v>68</v>
      </c>
      <c r="P176" s="199"/>
      <c r="Q176" s="199"/>
      <c r="R176" s="199"/>
      <c r="S176" s="199"/>
      <c r="T176" s="199"/>
      <c r="U176" s="200"/>
      <c r="V176" s="37" t="s">
        <v>67</v>
      </c>
      <c r="W176" s="190">
        <f>IFERROR(SUM(W175:W175),"0")</f>
        <v>0</v>
      </c>
      <c r="X176" s="190">
        <f>IFERROR(SUM(X175:X175),"0")</f>
        <v>0</v>
      </c>
      <c r="Y176" s="190">
        <f>IFERROR(IF(Y175="",0,Y175),"0")</f>
        <v>0</v>
      </c>
      <c r="Z176" s="191"/>
      <c r="AA176" s="191"/>
    </row>
    <row r="177" spans="1:54" hidden="1" x14ac:dyDescent="0.2">
      <c r="A177" s="202"/>
      <c r="B177" s="202"/>
      <c r="C177" s="202"/>
      <c r="D177" s="202"/>
      <c r="E177" s="202"/>
      <c r="F177" s="202"/>
      <c r="G177" s="202"/>
      <c r="H177" s="202"/>
      <c r="I177" s="202"/>
      <c r="J177" s="202"/>
      <c r="K177" s="202"/>
      <c r="L177" s="202"/>
      <c r="M177" s="202"/>
      <c r="N177" s="204"/>
      <c r="O177" s="198" t="s">
        <v>68</v>
      </c>
      <c r="P177" s="199"/>
      <c r="Q177" s="199"/>
      <c r="R177" s="199"/>
      <c r="S177" s="199"/>
      <c r="T177" s="199"/>
      <c r="U177" s="200"/>
      <c r="V177" s="37" t="s">
        <v>69</v>
      </c>
      <c r="W177" s="190">
        <f>IFERROR(SUMPRODUCT(W175:W175*H175:H175),"0")</f>
        <v>0</v>
      </c>
      <c r="X177" s="190">
        <f>IFERROR(SUMPRODUCT(X175:X175*H175:H175),"0")</f>
        <v>0</v>
      </c>
      <c r="Y177" s="37"/>
      <c r="Z177" s="191"/>
      <c r="AA177" s="191"/>
    </row>
    <row r="178" spans="1:54" ht="16.5" hidden="1" customHeight="1" x14ac:dyDescent="0.25">
      <c r="A178" s="218" t="s">
        <v>234</v>
      </c>
      <c r="B178" s="202"/>
      <c r="C178" s="202"/>
      <c r="D178" s="202"/>
      <c r="E178" s="202"/>
      <c r="F178" s="202"/>
      <c r="G178" s="202"/>
      <c r="H178" s="202"/>
      <c r="I178" s="202"/>
      <c r="J178" s="202"/>
      <c r="K178" s="202"/>
      <c r="L178" s="202"/>
      <c r="M178" s="202"/>
      <c r="N178" s="202"/>
      <c r="O178" s="202"/>
      <c r="P178" s="202"/>
      <c r="Q178" s="202"/>
      <c r="R178" s="202"/>
      <c r="S178" s="202"/>
      <c r="T178" s="202"/>
      <c r="U178" s="202"/>
      <c r="V178" s="202"/>
      <c r="W178" s="202"/>
      <c r="X178" s="202"/>
      <c r="Y178" s="202"/>
      <c r="Z178" s="182"/>
      <c r="AA178" s="182"/>
    </row>
    <row r="179" spans="1:54" ht="14.25" hidden="1" customHeight="1" x14ac:dyDescent="0.25">
      <c r="A179" s="201" t="s">
        <v>72</v>
      </c>
      <c r="B179" s="202"/>
      <c r="C179" s="202"/>
      <c r="D179" s="202"/>
      <c r="E179" s="202"/>
      <c r="F179" s="202"/>
      <c r="G179" s="202"/>
      <c r="H179" s="202"/>
      <c r="I179" s="202"/>
      <c r="J179" s="202"/>
      <c r="K179" s="202"/>
      <c r="L179" s="202"/>
      <c r="M179" s="202"/>
      <c r="N179" s="202"/>
      <c r="O179" s="202"/>
      <c r="P179" s="202"/>
      <c r="Q179" s="202"/>
      <c r="R179" s="202"/>
      <c r="S179" s="202"/>
      <c r="T179" s="202"/>
      <c r="U179" s="202"/>
      <c r="V179" s="202"/>
      <c r="W179" s="202"/>
      <c r="X179" s="202"/>
      <c r="Y179" s="202"/>
      <c r="Z179" s="181"/>
      <c r="AA179" s="181"/>
    </row>
    <row r="180" spans="1:54" ht="27" customHeight="1" x14ac:dyDescent="0.25">
      <c r="A180" s="54" t="s">
        <v>235</v>
      </c>
      <c r="B180" s="54" t="s">
        <v>236</v>
      </c>
      <c r="C180" s="31">
        <v>4301132079</v>
      </c>
      <c r="D180" s="197">
        <v>4607111038487</v>
      </c>
      <c r="E180" s="196"/>
      <c r="F180" s="187">
        <v>0.25</v>
      </c>
      <c r="G180" s="32">
        <v>12</v>
      </c>
      <c r="H180" s="187">
        <v>3</v>
      </c>
      <c r="I180" s="187">
        <v>3.7360000000000002</v>
      </c>
      <c r="J180" s="32">
        <v>70</v>
      </c>
      <c r="K180" s="32" t="s">
        <v>75</v>
      </c>
      <c r="L180" s="33" t="s">
        <v>66</v>
      </c>
      <c r="M180" s="33"/>
      <c r="N180" s="32">
        <v>180</v>
      </c>
      <c r="O180" s="205" t="str">
        <f>HYPERLINK("https://abi.ru/products/Замороженные/Вязанка/Сливушки/Наггетсы/P003470/","Наггетсы «с куриным филе и сыром» ф/в 0,25 ТМ «Вязанка»")</f>
        <v>Наггетсы «с куриным филе и сыром» ф/в 0,25 ТМ «Вязанка»</v>
      </c>
      <c r="P180" s="195"/>
      <c r="Q180" s="195"/>
      <c r="R180" s="195"/>
      <c r="S180" s="196"/>
      <c r="T180" s="34"/>
      <c r="U180" s="34"/>
      <c r="V180" s="35" t="s">
        <v>67</v>
      </c>
      <c r="W180" s="188">
        <v>20</v>
      </c>
      <c r="X180" s="189">
        <f>IFERROR(IF(W180="","",W180),"")</f>
        <v>20</v>
      </c>
      <c r="Y180" s="36">
        <f>IFERROR(IF(W180="","",W180*0.01788),"")</f>
        <v>0.35760000000000003</v>
      </c>
      <c r="Z180" s="56"/>
      <c r="AA180" s="57"/>
      <c r="AE180" s="61"/>
      <c r="BB180" s="128" t="s">
        <v>76</v>
      </c>
    </row>
    <row r="181" spans="1:54" x14ac:dyDescent="0.2">
      <c r="A181" s="203"/>
      <c r="B181" s="202"/>
      <c r="C181" s="202"/>
      <c r="D181" s="202"/>
      <c r="E181" s="202"/>
      <c r="F181" s="202"/>
      <c r="G181" s="202"/>
      <c r="H181" s="202"/>
      <c r="I181" s="202"/>
      <c r="J181" s="202"/>
      <c r="K181" s="202"/>
      <c r="L181" s="202"/>
      <c r="M181" s="202"/>
      <c r="N181" s="204"/>
      <c r="O181" s="198" t="s">
        <v>68</v>
      </c>
      <c r="P181" s="199"/>
      <c r="Q181" s="199"/>
      <c r="R181" s="199"/>
      <c r="S181" s="199"/>
      <c r="T181" s="199"/>
      <c r="U181" s="200"/>
      <c r="V181" s="37" t="s">
        <v>67</v>
      </c>
      <c r="W181" s="190">
        <f>IFERROR(SUM(W180:W180),"0")</f>
        <v>20</v>
      </c>
      <c r="X181" s="190">
        <f>IFERROR(SUM(X180:X180),"0")</f>
        <v>20</v>
      </c>
      <c r="Y181" s="190">
        <f>IFERROR(IF(Y180="",0,Y180),"0")</f>
        <v>0.35760000000000003</v>
      </c>
      <c r="Z181" s="191"/>
      <c r="AA181" s="191"/>
    </row>
    <row r="182" spans="1:54" x14ac:dyDescent="0.2">
      <c r="A182" s="202"/>
      <c r="B182" s="202"/>
      <c r="C182" s="202"/>
      <c r="D182" s="202"/>
      <c r="E182" s="202"/>
      <c r="F182" s="202"/>
      <c r="G182" s="202"/>
      <c r="H182" s="202"/>
      <c r="I182" s="202"/>
      <c r="J182" s="202"/>
      <c r="K182" s="202"/>
      <c r="L182" s="202"/>
      <c r="M182" s="202"/>
      <c r="N182" s="204"/>
      <c r="O182" s="198" t="s">
        <v>68</v>
      </c>
      <c r="P182" s="199"/>
      <c r="Q182" s="199"/>
      <c r="R182" s="199"/>
      <c r="S182" s="199"/>
      <c r="T182" s="199"/>
      <c r="U182" s="200"/>
      <c r="V182" s="37" t="s">
        <v>69</v>
      </c>
      <c r="W182" s="190">
        <f>IFERROR(SUMPRODUCT(W180:W180*H180:H180),"0")</f>
        <v>60</v>
      </c>
      <c r="X182" s="190">
        <f>IFERROR(SUMPRODUCT(X180:X180*H180:H180),"0")</f>
        <v>60</v>
      </c>
      <c r="Y182" s="37"/>
      <c r="Z182" s="191"/>
      <c r="AA182" s="191"/>
    </row>
    <row r="183" spans="1:54" ht="27.75" hidden="1" customHeight="1" x14ac:dyDescent="0.2">
      <c r="A183" s="226" t="s">
        <v>237</v>
      </c>
      <c r="B183" s="227"/>
      <c r="C183" s="227"/>
      <c r="D183" s="227"/>
      <c r="E183" s="227"/>
      <c r="F183" s="227"/>
      <c r="G183" s="227"/>
      <c r="H183" s="227"/>
      <c r="I183" s="227"/>
      <c r="J183" s="227"/>
      <c r="K183" s="227"/>
      <c r="L183" s="227"/>
      <c r="M183" s="227"/>
      <c r="N183" s="227"/>
      <c r="O183" s="227"/>
      <c r="P183" s="227"/>
      <c r="Q183" s="227"/>
      <c r="R183" s="227"/>
      <c r="S183" s="227"/>
      <c r="T183" s="227"/>
      <c r="U183" s="227"/>
      <c r="V183" s="227"/>
      <c r="W183" s="227"/>
      <c r="X183" s="227"/>
      <c r="Y183" s="227"/>
      <c r="Z183" s="48"/>
      <c r="AA183" s="48"/>
    </row>
    <row r="184" spans="1:54" ht="16.5" hidden="1" customHeight="1" x14ac:dyDescent="0.25">
      <c r="A184" s="218" t="s">
        <v>238</v>
      </c>
      <c r="B184" s="202"/>
      <c r="C184" s="202"/>
      <c r="D184" s="202"/>
      <c r="E184" s="202"/>
      <c r="F184" s="202"/>
      <c r="G184" s="202"/>
      <c r="H184" s="202"/>
      <c r="I184" s="202"/>
      <c r="J184" s="202"/>
      <c r="K184" s="202"/>
      <c r="L184" s="202"/>
      <c r="M184" s="202"/>
      <c r="N184" s="202"/>
      <c r="O184" s="202"/>
      <c r="P184" s="202"/>
      <c r="Q184" s="202"/>
      <c r="R184" s="202"/>
      <c r="S184" s="202"/>
      <c r="T184" s="202"/>
      <c r="U184" s="202"/>
      <c r="V184" s="202"/>
      <c r="W184" s="202"/>
      <c r="X184" s="202"/>
      <c r="Y184" s="202"/>
      <c r="Z184" s="182"/>
      <c r="AA184" s="182"/>
    </row>
    <row r="185" spans="1:54" ht="14.25" hidden="1" customHeight="1" x14ac:dyDescent="0.25">
      <c r="A185" s="201" t="s">
        <v>62</v>
      </c>
      <c r="B185" s="202"/>
      <c r="C185" s="202"/>
      <c r="D185" s="202"/>
      <c r="E185" s="202"/>
      <c r="F185" s="202"/>
      <c r="G185" s="202"/>
      <c r="H185" s="202"/>
      <c r="I185" s="202"/>
      <c r="J185" s="202"/>
      <c r="K185" s="202"/>
      <c r="L185" s="202"/>
      <c r="M185" s="202"/>
      <c r="N185" s="202"/>
      <c r="O185" s="202"/>
      <c r="P185" s="202"/>
      <c r="Q185" s="202"/>
      <c r="R185" s="202"/>
      <c r="S185" s="202"/>
      <c r="T185" s="202"/>
      <c r="U185" s="202"/>
      <c r="V185" s="202"/>
      <c r="W185" s="202"/>
      <c r="X185" s="202"/>
      <c r="Y185" s="202"/>
      <c r="Z185" s="181"/>
      <c r="AA185" s="181"/>
    </row>
    <row r="186" spans="1:54" ht="16.5" hidden="1" customHeight="1" x14ac:dyDescent="0.25">
      <c r="A186" s="54" t="s">
        <v>239</v>
      </c>
      <c r="B186" s="54" t="s">
        <v>240</v>
      </c>
      <c r="C186" s="31">
        <v>4301070913</v>
      </c>
      <c r="D186" s="197">
        <v>4607111036957</v>
      </c>
      <c r="E186" s="196"/>
      <c r="F186" s="187">
        <v>0.4</v>
      </c>
      <c r="G186" s="32">
        <v>8</v>
      </c>
      <c r="H186" s="187">
        <v>3.2</v>
      </c>
      <c r="I186" s="187">
        <v>3.44</v>
      </c>
      <c r="J186" s="32">
        <v>144</v>
      </c>
      <c r="K186" s="32" t="s">
        <v>65</v>
      </c>
      <c r="L186" s="33" t="s">
        <v>66</v>
      </c>
      <c r="M186" s="33"/>
      <c r="N186" s="32">
        <v>180</v>
      </c>
      <c r="O186" s="378" t="str">
        <f>HYPERLINK("https://abi.ru/products/Замороженные/Стародворье/Первая цена/Пельмени/P002985/","Пельмени Стародворские Первая цена 0,4 Сфера Стародворье")</f>
        <v>Пельмени Стародворские Первая цена 0,4 Сфера Стародворье</v>
      </c>
      <c r="P186" s="195"/>
      <c r="Q186" s="195"/>
      <c r="R186" s="195"/>
      <c r="S186" s="196"/>
      <c r="T186" s="34"/>
      <c r="U186" s="34"/>
      <c r="V186" s="35" t="s">
        <v>67</v>
      </c>
      <c r="W186" s="188">
        <v>0</v>
      </c>
      <c r="X186" s="189">
        <f>IFERROR(IF(W186="","",W186),"")</f>
        <v>0</v>
      </c>
      <c r="Y186" s="36">
        <f>IFERROR(IF(W186="","",W186*0.00866),"")</f>
        <v>0</v>
      </c>
      <c r="Z186" s="56"/>
      <c r="AA186" s="57"/>
      <c r="AE186" s="61"/>
      <c r="BB186" s="129" t="s">
        <v>1</v>
      </c>
    </row>
    <row r="187" spans="1:54" ht="16.5" hidden="1" customHeight="1" x14ac:dyDescent="0.25">
      <c r="A187" s="54" t="s">
        <v>241</v>
      </c>
      <c r="B187" s="54" t="s">
        <v>242</v>
      </c>
      <c r="C187" s="31">
        <v>4301070912</v>
      </c>
      <c r="D187" s="197">
        <v>4607111037213</v>
      </c>
      <c r="E187" s="196"/>
      <c r="F187" s="187">
        <v>0.4</v>
      </c>
      <c r="G187" s="32">
        <v>8</v>
      </c>
      <c r="H187" s="187">
        <v>3.2</v>
      </c>
      <c r="I187" s="187">
        <v>3.44</v>
      </c>
      <c r="J187" s="32">
        <v>144</v>
      </c>
      <c r="K187" s="32" t="s">
        <v>65</v>
      </c>
      <c r="L187" s="33" t="s">
        <v>66</v>
      </c>
      <c r="M187" s="33"/>
      <c r="N187" s="32">
        <v>180</v>
      </c>
      <c r="O187" s="356" t="str">
        <f>HYPERLINK("https://abi.ru/products/Замороженные/Стародворье/Первая цена/Пельмени/P002986/","Пельмени Царедворские Первая цена 0,4 Равиоли Стародворье")</f>
        <v>Пельмени Царедворские Первая цена 0,4 Равиоли Стародворье</v>
      </c>
      <c r="P187" s="195"/>
      <c r="Q187" s="195"/>
      <c r="R187" s="195"/>
      <c r="S187" s="196"/>
      <c r="T187" s="34"/>
      <c r="U187" s="34"/>
      <c r="V187" s="35" t="s">
        <v>67</v>
      </c>
      <c r="W187" s="188">
        <v>0</v>
      </c>
      <c r="X187" s="189">
        <f>IFERROR(IF(W187="","",W187),"")</f>
        <v>0</v>
      </c>
      <c r="Y187" s="36">
        <f>IFERROR(IF(W187="","",W187*0.00866),"")</f>
        <v>0</v>
      </c>
      <c r="Z187" s="56"/>
      <c r="AA187" s="57"/>
      <c r="AE187" s="61"/>
      <c r="BB187" s="130" t="s">
        <v>1</v>
      </c>
    </row>
    <row r="188" spans="1:54" hidden="1" x14ac:dyDescent="0.2">
      <c r="A188" s="203"/>
      <c r="B188" s="202"/>
      <c r="C188" s="202"/>
      <c r="D188" s="202"/>
      <c r="E188" s="202"/>
      <c r="F188" s="202"/>
      <c r="G188" s="202"/>
      <c r="H188" s="202"/>
      <c r="I188" s="202"/>
      <c r="J188" s="202"/>
      <c r="K188" s="202"/>
      <c r="L188" s="202"/>
      <c r="M188" s="202"/>
      <c r="N188" s="204"/>
      <c r="O188" s="198" t="s">
        <v>68</v>
      </c>
      <c r="P188" s="199"/>
      <c r="Q188" s="199"/>
      <c r="R188" s="199"/>
      <c r="S188" s="199"/>
      <c r="T188" s="199"/>
      <c r="U188" s="200"/>
      <c r="V188" s="37" t="s">
        <v>67</v>
      </c>
      <c r="W188" s="190">
        <f>IFERROR(SUM(W186:W187),"0")</f>
        <v>0</v>
      </c>
      <c r="X188" s="190">
        <f>IFERROR(SUM(X186:X187),"0")</f>
        <v>0</v>
      </c>
      <c r="Y188" s="190">
        <f>IFERROR(IF(Y186="",0,Y186),"0")+IFERROR(IF(Y187="",0,Y187),"0")</f>
        <v>0</v>
      </c>
      <c r="Z188" s="191"/>
      <c r="AA188" s="191"/>
    </row>
    <row r="189" spans="1:54" hidden="1" x14ac:dyDescent="0.2">
      <c r="A189" s="202"/>
      <c r="B189" s="202"/>
      <c r="C189" s="202"/>
      <c r="D189" s="202"/>
      <c r="E189" s="202"/>
      <c r="F189" s="202"/>
      <c r="G189" s="202"/>
      <c r="H189" s="202"/>
      <c r="I189" s="202"/>
      <c r="J189" s="202"/>
      <c r="K189" s="202"/>
      <c r="L189" s="202"/>
      <c r="M189" s="202"/>
      <c r="N189" s="204"/>
      <c r="O189" s="198" t="s">
        <v>68</v>
      </c>
      <c r="P189" s="199"/>
      <c r="Q189" s="199"/>
      <c r="R189" s="199"/>
      <c r="S189" s="199"/>
      <c r="T189" s="199"/>
      <c r="U189" s="200"/>
      <c r="V189" s="37" t="s">
        <v>69</v>
      </c>
      <c r="W189" s="190">
        <f>IFERROR(SUMPRODUCT(W186:W187*H186:H187),"0")</f>
        <v>0</v>
      </c>
      <c r="X189" s="190">
        <f>IFERROR(SUMPRODUCT(X186:X187*H186:H187),"0")</f>
        <v>0</v>
      </c>
      <c r="Y189" s="37"/>
      <c r="Z189" s="191"/>
      <c r="AA189" s="191"/>
    </row>
    <row r="190" spans="1:54" ht="16.5" hidden="1" customHeight="1" x14ac:dyDescent="0.25">
      <c r="A190" s="218" t="s">
        <v>243</v>
      </c>
      <c r="B190" s="202"/>
      <c r="C190" s="202"/>
      <c r="D190" s="202"/>
      <c r="E190" s="202"/>
      <c r="F190" s="202"/>
      <c r="G190" s="202"/>
      <c r="H190" s="202"/>
      <c r="I190" s="202"/>
      <c r="J190" s="202"/>
      <c r="K190" s="202"/>
      <c r="L190" s="202"/>
      <c r="M190" s="202"/>
      <c r="N190" s="202"/>
      <c r="O190" s="202"/>
      <c r="P190" s="202"/>
      <c r="Q190" s="202"/>
      <c r="R190" s="202"/>
      <c r="S190" s="202"/>
      <c r="T190" s="202"/>
      <c r="U190" s="202"/>
      <c r="V190" s="202"/>
      <c r="W190" s="202"/>
      <c r="X190" s="202"/>
      <c r="Y190" s="202"/>
      <c r="Z190" s="182"/>
      <c r="AA190" s="182"/>
    </row>
    <row r="191" spans="1:54" ht="14.25" hidden="1" customHeight="1" x14ac:dyDescent="0.25">
      <c r="A191" s="201" t="s">
        <v>62</v>
      </c>
      <c r="B191" s="202"/>
      <c r="C191" s="202"/>
      <c r="D191" s="202"/>
      <c r="E191" s="202"/>
      <c r="F191" s="202"/>
      <c r="G191" s="202"/>
      <c r="H191" s="202"/>
      <c r="I191" s="202"/>
      <c r="J191" s="202"/>
      <c r="K191" s="202"/>
      <c r="L191" s="202"/>
      <c r="M191" s="202"/>
      <c r="N191" s="202"/>
      <c r="O191" s="202"/>
      <c r="P191" s="202"/>
      <c r="Q191" s="202"/>
      <c r="R191" s="202"/>
      <c r="S191" s="202"/>
      <c r="T191" s="202"/>
      <c r="U191" s="202"/>
      <c r="V191" s="202"/>
      <c r="W191" s="202"/>
      <c r="X191" s="202"/>
      <c r="Y191" s="202"/>
      <c r="Z191" s="181"/>
      <c r="AA191" s="181"/>
    </row>
    <row r="192" spans="1:54" ht="16.5" customHeight="1" x14ac:dyDescent="0.25">
      <c r="A192" s="54" t="s">
        <v>244</v>
      </c>
      <c r="B192" s="54" t="s">
        <v>245</v>
      </c>
      <c r="C192" s="31">
        <v>4301070948</v>
      </c>
      <c r="D192" s="197">
        <v>4607111037022</v>
      </c>
      <c r="E192" s="196"/>
      <c r="F192" s="187">
        <v>0.7</v>
      </c>
      <c r="G192" s="32">
        <v>8</v>
      </c>
      <c r="H192" s="187">
        <v>5.6</v>
      </c>
      <c r="I192" s="187">
        <v>5.87</v>
      </c>
      <c r="J192" s="32">
        <v>84</v>
      </c>
      <c r="K192" s="32" t="s">
        <v>65</v>
      </c>
      <c r="L192" s="33" t="s">
        <v>66</v>
      </c>
      <c r="M192" s="33"/>
      <c r="N192" s="32">
        <v>180</v>
      </c>
      <c r="O192" s="284" t="str">
        <f>HYPERLINK("https://abi.ru/products/Замороженные/Стародворье/Мясорубская/Пельмени/P003355/","Пельмени Мясорубские Стародворье ЗПФ 0,7 Равиоли Стародворье")</f>
        <v>Пельмени Мясорубские Стародворье ЗПФ 0,7 Равиоли Стародворье</v>
      </c>
      <c r="P192" s="195"/>
      <c r="Q192" s="195"/>
      <c r="R192" s="195"/>
      <c r="S192" s="196"/>
      <c r="T192" s="34"/>
      <c r="U192" s="34"/>
      <c r="V192" s="35" t="s">
        <v>67</v>
      </c>
      <c r="W192" s="188">
        <v>25</v>
      </c>
      <c r="X192" s="189">
        <f>IFERROR(IF(W192="","",W192),"")</f>
        <v>25</v>
      </c>
      <c r="Y192" s="36">
        <f>IFERROR(IF(W192="","",W192*0.0155),"")</f>
        <v>0.38750000000000001</v>
      </c>
      <c r="Z192" s="56"/>
      <c r="AA192" s="57"/>
      <c r="AE192" s="61"/>
      <c r="BB192" s="131" t="s">
        <v>1</v>
      </c>
    </row>
    <row r="193" spans="1:54" ht="27" hidden="1" customHeight="1" x14ac:dyDescent="0.25">
      <c r="A193" s="54" t="s">
        <v>246</v>
      </c>
      <c r="B193" s="54" t="s">
        <v>247</v>
      </c>
      <c r="C193" s="31">
        <v>4301070990</v>
      </c>
      <c r="D193" s="197">
        <v>4607111038494</v>
      </c>
      <c r="E193" s="196"/>
      <c r="F193" s="187">
        <v>0.7</v>
      </c>
      <c r="G193" s="32">
        <v>8</v>
      </c>
      <c r="H193" s="187">
        <v>5.6</v>
      </c>
      <c r="I193" s="187">
        <v>5.87</v>
      </c>
      <c r="J193" s="32">
        <v>84</v>
      </c>
      <c r="K193" s="32" t="s">
        <v>65</v>
      </c>
      <c r="L193" s="33" t="s">
        <v>66</v>
      </c>
      <c r="M193" s="33"/>
      <c r="N193" s="32">
        <v>180</v>
      </c>
      <c r="O193" s="324" t="str">
        <f>HYPERLINK("https://abi.ru/products/Замороженные/Стародворье/Мясорубская/Пельмени/P003731/","Пельмени «Мясорубские с рубленой говядиной» 0,7 сфера ТМ «Стародворье»")</f>
        <v>Пельмени «Мясорубские с рубленой говядиной» 0,7 сфера ТМ «Стародворье»</v>
      </c>
      <c r="P193" s="195"/>
      <c r="Q193" s="195"/>
      <c r="R193" s="195"/>
      <c r="S193" s="196"/>
      <c r="T193" s="34"/>
      <c r="U193" s="34"/>
      <c r="V193" s="35" t="s">
        <v>67</v>
      </c>
      <c r="W193" s="188">
        <v>0</v>
      </c>
      <c r="X193" s="189">
        <f>IFERROR(IF(W193="","",W193),"")</f>
        <v>0</v>
      </c>
      <c r="Y193" s="36">
        <f>IFERROR(IF(W193="","",W193*0.0155),"")</f>
        <v>0</v>
      </c>
      <c r="Z193" s="56"/>
      <c r="AA193" s="57"/>
      <c r="AE193" s="61"/>
      <c r="BB193" s="132" t="s">
        <v>1</v>
      </c>
    </row>
    <row r="194" spans="1:54" ht="27" hidden="1" customHeight="1" x14ac:dyDescent="0.25">
      <c r="A194" s="54" t="s">
        <v>248</v>
      </c>
      <c r="B194" s="54" t="s">
        <v>249</v>
      </c>
      <c r="C194" s="31">
        <v>4301070966</v>
      </c>
      <c r="D194" s="197">
        <v>4607111038135</v>
      </c>
      <c r="E194" s="196"/>
      <c r="F194" s="187">
        <v>0.7</v>
      </c>
      <c r="G194" s="32">
        <v>8</v>
      </c>
      <c r="H194" s="187">
        <v>5.6</v>
      </c>
      <c r="I194" s="187">
        <v>5.87</v>
      </c>
      <c r="J194" s="32">
        <v>84</v>
      </c>
      <c r="K194" s="32" t="s">
        <v>65</v>
      </c>
      <c r="L194" s="33" t="s">
        <v>66</v>
      </c>
      <c r="M194" s="33"/>
      <c r="N194" s="32">
        <v>180</v>
      </c>
      <c r="O194" s="301" t="str">
        <f>HYPERLINK("https://abi.ru/products/Замороженные/Стародворье/Мясорубская/Пельмени/P003648/","Пельмени «Мясорубские с рубленой грудинкой» 0,7 Классическая форма ТМ «Стародворье»")</f>
        <v>Пельмени «Мясорубские с рубленой грудинкой» 0,7 Классическая форма ТМ «Стародворье»</v>
      </c>
      <c r="P194" s="195"/>
      <c r="Q194" s="195"/>
      <c r="R194" s="195"/>
      <c r="S194" s="196"/>
      <c r="T194" s="34"/>
      <c r="U194" s="34"/>
      <c r="V194" s="35" t="s">
        <v>67</v>
      </c>
      <c r="W194" s="188">
        <v>0</v>
      </c>
      <c r="X194" s="189">
        <f>IFERROR(IF(W194="","",W194),"")</f>
        <v>0</v>
      </c>
      <c r="Y194" s="36">
        <f>IFERROR(IF(W194="","",W194*0.0155),"")</f>
        <v>0</v>
      </c>
      <c r="Z194" s="56"/>
      <c r="AA194" s="57"/>
      <c r="AE194" s="61"/>
      <c r="BB194" s="133" t="s">
        <v>1</v>
      </c>
    </row>
    <row r="195" spans="1:54" x14ac:dyDescent="0.2">
      <c r="A195" s="203"/>
      <c r="B195" s="202"/>
      <c r="C195" s="202"/>
      <c r="D195" s="202"/>
      <c r="E195" s="202"/>
      <c r="F195" s="202"/>
      <c r="G195" s="202"/>
      <c r="H195" s="202"/>
      <c r="I195" s="202"/>
      <c r="J195" s="202"/>
      <c r="K195" s="202"/>
      <c r="L195" s="202"/>
      <c r="M195" s="202"/>
      <c r="N195" s="204"/>
      <c r="O195" s="198" t="s">
        <v>68</v>
      </c>
      <c r="P195" s="199"/>
      <c r="Q195" s="199"/>
      <c r="R195" s="199"/>
      <c r="S195" s="199"/>
      <c r="T195" s="199"/>
      <c r="U195" s="200"/>
      <c r="V195" s="37" t="s">
        <v>67</v>
      </c>
      <c r="W195" s="190">
        <f>IFERROR(SUM(W192:W194),"0")</f>
        <v>25</v>
      </c>
      <c r="X195" s="190">
        <f>IFERROR(SUM(X192:X194),"0")</f>
        <v>25</v>
      </c>
      <c r="Y195" s="190">
        <f>IFERROR(IF(Y192="",0,Y192),"0")+IFERROR(IF(Y193="",0,Y193),"0")+IFERROR(IF(Y194="",0,Y194),"0")</f>
        <v>0.38750000000000001</v>
      </c>
      <c r="Z195" s="191"/>
      <c r="AA195" s="191"/>
    </row>
    <row r="196" spans="1:54" x14ac:dyDescent="0.2">
      <c r="A196" s="202"/>
      <c r="B196" s="202"/>
      <c r="C196" s="202"/>
      <c r="D196" s="202"/>
      <c r="E196" s="202"/>
      <c r="F196" s="202"/>
      <c r="G196" s="202"/>
      <c r="H196" s="202"/>
      <c r="I196" s="202"/>
      <c r="J196" s="202"/>
      <c r="K196" s="202"/>
      <c r="L196" s="202"/>
      <c r="M196" s="202"/>
      <c r="N196" s="204"/>
      <c r="O196" s="198" t="s">
        <v>68</v>
      </c>
      <c r="P196" s="199"/>
      <c r="Q196" s="199"/>
      <c r="R196" s="199"/>
      <c r="S196" s="199"/>
      <c r="T196" s="199"/>
      <c r="U196" s="200"/>
      <c r="V196" s="37" t="s">
        <v>69</v>
      </c>
      <c r="W196" s="190">
        <f>IFERROR(SUMPRODUCT(W192:W194*H192:H194),"0")</f>
        <v>140</v>
      </c>
      <c r="X196" s="190">
        <f>IFERROR(SUMPRODUCT(X192:X194*H192:H194),"0")</f>
        <v>140</v>
      </c>
      <c r="Y196" s="37"/>
      <c r="Z196" s="191"/>
      <c r="AA196" s="191"/>
    </row>
    <row r="197" spans="1:54" ht="16.5" hidden="1" customHeight="1" x14ac:dyDescent="0.25">
      <c r="A197" s="218" t="s">
        <v>250</v>
      </c>
      <c r="B197" s="202"/>
      <c r="C197" s="202"/>
      <c r="D197" s="202"/>
      <c r="E197" s="202"/>
      <c r="F197" s="202"/>
      <c r="G197" s="202"/>
      <c r="H197" s="202"/>
      <c r="I197" s="202"/>
      <c r="J197" s="202"/>
      <c r="K197" s="202"/>
      <c r="L197" s="202"/>
      <c r="M197" s="202"/>
      <c r="N197" s="202"/>
      <c r="O197" s="202"/>
      <c r="P197" s="202"/>
      <c r="Q197" s="202"/>
      <c r="R197" s="202"/>
      <c r="S197" s="202"/>
      <c r="T197" s="202"/>
      <c r="U197" s="202"/>
      <c r="V197" s="202"/>
      <c r="W197" s="202"/>
      <c r="X197" s="202"/>
      <c r="Y197" s="202"/>
      <c r="Z197" s="182"/>
      <c r="AA197" s="182"/>
    </row>
    <row r="198" spans="1:54" ht="14.25" hidden="1" customHeight="1" x14ac:dyDescent="0.25">
      <c r="A198" s="201" t="s">
        <v>62</v>
      </c>
      <c r="B198" s="202"/>
      <c r="C198" s="202"/>
      <c r="D198" s="202"/>
      <c r="E198" s="202"/>
      <c r="F198" s="202"/>
      <c r="G198" s="202"/>
      <c r="H198" s="202"/>
      <c r="I198" s="202"/>
      <c r="J198" s="202"/>
      <c r="K198" s="202"/>
      <c r="L198" s="202"/>
      <c r="M198" s="202"/>
      <c r="N198" s="202"/>
      <c r="O198" s="202"/>
      <c r="P198" s="202"/>
      <c r="Q198" s="202"/>
      <c r="R198" s="202"/>
      <c r="S198" s="202"/>
      <c r="T198" s="202"/>
      <c r="U198" s="202"/>
      <c r="V198" s="202"/>
      <c r="W198" s="202"/>
      <c r="X198" s="202"/>
      <c r="Y198" s="202"/>
      <c r="Z198" s="181"/>
      <c r="AA198" s="181"/>
    </row>
    <row r="199" spans="1:54" ht="27" hidden="1" customHeight="1" x14ac:dyDescent="0.25">
      <c r="A199" s="54" t="s">
        <v>251</v>
      </c>
      <c r="B199" s="54" t="s">
        <v>252</v>
      </c>
      <c r="C199" s="31">
        <v>4301070996</v>
      </c>
      <c r="D199" s="197">
        <v>4607111038654</v>
      </c>
      <c r="E199" s="196"/>
      <c r="F199" s="187">
        <v>0.4</v>
      </c>
      <c r="G199" s="32">
        <v>16</v>
      </c>
      <c r="H199" s="187">
        <v>6.4</v>
      </c>
      <c r="I199" s="187">
        <v>6.63</v>
      </c>
      <c r="J199" s="32">
        <v>84</v>
      </c>
      <c r="K199" s="32" t="s">
        <v>65</v>
      </c>
      <c r="L199" s="33" t="s">
        <v>66</v>
      </c>
      <c r="M199" s="33"/>
      <c r="N199" s="32">
        <v>180</v>
      </c>
      <c r="O199" s="380" t="str">
        <f>HYPERLINK("https://abi.ru/products/Замороженные/Стародворье/Медвежьи ушки/Пельмени/P003918/","Пельмени «Медвежьи ушки с фермерскими сливками» 0,4 Классическая форма ТМ «Стародворье»")</f>
        <v>Пельмени «Медвежьи ушки с фермерскими сливками» 0,4 Классическая форма ТМ «Стародворье»</v>
      </c>
      <c r="P199" s="195"/>
      <c r="Q199" s="195"/>
      <c r="R199" s="195"/>
      <c r="S199" s="196"/>
      <c r="T199" s="34"/>
      <c r="U199" s="34"/>
      <c r="V199" s="35" t="s">
        <v>67</v>
      </c>
      <c r="W199" s="188">
        <v>0</v>
      </c>
      <c r="X199" s="189">
        <f t="shared" ref="X199:X204" si="4">IFERROR(IF(W199="","",W199),"")</f>
        <v>0</v>
      </c>
      <c r="Y199" s="36">
        <f t="shared" ref="Y199:Y204" si="5">IFERROR(IF(W199="","",W199*0.0155),"")</f>
        <v>0</v>
      </c>
      <c r="Z199" s="56"/>
      <c r="AA199" s="57"/>
      <c r="AE199" s="61"/>
      <c r="BB199" s="134" t="s">
        <v>1</v>
      </c>
    </row>
    <row r="200" spans="1:54" ht="27" hidden="1" customHeight="1" x14ac:dyDescent="0.25">
      <c r="A200" s="54" t="s">
        <v>253</v>
      </c>
      <c r="B200" s="54" t="s">
        <v>254</v>
      </c>
      <c r="C200" s="31">
        <v>4301070997</v>
      </c>
      <c r="D200" s="197">
        <v>4607111038586</v>
      </c>
      <c r="E200" s="196"/>
      <c r="F200" s="187">
        <v>0.7</v>
      </c>
      <c r="G200" s="32">
        <v>8</v>
      </c>
      <c r="H200" s="187">
        <v>5.6</v>
      </c>
      <c r="I200" s="187">
        <v>5.83</v>
      </c>
      <c r="J200" s="32">
        <v>84</v>
      </c>
      <c r="K200" s="32" t="s">
        <v>65</v>
      </c>
      <c r="L200" s="33" t="s">
        <v>66</v>
      </c>
      <c r="M200" s="33"/>
      <c r="N200" s="32">
        <v>180</v>
      </c>
      <c r="O200" s="215" t="str">
        <f>HYPERLINK("https://abi.ru/products/Замороженные/Стародворье/Медвежьи ушки/Пельмени/P003920/","Пельмени «Медвежьи ушки с фермерскими сливками» 0,7 Классическая форма ТМ «Стародворье»")</f>
        <v>Пельмени «Медвежьи ушки с фермерскими сливками» 0,7 Классическая форма ТМ «Стародворье»</v>
      </c>
      <c r="P200" s="195"/>
      <c r="Q200" s="195"/>
      <c r="R200" s="195"/>
      <c r="S200" s="196"/>
      <c r="T200" s="34"/>
      <c r="U200" s="34"/>
      <c r="V200" s="35" t="s">
        <v>67</v>
      </c>
      <c r="W200" s="188">
        <v>0</v>
      </c>
      <c r="X200" s="189">
        <f t="shared" si="4"/>
        <v>0</v>
      </c>
      <c r="Y200" s="36">
        <f t="shared" si="5"/>
        <v>0</v>
      </c>
      <c r="Z200" s="56"/>
      <c r="AA200" s="57"/>
      <c r="AE200" s="61"/>
      <c r="BB200" s="135" t="s">
        <v>1</v>
      </c>
    </row>
    <row r="201" spans="1:54" ht="27" hidden="1" customHeight="1" x14ac:dyDescent="0.25">
      <c r="A201" s="54" t="s">
        <v>255</v>
      </c>
      <c r="B201" s="54" t="s">
        <v>256</v>
      </c>
      <c r="C201" s="31">
        <v>4301070962</v>
      </c>
      <c r="D201" s="197">
        <v>4607111038609</v>
      </c>
      <c r="E201" s="196"/>
      <c r="F201" s="187">
        <v>0.4</v>
      </c>
      <c r="G201" s="32">
        <v>16</v>
      </c>
      <c r="H201" s="187">
        <v>6.4</v>
      </c>
      <c r="I201" s="187">
        <v>6.71</v>
      </c>
      <c r="J201" s="32">
        <v>84</v>
      </c>
      <c r="K201" s="32" t="s">
        <v>65</v>
      </c>
      <c r="L201" s="33" t="s">
        <v>66</v>
      </c>
      <c r="M201" s="33"/>
      <c r="N201" s="32">
        <v>180</v>
      </c>
      <c r="O201" s="309" t="str">
        <f>HYPERLINK("https://abi.ru/products/Замороженные/Стародворье/Медвежьи ушки/Пельмени/P003639/","Пельмени «Медвежьи ушки с фермерской свининой и говядиной Большие» 0,4 Классическая форма ТМ «Стародворье»")</f>
        <v>Пельмени «Медвежьи ушки с фермерской свининой и говядиной Большие» 0,4 Классическая форма ТМ «Стародворье»</v>
      </c>
      <c r="P201" s="195"/>
      <c r="Q201" s="195"/>
      <c r="R201" s="195"/>
      <c r="S201" s="196"/>
      <c r="T201" s="34"/>
      <c r="U201" s="34"/>
      <c r="V201" s="35" t="s">
        <v>67</v>
      </c>
      <c r="W201" s="188">
        <v>0</v>
      </c>
      <c r="X201" s="189">
        <f t="shared" si="4"/>
        <v>0</v>
      </c>
      <c r="Y201" s="36">
        <f t="shared" si="5"/>
        <v>0</v>
      </c>
      <c r="Z201" s="56"/>
      <c r="AA201" s="57"/>
      <c r="AE201" s="61"/>
      <c r="BB201" s="136" t="s">
        <v>1</v>
      </c>
    </row>
    <row r="202" spans="1:54" ht="27" hidden="1" customHeight="1" x14ac:dyDescent="0.25">
      <c r="A202" s="54" t="s">
        <v>257</v>
      </c>
      <c r="B202" s="54" t="s">
        <v>258</v>
      </c>
      <c r="C202" s="31">
        <v>4301070963</v>
      </c>
      <c r="D202" s="197">
        <v>4607111038630</v>
      </c>
      <c r="E202" s="196"/>
      <c r="F202" s="187">
        <v>0.7</v>
      </c>
      <c r="G202" s="32">
        <v>8</v>
      </c>
      <c r="H202" s="187">
        <v>5.6</v>
      </c>
      <c r="I202" s="187">
        <v>5.87</v>
      </c>
      <c r="J202" s="32">
        <v>84</v>
      </c>
      <c r="K202" s="32" t="s">
        <v>65</v>
      </c>
      <c r="L202" s="33" t="s">
        <v>66</v>
      </c>
      <c r="M202" s="33"/>
      <c r="N202" s="32">
        <v>180</v>
      </c>
      <c r="O202" s="217" t="str">
        <f>HYPERLINK("https://abi.ru/products/Замороженные/Стародворье/Медвежьи ушки/Пельмени/P003641/","Пельмени «с фермерской свининой и говядиной Большие» 0,7 классическая форма ТМ «Стародворье»")</f>
        <v>Пельмени «с фермерской свининой и говядиной Большие» 0,7 классическая форма ТМ «Стародворье»</v>
      </c>
      <c r="P202" s="195"/>
      <c r="Q202" s="195"/>
      <c r="R202" s="195"/>
      <c r="S202" s="196"/>
      <c r="T202" s="34"/>
      <c r="U202" s="34"/>
      <c r="V202" s="35" t="s">
        <v>67</v>
      </c>
      <c r="W202" s="188">
        <v>0</v>
      </c>
      <c r="X202" s="189">
        <f t="shared" si="4"/>
        <v>0</v>
      </c>
      <c r="Y202" s="36">
        <f t="shared" si="5"/>
        <v>0</v>
      </c>
      <c r="Z202" s="56"/>
      <c r="AA202" s="57"/>
      <c r="AE202" s="61"/>
      <c r="BB202" s="137" t="s">
        <v>1</v>
      </c>
    </row>
    <row r="203" spans="1:54" ht="27" hidden="1" customHeight="1" x14ac:dyDescent="0.25">
      <c r="A203" s="54" t="s">
        <v>259</v>
      </c>
      <c r="B203" s="54" t="s">
        <v>260</v>
      </c>
      <c r="C203" s="31">
        <v>4301070959</v>
      </c>
      <c r="D203" s="197">
        <v>4607111038616</v>
      </c>
      <c r="E203" s="196"/>
      <c r="F203" s="187">
        <v>0.4</v>
      </c>
      <c r="G203" s="32">
        <v>16</v>
      </c>
      <c r="H203" s="187">
        <v>6.4</v>
      </c>
      <c r="I203" s="187">
        <v>6.71</v>
      </c>
      <c r="J203" s="32">
        <v>84</v>
      </c>
      <c r="K203" s="32" t="s">
        <v>65</v>
      </c>
      <c r="L203" s="33" t="s">
        <v>66</v>
      </c>
      <c r="M203" s="33"/>
      <c r="N203" s="32">
        <v>180</v>
      </c>
      <c r="O203" s="328" t="str">
        <f>HYPERLINK("https://abi.ru/products/Замороженные/Стародворье/Медвежьи ушки/Пельмени/P003630/","Пельмени «Медвежьи ушки с фермерской свининой и говядиной Малые» 0,4 Классическая форма ТМ «Стародворье»")</f>
        <v>Пельмени «Медвежьи ушки с фермерской свининой и говядиной Малые» 0,4 Классическая форма ТМ «Стародворье»</v>
      </c>
      <c r="P203" s="195"/>
      <c r="Q203" s="195"/>
      <c r="R203" s="195"/>
      <c r="S203" s="196"/>
      <c r="T203" s="34"/>
      <c r="U203" s="34"/>
      <c r="V203" s="35" t="s">
        <v>67</v>
      </c>
      <c r="W203" s="188">
        <v>0</v>
      </c>
      <c r="X203" s="189">
        <f t="shared" si="4"/>
        <v>0</v>
      </c>
      <c r="Y203" s="36">
        <f t="shared" si="5"/>
        <v>0</v>
      </c>
      <c r="Z203" s="56"/>
      <c r="AA203" s="57"/>
      <c r="AE203" s="61"/>
      <c r="BB203" s="138" t="s">
        <v>1</v>
      </c>
    </row>
    <row r="204" spans="1:54" ht="27" hidden="1" customHeight="1" x14ac:dyDescent="0.25">
      <c r="A204" s="54" t="s">
        <v>261</v>
      </c>
      <c r="B204" s="54" t="s">
        <v>262</v>
      </c>
      <c r="C204" s="31">
        <v>4301070960</v>
      </c>
      <c r="D204" s="197">
        <v>4607111038623</v>
      </c>
      <c r="E204" s="196"/>
      <c r="F204" s="187">
        <v>0.7</v>
      </c>
      <c r="G204" s="32">
        <v>8</v>
      </c>
      <c r="H204" s="187">
        <v>5.6</v>
      </c>
      <c r="I204" s="187">
        <v>5.87</v>
      </c>
      <c r="J204" s="32">
        <v>84</v>
      </c>
      <c r="K204" s="32" t="s">
        <v>65</v>
      </c>
      <c r="L204" s="33" t="s">
        <v>66</v>
      </c>
      <c r="M204" s="33"/>
      <c r="N204" s="32">
        <v>180</v>
      </c>
      <c r="O204" s="333" t="str">
        <f>HYPERLINK("https://abi.ru/products/Замороженные/Стародворье/Медвежьи ушки/Пельмени/P003631/","Пельмени «Медвежьи ушки с фермерской свининой и говядиной Малые» 0,7 Классическая форма ТМ «Стародворье»")</f>
        <v>Пельмени «Медвежьи ушки с фермерской свининой и говядиной Малые» 0,7 Классическая форма ТМ «Стародворье»</v>
      </c>
      <c r="P204" s="195"/>
      <c r="Q204" s="195"/>
      <c r="R204" s="195"/>
      <c r="S204" s="196"/>
      <c r="T204" s="34"/>
      <c r="U204" s="34"/>
      <c r="V204" s="35" t="s">
        <v>67</v>
      </c>
      <c r="W204" s="188">
        <v>0</v>
      </c>
      <c r="X204" s="189">
        <f t="shared" si="4"/>
        <v>0</v>
      </c>
      <c r="Y204" s="36">
        <f t="shared" si="5"/>
        <v>0</v>
      </c>
      <c r="Z204" s="56"/>
      <c r="AA204" s="57"/>
      <c r="AE204" s="61"/>
      <c r="BB204" s="139" t="s">
        <v>1</v>
      </c>
    </row>
    <row r="205" spans="1:54" hidden="1" x14ac:dyDescent="0.2">
      <c r="A205" s="203"/>
      <c r="B205" s="202"/>
      <c r="C205" s="202"/>
      <c r="D205" s="202"/>
      <c r="E205" s="202"/>
      <c r="F205" s="202"/>
      <c r="G205" s="202"/>
      <c r="H205" s="202"/>
      <c r="I205" s="202"/>
      <c r="J205" s="202"/>
      <c r="K205" s="202"/>
      <c r="L205" s="202"/>
      <c r="M205" s="202"/>
      <c r="N205" s="204"/>
      <c r="O205" s="198" t="s">
        <v>68</v>
      </c>
      <c r="P205" s="199"/>
      <c r="Q205" s="199"/>
      <c r="R205" s="199"/>
      <c r="S205" s="199"/>
      <c r="T205" s="199"/>
      <c r="U205" s="200"/>
      <c r="V205" s="37" t="s">
        <v>67</v>
      </c>
      <c r="W205" s="190">
        <f>IFERROR(SUM(W199:W204),"0")</f>
        <v>0</v>
      </c>
      <c r="X205" s="190">
        <f>IFERROR(SUM(X199:X204),"0")</f>
        <v>0</v>
      </c>
      <c r="Y205" s="190">
        <f>IFERROR(IF(Y199="",0,Y199),"0")+IFERROR(IF(Y200="",0,Y200),"0")+IFERROR(IF(Y201="",0,Y201),"0")+IFERROR(IF(Y202="",0,Y202),"0")+IFERROR(IF(Y203="",0,Y203),"0")+IFERROR(IF(Y204="",0,Y204),"0")</f>
        <v>0</v>
      </c>
      <c r="Z205" s="191"/>
      <c r="AA205" s="191"/>
    </row>
    <row r="206" spans="1:54" hidden="1" x14ac:dyDescent="0.2">
      <c r="A206" s="202"/>
      <c r="B206" s="202"/>
      <c r="C206" s="202"/>
      <c r="D206" s="202"/>
      <c r="E206" s="202"/>
      <c r="F206" s="202"/>
      <c r="G206" s="202"/>
      <c r="H206" s="202"/>
      <c r="I206" s="202"/>
      <c r="J206" s="202"/>
      <c r="K206" s="202"/>
      <c r="L206" s="202"/>
      <c r="M206" s="202"/>
      <c r="N206" s="204"/>
      <c r="O206" s="198" t="s">
        <v>68</v>
      </c>
      <c r="P206" s="199"/>
      <c r="Q206" s="199"/>
      <c r="R206" s="199"/>
      <c r="S206" s="199"/>
      <c r="T206" s="199"/>
      <c r="U206" s="200"/>
      <c r="V206" s="37" t="s">
        <v>69</v>
      </c>
      <c r="W206" s="190">
        <f>IFERROR(SUMPRODUCT(W199:W204*H199:H204),"0")</f>
        <v>0</v>
      </c>
      <c r="X206" s="190">
        <f>IFERROR(SUMPRODUCT(X199:X204*H199:H204),"0")</f>
        <v>0</v>
      </c>
      <c r="Y206" s="37"/>
      <c r="Z206" s="191"/>
      <c r="AA206" s="191"/>
    </row>
    <row r="207" spans="1:54" ht="16.5" hidden="1" customHeight="1" x14ac:dyDescent="0.25">
      <c r="A207" s="218" t="s">
        <v>263</v>
      </c>
      <c r="B207" s="202"/>
      <c r="C207" s="202"/>
      <c r="D207" s="202"/>
      <c r="E207" s="202"/>
      <c r="F207" s="202"/>
      <c r="G207" s="202"/>
      <c r="H207" s="202"/>
      <c r="I207" s="202"/>
      <c r="J207" s="202"/>
      <c r="K207" s="202"/>
      <c r="L207" s="202"/>
      <c r="M207" s="202"/>
      <c r="N207" s="202"/>
      <c r="O207" s="202"/>
      <c r="P207" s="202"/>
      <c r="Q207" s="202"/>
      <c r="R207" s="202"/>
      <c r="S207" s="202"/>
      <c r="T207" s="202"/>
      <c r="U207" s="202"/>
      <c r="V207" s="202"/>
      <c r="W207" s="202"/>
      <c r="X207" s="202"/>
      <c r="Y207" s="202"/>
      <c r="Z207" s="182"/>
      <c r="AA207" s="182"/>
    </row>
    <row r="208" spans="1:54" ht="14.25" hidden="1" customHeight="1" x14ac:dyDescent="0.25">
      <c r="A208" s="201" t="s">
        <v>62</v>
      </c>
      <c r="B208" s="202"/>
      <c r="C208" s="202"/>
      <c r="D208" s="202"/>
      <c r="E208" s="202"/>
      <c r="F208" s="202"/>
      <c r="G208" s="202"/>
      <c r="H208" s="202"/>
      <c r="I208" s="202"/>
      <c r="J208" s="202"/>
      <c r="K208" s="202"/>
      <c r="L208" s="202"/>
      <c r="M208" s="202"/>
      <c r="N208" s="202"/>
      <c r="O208" s="202"/>
      <c r="P208" s="202"/>
      <c r="Q208" s="202"/>
      <c r="R208" s="202"/>
      <c r="S208" s="202"/>
      <c r="T208" s="202"/>
      <c r="U208" s="202"/>
      <c r="V208" s="202"/>
      <c r="W208" s="202"/>
      <c r="X208" s="202"/>
      <c r="Y208" s="202"/>
      <c r="Z208" s="181"/>
      <c r="AA208" s="181"/>
    </row>
    <row r="209" spans="1:54" ht="27" hidden="1" customHeight="1" x14ac:dyDescent="0.25">
      <c r="A209" s="54" t="s">
        <v>264</v>
      </c>
      <c r="B209" s="54" t="s">
        <v>265</v>
      </c>
      <c r="C209" s="31">
        <v>4301070915</v>
      </c>
      <c r="D209" s="197">
        <v>4607111035882</v>
      </c>
      <c r="E209" s="196"/>
      <c r="F209" s="187">
        <v>0.43</v>
      </c>
      <c r="G209" s="32">
        <v>16</v>
      </c>
      <c r="H209" s="187">
        <v>6.88</v>
      </c>
      <c r="I209" s="187">
        <v>7.19</v>
      </c>
      <c r="J209" s="32">
        <v>84</v>
      </c>
      <c r="K209" s="32" t="s">
        <v>65</v>
      </c>
      <c r="L209" s="33" t="s">
        <v>66</v>
      </c>
      <c r="M209" s="33"/>
      <c r="N209" s="32">
        <v>180</v>
      </c>
      <c r="O209" s="326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P209" s="195"/>
      <c r="Q209" s="195"/>
      <c r="R209" s="195"/>
      <c r="S209" s="196"/>
      <c r="T209" s="34"/>
      <c r="U209" s="34"/>
      <c r="V209" s="35" t="s">
        <v>67</v>
      </c>
      <c r="W209" s="188">
        <v>0</v>
      </c>
      <c r="X209" s="189">
        <f>IFERROR(IF(W209="","",W209),"")</f>
        <v>0</v>
      </c>
      <c r="Y209" s="36">
        <f>IFERROR(IF(W209="","",W209*0.0155),"")</f>
        <v>0</v>
      </c>
      <c r="Z209" s="56"/>
      <c r="AA209" s="57"/>
      <c r="AE209" s="61"/>
      <c r="BB209" s="140" t="s">
        <v>1</v>
      </c>
    </row>
    <row r="210" spans="1:54" ht="27" hidden="1" customHeight="1" x14ac:dyDescent="0.25">
      <c r="A210" s="54" t="s">
        <v>266</v>
      </c>
      <c r="B210" s="54" t="s">
        <v>267</v>
      </c>
      <c r="C210" s="31">
        <v>4301070921</v>
      </c>
      <c r="D210" s="197">
        <v>4607111035905</v>
      </c>
      <c r="E210" s="196"/>
      <c r="F210" s="187">
        <v>0.9</v>
      </c>
      <c r="G210" s="32">
        <v>8</v>
      </c>
      <c r="H210" s="187">
        <v>7.2</v>
      </c>
      <c r="I210" s="187">
        <v>7.47</v>
      </c>
      <c r="J210" s="32">
        <v>84</v>
      </c>
      <c r="K210" s="32" t="s">
        <v>65</v>
      </c>
      <c r="L210" s="33" t="s">
        <v>66</v>
      </c>
      <c r="M210" s="33"/>
      <c r="N210" s="32">
        <v>180</v>
      </c>
      <c r="O210" s="321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P210" s="195"/>
      <c r="Q210" s="195"/>
      <c r="R210" s="195"/>
      <c r="S210" s="196"/>
      <c r="T210" s="34"/>
      <c r="U210" s="34"/>
      <c r="V210" s="35" t="s">
        <v>67</v>
      </c>
      <c r="W210" s="188">
        <v>0</v>
      </c>
      <c r="X210" s="189">
        <f>IFERROR(IF(W210="","",W210),"")</f>
        <v>0</v>
      </c>
      <c r="Y210" s="36">
        <f>IFERROR(IF(W210="","",W210*0.0155),"")</f>
        <v>0</v>
      </c>
      <c r="Z210" s="56"/>
      <c r="AA210" s="57"/>
      <c r="AE210" s="61"/>
      <c r="BB210" s="141" t="s">
        <v>1</v>
      </c>
    </row>
    <row r="211" spans="1:54" ht="27" hidden="1" customHeight="1" x14ac:dyDescent="0.25">
      <c r="A211" s="54" t="s">
        <v>268</v>
      </c>
      <c r="B211" s="54" t="s">
        <v>269</v>
      </c>
      <c r="C211" s="31">
        <v>4301070917</v>
      </c>
      <c r="D211" s="197">
        <v>4607111035912</v>
      </c>
      <c r="E211" s="196"/>
      <c r="F211" s="187">
        <v>0.43</v>
      </c>
      <c r="G211" s="32">
        <v>16</v>
      </c>
      <c r="H211" s="187">
        <v>6.88</v>
      </c>
      <c r="I211" s="187">
        <v>7.19</v>
      </c>
      <c r="J211" s="32">
        <v>84</v>
      </c>
      <c r="K211" s="32" t="s">
        <v>65</v>
      </c>
      <c r="L211" s="33" t="s">
        <v>66</v>
      </c>
      <c r="M211" s="33"/>
      <c r="N211" s="32">
        <v>180</v>
      </c>
      <c r="O211" s="387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P211" s="195"/>
      <c r="Q211" s="195"/>
      <c r="R211" s="195"/>
      <c r="S211" s="196"/>
      <c r="T211" s="34"/>
      <c r="U211" s="34"/>
      <c r="V211" s="35" t="s">
        <v>67</v>
      </c>
      <c r="W211" s="188">
        <v>0</v>
      </c>
      <c r="X211" s="189">
        <f>IFERROR(IF(W211="","",W211),"")</f>
        <v>0</v>
      </c>
      <c r="Y211" s="36">
        <f>IFERROR(IF(W211="","",W211*0.0155),"")</f>
        <v>0</v>
      </c>
      <c r="Z211" s="56"/>
      <c r="AA211" s="57"/>
      <c r="AE211" s="61"/>
      <c r="BB211" s="142" t="s">
        <v>1</v>
      </c>
    </row>
    <row r="212" spans="1:54" ht="27" customHeight="1" x14ac:dyDescent="0.25">
      <c r="A212" s="54" t="s">
        <v>270</v>
      </c>
      <c r="B212" s="54" t="s">
        <v>271</v>
      </c>
      <c r="C212" s="31">
        <v>4301070920</v>
      </c>
      <c r="D212" s="197">
        <v>4607111035929</v>
      </c>
      <c r="E212" s="196"/>
      <c r="F212" s="187">
        <v>0.9</v>
      </c>
      <c r="G212" s="32">
        <v>8</v>
      </c>
      <c r="H212" s="187">
        <v>7.2</v>
      </c>
      <c r="I212" s="187">
        <v>7.47</v>
      </c>
      <c r="J212" s="32">
        <v>84</v>
      </c>
      <c r="K212" s="32" t="s">
        <v>65</v>
      </c>
      <c r="L212" s="33" t="s">
        <v>66</v>
      </c>
      <c r="M212" s="33"/>
      <c r="N212" s="32">
        <v>180</v>
      </c>
      <c r="O212" s="349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P212" s="195"/>
      <c r="Q212" s="195"/>
      <c r="R212" s="195"/>
      <c r="S212" s="196"/>
      <c r="T212" s="34"/>
      <c r="U212" s="34"/>
      <c r="V212" s="35" t="s">
        <v>67</v>
      </c>
      <c r="W212" s="188">
        <v>25</v>
      </c>
      <c r="X212" s="189">
        <f>IFERROR(IF(W212="","",W212),"")</f>
        <v>25</v>
      </c>
      <c r="Y212" s="36">
        <f>IFERROR(IF(W212="","",W212*0.0155),"")</f>
        <v>0.38750000000000001</v>
      </c>
      <c r="Z212" s="56"/>
      <c r="AA212" s="57"/>
      <c r="AE212" s="61"/>
      <c r="BB212" s="143" t="s">
        <v>1</v>
      </c>
    </row>
    <row r="213" spans="1:54" x14ac:dyDescent="0.2">
      <c r="A213" s="203"/>
      <c r="B213" s="202"/>
      <c r="C213" s="202"/>
      <c r="D213" s="202"/>
      <c r="E213" s="202"/>
      <c r="F213" s="202"/>
      <c r="G213" s="202"/>
      <c r="H213" s="202"/>
      <c r="I213" s="202"/>
      <c r="J213" s="202"/>
      <c r="K213" s="202"/>
      <c r="L213" s="202"/>
      <c r="M213" s="202"/>
      <c r="N213" s="204"/>
      <c r="O213" s="198" t="s">
        <v>68</v>
      </c>
      <c r="P213" s="199"/>
      <c r="Q213" s="199"/>
      <c r="R213" s="199"/>
      <c r="S213" s="199"/>
      <c r="T213" s="199"/>
      <c r="U213" s="200"/>
      <c r="V213" s="37" t="s">
        <v>67</v>
      </c>
      <c r="W213" s="190">
        <f>IFERROR(SUM(W209:W212),"0")</f>
        <v>25</v>
      </c>
      <c r="X213" s="190">
        <f>IFERROR(SUM(X209:X212),"0")</f>
        <v>25</v>
      </c>
      <c r="Y213" s="190">
        <f>IFERROR(IF(Y209="",0,Y209),"0")+IFERROR(IF(Y210="",0,Y210),"0")+IFERROR(IF(Y211="",0,Y211),"0")+IFERROR(IF(Y212="",0,Y212),"0")</f>
        <v>0.38750000000000001</v>
      </c>
      <c r="Z213" s="191"/>
      <c r="AA213" s="191"/>
    </row>
    <row r="214" spans="1:54" x14ac:dyDescent="0.2">
      <c r="A214" s="202"/>
      <c r="B214" s="202"/>
      <c r="C214" s="202"/>
      <c r="D214" s="202"/>
      <c r="E214" s="202"/>
      <c r="F214" s="202"/>
      <c r="G214" s="202"/>
      <c r="H214" s="202"/>
      <c r="I214" s="202"/>
      <c r="J214" s="202"/>
      <c r="K214" s="202"/>
      <c r="L214" s="202"/>
      <c r="M214" s="202"/>
      <c r="N214" s="204"/>
      <c r="O214" s="198" t="s">
        <v>68</v>
      </c>
      <c r="P214" s="199"/>
      <c r="Q214" s="199"/>
      <c r="R214" s="199"/>
      <c r="S214" s="199"/>
      <c r="T214" s="199"/>
      <c r="U214" s="200"/>
      <c r="V214" s="37" t="s">
        <v>69</v>
      </c>
      <c r="W214" s="190">
        <f>IFERROR(SUMPRODUCT(W209:W212*H209:H212),"0")</f>
        <v>180</v>
      </c>
      <c r="X214" s="190">
        <f>IFERROR(SUMPRODUCT(X209:X212*H209:H212),"0")</f>
        <v>180</v>
      </c>
      <c r="Y214" s="37"/>
      <c r="Z214" s="191"/>
      <c r="AA214" s="191"/>
    </row>
    <row r="215" spans="1:54" ht="16.5" hidden="1" customHeight="1" x14ac:dyDescent="0.25">
      <c r="A215" s="218" t="s">
        <v>272</v>
      </c>
      <c r="B215" s="202"/>
      <c r="C215" s="202"/>
      <c r="D215" s="202"/>
      <c r="E215" s="202"/>
      <c r="F215" s="202"/>
      <c r="G215" s="202"/>
      <c r="H215" s="202"/>
      <c r="I215" s="202"/>
      <c r="J215" s="202"/>
      <c r="K215" s="202"/>
      <c r="L215" s="202"/>
      <c r="M215" s="202"/>
      <c r="N215" s="202"/>
      <c r="O215" s="202"/>
      <c r="P215" s="202"/>
      <c r="Q215" s="202"/>
      <c r="R215" s="202"/>
      <c r="S215" s="202"/>
      <c r="T215" s="202"/>
      <c r="U215" s="202"/>
      <c r="V215" s="202"/>
      <c r="W215" s="202"/>
      <c r="X215" s="202"/>
      <c r="Y215" s="202"/>
      <c r="Z215" s="182"/>
      <c r="AA215" s="182"/>
    </row>
    <row r="216" spans="1:54" ht="14.25" hidden="1" customHeight="1" x14ac:dyDescent="0.25">
      <c r="A216" s="201" t="s">
        <v>229</v>
      </c>
      <c r="B216" s="202"/>
      <c r="C216" s="202"/>
      <c r="D216" s="202"/>
      <c r="E216" s="202"/>
      <c r="F216" s="202"/>
      <c r="G216" s="202"/>
      <c r="H216" s="202"/>
      <c r="I216" s="202"/>
      <c r="J216" s="202"/>
      <c r="K216" s="202"/>
      <c r="L216" s="202"/>
      <c r="M216" s="202"/>
      <c r="N216" s="202"/>
      <c r="O216" s="202"/>
      <c r="P216" s="202"/>
      <c r="Q216" s="202"/>
      <c r="R216" s="202"/>
      <c r="S216" s="202"/>
      <c r="T216" s="202"/>
      <c r="U216" s="202"/>
      <c r="V216" s="202"/>
      <c r="W216" s="202"/>
      <c r="X216" s="202"/>
      <c r="Y216" s="202"/>
      <c r="Z216" s="181"/>
      <c r="AA216" s="181"/>
    </row>
    <row r="217" spans="1:54" ht="27" hidden="1" customHeight="1" x14ac:dyDescent="0.25">
      <c r="A217" s="54" t="s">
        <v>273</v>
      </c>
      <c r="B217" s="54" t="s">
        <v>274</v>
      </c>
      <c r="C217" s="31">
        <v>4301051320</v>
      </c>
      <c r="D217" s="197">
        <v>4680115881334</v>
      </c>
      <c r="E217" s="196"/>
      <c r="F217" s="187">
        <v>0.33</v>
      </c>
      <c r="G217" s="32">
        <v>6</v>
      </c>
      <c r="H217" s="187">
        <v>1.98</v>
      </c>
      <c r="I217" s="187">
        <v>2.27</v>
      </c>
      <c r="J217" s="32">
        <v>156</v>
      </c>
      <c r="K217" s="32" t="s">
        <v>65</v>
      </c>
      <c r="L217" s="33" t="s">
        <v>232</v>
      </c>
      <c r="M217" s="33"/>
      <c r="N217" s="32">
        <v>365</v>
      </c>
      <c r="O217" s="243" t="str">
        <f>HYPERLINK("https://abi.ru/products/Замороженные/Стародворье/Бордо/Сосиски замороженные/P003054/","Сосиски «Оригинальные» замороженные Фикс.вес 0,33 п/а ТМ «Стародворье»")</f>
        <v>Сосиски «Оригинальные» замороженные Фикс.вес 0,33 п/а ТМ «Стародворье»</v>
      </c>
      <c r="P217" s="195"/>
      <c r="Q217" s="195"/>
      <c r="R217" s="195"/>
      <c r="S217" s="196"/>
      <c r="T217" s="34"/>
      <c r="U217" s="34"/>
      <c r="V217" s="35" t="s">
        <v>67</v>
      </c>
      <c r="W217" s="188">
        <v>0</v>
      </c>
      <c r="X217" s="189">
        <f>IFERROR(IF(W217="","",W217),"")</f>
        <v>0</v>
      </c>
      <c r="Y217" s="36">
        <f>IFERROR(IF(W217="","",W217*0.00753),"")</f>
        <v>0</v>
      </c>
      <c r="Z217" s="56"/>
      <c r="AA217" s="57"/>
      <c r="AE217" s="61"/>
      <c r="BB217" s="144" t="s">
        <v>233</v>
      </c>
    </row>
    <row r="218" spans="1:54" hidden="1" x14ac:dyDescent="0.2">
      <c r="A218" s="203"/>
      <c r="B218" s="202"/>
      <c r="C218" s="202"/>
      <c r="D218" s="202"/>
      <c r="E218" s="202"/>
      <c r="F218" s="202"/>
      <c r="G218" s="202"/>
      <c r="H218" s="202"/>
      <c r="I218" s="202"/>
      <c r="J218" s="202"/>
      <c r="K218" s="202"/>
      <c r="L218" s="202"/>
      <c r="M218" s="202"/>
      <c r="N218" s="204"/>
      <c r="O218" s="198" t="s">
        <v>68</v>
      </c>
      <c r="P218" s="199"/>
      <c r="Q218" s="199"/>
      <c r="R218" s="199"/>
      <c r="S218" s="199"/>
      <c r="T218" s="199"/>
      <c r="U218" s="200"/>
      <c r="V218" s="37" t="s">
        <v>67</v>
      </c>
      <c r="W218" s="190">
        <f>IFERROR(SUM(W217:W217),"0")</f>
        <v>0</v>
      </c>
      <c r="X218" s="190">
        <f>IFERROR(SUM(X217:X217),"0")</f>
        <v>0</v>
      </c>
      <c r="Y218" s="190">
        <f>IFERROR(IF(Y217="",0,Y217),"0")</f>
        <v>0</v>
      </c>
      <c r="Z218" s="191"/>
      <c r="AA218" s="191"/>
    </row>
    <row r="219" spans="1:54" hidden="1" x14ac:dyDescent="0.2">
      <c r="A219" s="202"/>
      <c r="B219" s="202"/>
      <c r="C219" s="202"/>
      <c r="D219" s="202"/>
      <c r="E219" s="202"/>
      <c r="F219" s="202"/>
      <c r="G219" s="202"/>
      <c r="H219" s="202"/>
      <c r="I219" s="202"/>
      <c r="J219" s="202"/>
      <c r="K219" s="202"/>
      <c r="L219" s="202"/>
      <c r="M219" s="202"/>
      <c r="N219" s="204"/>
      <c r="O219" s="198" t="s">
        <v>68</v>
      </c>
      <c r="P219" s="199"/>
      <c r="Q219" s="199"/>
      <c r="R219" s="199"/>
      <c r="S219" s="199"/>
      <c r="T219" s="199"/>
      <c r="U219" s="200"/>
      <c r="V219" s="37" t="s">
        <v>69</v>
      </c>
      <c r="W219" s="190">
        <f>IFERROR(SUMPRODUCT(W217:W217*H217:H217),"0")</f>
        <v>0</v>
      </c>
      <c r="X219" s="190">
        <f>IFERROR(SUMPRODUCT(X217:X217*H217:H217),"0")</f>
        <v>0</v>
      </c>
      <c r="Y219" s="37"/>
      <c r="Z219" s="191"/>
      <c r="AA219" s="191"/>
    </row>
    <row r="220" spans="1:54" ht="16.5" hidden="1" customHeight="1" x14ac:dyDescent="0.25">
      <c r="A220" s="218" t="s">
        <v>275</v>
      </c>
      <c r="B220" s="202"/>
      <c r="C220" s="202"/>
      <c r="D220" s="202"/>
      <c r="E220" s="202"/>
      <c r="F220" s="202"/>
      <c r="G220" s="202"/>
      <c r="H220" s="202"/>
      <c r="I220" s="202"/>
      <c r="J220" s="202"/>
      <c r="K220" s="202"/>
      <c r="L220" s="202"/>
      <c r="M220" s="202"/>
      <c r="N220" s="202"/>
      <c r="O220" s="202"/>
      <c r="P220" s="202"/>
      <c r="Q220" s="202"/>
      <c r="R220" s="202"/>
      <c r="S220" s="202"/>
      <c r="T220" s="202"/>
      <c r="U220" s="202"/>
      <c r="V220" s="202"/>
      <c r="W220" s="202"/>
      <c r="X220" s="202"/>
      <c r="Y220" s="202"/>
      <c r="Z220" s="182"/>
      <c r="AA220" s="182"/>
    </row>
    <row r="221" spans="1:54" ht="14.25" hidden="1" customHeight="1" x14ac:dyDescent="0.25">
      <c r="A221" s="201" t="s">
        <v>62</v>
      </c>
      <c r="B221" s="202"/>
      <c r="C221" s="202"/>
      <c r="D221" s="202"/>
      <c r="E221" s="202"/>
      <c r="F221" s="202"/>
      <c r="G221" s="202"/>
      <c r="H221" s="202"/>
      <c r="I221" s="202"/>
      <c r="J221" s="202"/>
      <c r="K221" s="202"/>
      <c r="L221" s="202"/>
      <c r="M221" s="202"/>
      <c r="N221" s="202"/>
      <c r="O221" s="202"/>
      <c r="P221" s="202"/>
      <c r="Q221" s="202"/>
      <c r="R221" s="202"/>
      <c r="S221" s="202"/>
      <c r="T221" s="202"/>
      <c r="U221" s="202"/>
      <c r="V221" s="202"/>
      <c r="W221" s="202"/>
      <c r="X221" s="202"/>
      <c r="Y221" s="202"/>
      <c r="Z221" s="181"/>
      <c r="AA221" s="181"/>
    </row>
    <row r="222" spans="1:54" ht="16.5" hidden="1" customHeight="1" x14ac:dyDescent="0.25">
      <c r="A222" s="54" t="s">
        <v>276</v>
      </c>
      <c r="B222" s="54" t="s">
        <v>277</v>
      </c>
      <c r="C222" s="31">
        <v>4301070874</v>
      </c>
      <c r="D222" s="197">
        <v>4607111035332</v>
      </c>
      <c r="E222" s="196"/>
      <c r="F222" s="187">
        <v>0.43</v>
      </c>
      <c r="G222" s="32">
        <v>16</v>
      </c>
      <c r="H222" s="187">
        <v>6.88</v>
      </c>
      <c r="I222" s="187">
        <v>7.2060000000000004</v>
      </c>
      <c r="J222" s="32">
        <v>84</v>
      </c>
      <c r="K222" s="32" t="s">
        <v>65</v>
      </c>
      <c r="L222" s="33" t="s">
        <v>66</v>
      </c>
      <c r="M222" s="33"/>
      <c r="N222" s="32">
        <v>180</v>
      </c>
      <c r="O222" s="262" t="str">
        <f>HYPERLINK("https://abi.ru/products/Замороженные/Стародворье/Сочные/Пельмени/P002720/","Пельмени Сочные Сочные 0,43 Сфера Стародворье")</f>
        <v>Пельмени Сочные Сочные 0,43 Сфера Стародворье</v>
      </c>
      <c r="P222" s="195"/>
      <c r="Q222" s="195"/>
      <c r="R222" s="195"/>
      <c r="S222" s="196"/>
      <c r="T222" s="34"/>
      <c r="U222" s="34"/>
      <c r="V222" s="35" t="s">
        <v>67</v>
      </c>
      <c r="W222" s="188">
        <v>0</v>
      </c>
      <c r="X222" s="189">
        <f>IFERROR(IF(W222="","",W222),"")</f>
        <v>0</v>
      </c>
      <c r="Y222" s="36">
        <f>IFERROR(IF(W222="","",W222*0.0155),"")</f>
        <v>0</v>
      </c>
      <c r="Z222" s="56"/>
      <c r="AA222" s="57"/>
      <c r="AE222" s="61"/>
      <c r="BB222" s="145" t="s">
        <v>1</v>
      </c>
    </row>
    <row r="223" spans="1:54" ht="16.5" hidden="1" customHeight="1" x14ac:dyDescent="0.25">
      <c r="A223" s="54" t="s">
        <v>278</v>
      </c>
      <c r="B223" s="54" t="s">
        <v>279</v>
      </c>
      <c r="C223" s="31">
        <v>4301071000</v>
      </c>
      <c r="D223" s="197">
        <v>4607111038708</v>
      </c>
      <c r="E223" s="196"/>
      <c r="F223" s="187">
        <v>0.8</v>
      </c>
      <c r="G223" s="32">
        <v>8</v>
      </c>
      <c r="H223" s="187">
        <v>6.4</v>
      </c>
      <c r="I223" s="187">
        <v>6.67</v>
      </c>
      <c r="J223" s="32">
        <v>84</v>
      </c>
      <c r="K223" s="32" t="s">
        <v>65</v>
      </c>
      <c r="L223" s="33" t="s">
        <v>66</v>
      </c>
      <c r="M223" s="33"/>
      <c r="N223" s="32">
        <v>180</v>
      </c>
      <c r="O223" s="246" t="str">
        <f>HYPERLINK("https://abi.ru/products/Замороженные/Стародворье/Сочные/Пельмени/P004009/","Пельмени Сочные Сочные 0,8 Сфера Стародворье")</f>
        <v>Пельмени Сочные Сочные 0,8 Сфера Стародворье</v>
      </c>
      <c r="P223" s="195"/>
      <c r="Q223" s="195"/>
      <c r="R223" s="195"/>
      <c r="S223" s="196"/>
      <c r="T223" s="34"/>
      <c r="U223" s="34"/>
      <c r="V223" s="35" t="s">
        <v>67</v>
      </c>
      <c r="W223" s="188">
        <v>0</v>
      </c>
      <c r="X223" s="189">
        <f>IFERROR(IF(W223="","",W223),"")</f>
        <v>0</v>
      </c>
      <c r="Y223" s="36">
        <f>IFERROR(IF(W223="","",W223*0.0155),"")</f>
        <v>0</v>
      </c>
      <c r="Z223" s="56"/>
      <c r="AA223" s="57"/>
      <c r="AE223" s="61"/>
      <c r="BB223" s="146" t="s">
        <v>1</v>
      </c>
    </row>
    <row r="224" spans="1:54" hidden="1" x14ac:dyDescent="0.2">
      <c r="A224" s="203"/>
      <c r="B224" s="202"/>
      <c r="C224" s="202"/>
      <c r="D224" s="202"/>
      <c r="E224" s="202"/>
      <c r="F224" s="202"/>
      <c r="G224" s="202"/>
      <c r="H224" s="202"/>
      <c r="I224" s="202"/>
      <c r="J224" s="202"/>
      <c r="K224" s="202"/>
      <c r="L224" s="202"/>
      <c r="M224" s="202"/>
      <c r="N224" s="204"/>
      <c r="O224" s="198" t="s">
        <v>68</v>
      </c>
      <c r="P224" s="199"/>
      <c r="Q224" s="199"/>
      <c r="R224" s="199"/>
      <c r="S224" s="199"/>
      <c r="T224" s="199"/>
      <c r="U224" s="200"/>
      <c r="V224" s="37" t="s">
        <v>67</v>
      </c>
      <c r="W224" s="190">
        <f>IFERROR(SUM(W222:W223),"0")</f>
        <v>0</v>
      </c>
      <c r="X224" s="190">
        <f>IFERROR(SUM(X222:X223),"0")</f>
        <v>0</v>
      </c>
      <c r="Y224" s="190">
        <f>IFERROR(IF(Y222="",0,Y222),"0")+IFERROR(IF(Y223="",0,Y223),"0")</f>
        <v>0</v>
      </c>
      <c r="Z224" s="191"/>
      <c r="AA224" s="191"/>
    </row>
    <row r="225" spans="1:54" hidden="1" x14ac:dyDescent="0.2">
      <c r="A225" s="202"/>
      <c r="B225" s="202"/>
      <c r="C225" s="202"/>
      <c r="D225" s="202"/>
      <c r="E225" s="202"/>
      <c r="F225" s="202"/>
      <c r="G225" s="202"/>
      <c r="H225" s="202"/>
      <c r="I225" s="202"/>
      <c r="J225" s="202"/>
      <c r="K225" s="202"/>
      <c r="L225" s="202"/>
      <c r="M225" s="202"/>
      <c r="N225" s="204"/>
      <c r="O225" s="198" t="s">
        <v>68</v>
      </c>
      <c r="P225" s="199"/>
      <c r="Q225" s="199"/>
      <c r="R225" s="199"/>
      <c r="S225" s="199"/>
      <c r="T225" s="199"/>
      <c r="U225" s="200"/>
      <c r="V225" s="37" t="s">
        <v>69</v>
      </c>
      <c r="W225" s="190">
        <f>IFERROR(SUMPRODUCT(W222:W223*H222:H223),"0")</f>
        <v>0</v>
      </c>
      <c r="X225" s="190">
        <f>IFERROR(SUMPRODUCT(X222:X223*H222:H223),"0")</f>
        <v>0</v>
      </c>
      <c r="Y225" s="37"/>
      <c r="Z225" s="191"/>
      <c r="AA225" s="191"/>
    </row>
    <row r="226" spans="1:54" ht="27.75" hidden="1" customHeight="1" x14ac:dyDescent="0.2">
      <c r="A226" s="226" t="s">
        <v>280</v>
      </c>
      <c r="B226" s="227"/>
      <c r="C226" s="227"/>
      <c r="D226" s="227"/>
      <c r="E226" s="227"/>
      <c r="F226" s="227"/>
      <c r="G226" s="227"/>
      <c r="H226" s="227"/>
      <c r="I226" s="227"/>
      <c r="J226" s="227"/>
      <c r="K226" s="227"/>
      <c r="L226" s="227"/>
      <c r="M226" s="227"/>
      <c r="N226" s="227"/>
      <c r="O226" s="227"/>
      <c r="P226" s="227"/>
      <c r="Q226" s="227"/>
      <c r="R226" s="227"/>
      <c r="S226" s="227"/>
      <c r="T226" s="227"/>
      <c r="U226" s="227"/>
      <c r="V226" s="227"/>
      <c r="W226" s="227"/>
      <c r="X226" s="227"/>
      <c r="Y226" s="227"/>
      <c r="Z226" s="48"/>
      <c r="AA226" s="48"/>
    </row>
    <row r="227" spans="1:54" ht="16.5" hidden="1" customHeight="1" x14ac:dyDescent="0.25">
      <c r="A227" s="218" t="s">
        <v>281</v>
      </c>
      <c r="B227" s="202"/>
      <c r="C227" s="202"/>
      <c r="D227" s="202"/>
      <c r="E227" s="202"/>
      <c r="F227" s="202"/>
      <c r="G227" s="202"/>
      <c r="H227" s="202"/>
      <c r="I227" s="202"/>
      <c r="J227" s="202"/>
      <c r="K227" s="202"/>
      <c r="L227" s="202"/>
      <c r="M227" s="202"/>
      <c r="N227" s="202"/>
      <c r="O227" s="202"/>
      <c r="P227" s="202"/>
      <c r="Q227" s="202"/>
      <c r="R227" s="202"/>
      <c r="S227" s="202"/>
      <c r="T227" s="202"/>
      <c r="U227" s="202"/>
      <c r="V227" s="202"/>
      <c r="W227" s="202"/>
      <c r="X227" s="202"/>
      <c r="Y227" s="202"/>
      <c r="Z227" s="182"/>
      <c r="AA227" s="182"/>
    </row>
    <row r="228" spans="1:54" ht="14.25" hidden="1" customHeight="1" x14ac:dyDescent="0.25">
      <c r="A228" s="201" t="s">
        <v>62</v>
      </c>
      <c r="B228" s="202"/>
      <c r="C228" s="202"/>
      <c r="D228" s="202"/>
      <c r="E228" s="202"/>
      <c r="F228" s="202"/>
      <c r="G228" s="202"/>
      <c r="H228" s="202"/>
      <c r="I228" s="202"/>
      <c r="J228" s="202"/>
      <c r="K228" s="202"/>
      <c r="L228" s="202"/>
      <c r="M228" s="202"/>
      <c r="N228" s="202"/>
      <c r="O228" s="202"/>
      <c r="P228" s="202"/>
      <c r="Q228" s="202"/>
      <c r="R228" s="202"/>
      <c r="S228" s="202"/>
      <c r="T228" s="202"/>
      <c r="U228" s="202"/>
      <c r="V228" s="202"/>
      <c r="W228" s="202"/>
      <c r="X228" s="202"/>
      <c r="Y228" s="202"/>
      <c r="Z228" s="181"/>
      <c r="AA228" s="181"/>
    </row>
    <row r="229" spans="1:54" ht="27" hidden="1" customHeight="1" x14ac:dyDescent="0.25">
      <c r="A229" s="54" t="s">
        <v>282</v>
      </c>
      <c r="B229" s="54" t="s">
        <v>283</v>
      </c>
      <c r="C229" s="31">
        <v>4301070941</v>
      </c>
      <c r="D229" s="197">
        <v>4607111036162</v>
      </c>
      <c r="E229" s="196"/>
      <c r="F229" s="187">
        <v>0.8</v>
      </c>
      <c r="G229" s="32">
        <v>8</v>
      </c>
      <c r="H229" s="187">
        <v>6.4</v>
      </c>
      <c r="I229" s="187">
        <v>6.6811999999999996</v>
      </c>
      <c r="J229" s="32">
        <v>84</v>
      </c>
      <c r="K229" s="32" t="s">
        <v>65</v>
      </c>
      <c r="L229" s="33" t="s">
        <v>66</v>
      </c>
      <c r="M229" s="33"/>
      <c r="N229" s="32">
        <v>90</v>
      </c>
      <c r="O229" s="297" t="str">
        <f>HYPERLINK("https://abi.ru/products/Замороженные/Колбасный стандарт/Владимирский Стандарт ЗПФ/Пельмени/P003223/","Пельмени Со свининой и говядиной Владимирский стандарт флоу-пак 0,8 Сфера Колбасный стандарт")</f>
        <v>Пельмени Со свининой и говядиной Владимирский стандарт флоу-пак 0,8 Сфера Колбасный стандарт</v>
      </c>
      <c r="P229" s="195"/>
      <c r="Q229" s="195"/>
      <c r="R229" s="195"/>
      <c r="S229" s="196"/>
      <c r="T229" s="34"/>
      <c r="U229" s="34"/>
      <c r="V229" s="35" t="s">
        <v>67</v>
      </c>
      <c r="W229" s="188">
        <v>0</v>
      </c>
      <c r="X229" s="189">
        <f>IFERROR(IF(W229="","",W229),"")</f>
        <v>0</v>
      </c>
      <c r="Y229" s="36">
        <f>IFERROR(IF(W229="","",W229*0.0155),"")</f>
        <v>0</v>
      </c>
      <c r="Z229" s="56"/>
      <c r="AA229" s="57"/>
      <c r="AE229" s="61"/>
      <c r="BB229" s="147" t="s">
        <v>1</v>
      </c>
    </row>
    <row r="230" spans="1:54" hidden="1" x14ac:dyDescent="0.2">
      <c r="A230" s="203"/>
      <c r="B230" s="202"/>
      <c r="C230" s="202"/>
      <c r="D230" s="202"/>
      <c r="E230" s="202"/>
      <c r="F230" s="202"/>
      <c r="G230" s="202"/>
      <c r="H230" s="202"/>
      <c r="I230" s="202"/>
      <c r="J230" s="202"/>
      <c r="K230" s="202"/>
      <c r="L230" s="202"/>
      <c r="M230" s="202"/>
      <c r="N230" s="204"/>
      <c r="O230" s="198" t="s">
        <v>68</v>
      </c>
      <c r="P230" s="199"/>
      <c r="Q230" s="199"/>
      <c r="R230" s="199"/>
      <c r="S230" s="199"/>
      <c r="T230" s="199"/>
      <c r="U230" s="200"/>
      <c r="V230" s="37" t="s">
        <v>67</v>
      </c>
      <c r="W230" s="190">
        <f>IFERROR(SUM(W229:W229),"0")</f>
        <v>0</v>
      </c>
      <c r="X230" s="190">
        <f>IFERROR(SUM(X229:X229),"0")</f>
        <v>0</v>
      </c>
      <c r="Y230" s="190">
        <f>IFERROR(IF(Y229="",0,Y229),"0")</f>
        <v>0</v>
      </c>
      <c r="Z230" s="191"/>
      <c r="AA230" s="191"/>
    </row>
    <row r="231" spans="1:54" hidden="1" x14ac:dyDescent="0.2">
      <c r="A231" s="202"/>
      <c r="B231" s="202"/>
      <c r="C231" s="202"/>
      <c r="D231" s="202"/>
      <c r="E231" s="202"/>
      <c r="F231" s="202"/>
      <c r="G231" s="202"/>
      <c r="H231" s="202"/>
      <c r="I231" s="202"/>
      <c r="J231" s="202"/>
      <c r="K231" s="202"/>
      <c r="L231" s="202"/>
      <c r="M231" s="202"/>
      <c r="N231" s="204"/>
      <c r="O231" s="198" t="s">
        <v>68</v>
      </c>
      <c r="P231" s="199"/>
      <c r="Q231" s="199"/>
      <c r="R231" s="199"/>
      <c r="S231" s="199"/>
      <c r="T231" s="199"/>
      <c r="U231" s="200"/>
      <c r="V231" s="37" t="s">
        <v>69</v>
      </c>
      <c r="W231" s="190">
        <f>IFERROR(SUMPRODUCT(W229:W229*H229:H229),"0")</f>
        <v>0</v>
      </c>
      <c r="X231" s="190">
        <f>IFERROR(SUMPRODUCT(X229:X229*H229:H229),"0")</f>
        <v>0</v>
      </c>
      <c r="Y231" s="37"/>
      <c r="Z231" s="191"/>
      <c r="AA231" s="191"/>
    </row>
    <row r="232" spans="1:54" ht="27.75" hidden="1" customHeight="1" x14ac:dyDescent="0.2">
      <c r="A232" s="226" t="s">
        <v>284</v>
      </c>
      <c r="B232" s="227"/>
      <c r="C232" s="227"/>
      <c r="D232" s="227"/>
      <c r="E232" s="227"/>
      <c r="F232" s="227"/>
      <c r="G232" s="227"/>
      <c r="H232" s="227"/>
      <c r="I232" s="227"/>
      <c r="J232" s="227"/>
      <c r="K232" s="227"/>
      <c r="L232" s="227"/>
      <c r="M232" s="227"/>
      <c r="N232" s="227"/>
      <c r="O232" s="227"/>
      <c r="P232" s="227"/>
      <c r="Q232" s="227"/>
      <c r="R232" s="227"/>
      <c r="S232" s="227"/>
      <c r="T232" s="227"/>
      <c r="U232" s="227"/>
      <c r="V232" s="227"/>
      <c r="W232" s="227"/>
      <c r="X232" s="227"/>
      <c r="Y232" s="227"/>
      <c r="Z232" s="48"/>
      <c r="AA232" s="48"/>
    </row>
    <row r="233" spans="1:54" ht="16.5" hidden="1" customHeight="1" x14ac:dyDescent="0.25">
      <c r="A233" s="218" t="s">
        <v>285</v>
      </c>
      <c r="B233" s="202"/>
      <c r="C233" s="202"/>
      <c r="D233" s="202"/>
      <c r="E233" s="202"/>
      <c r="F233" s="202"/>
      <c r="G233" s="202"/>
      <c r="H233" s="202"/>
      <c r="I233" s="202"/>
      <c r="J233" s="202"/>
      <c r="K233" s="202"/>
      <c r="L233" s="202"/>
      <c r="M233" s="202"/>
      <c r="N233" s="202"/>
      <c r="O233" s="202"/>
      <c r="P233" s="202"/>
      <c r="Q233" s="202"/>
      <c r="R233" s="202"/>
      <c r="S233" s="202"/>
      <c r="T233" s="202"/>
      <c r="U233" s="202"/>
      <c r="V233" s="202"/>
      <c r="W233" s="202"/>
      <c r="X233" s="202"/>
      <c r="Y233" s="202"/>
      <c r="Z233" s="182"/>
      <c r="AA233" s="182"/>
    </row>
    <row r="234" spans="1:54" ht="14.25" hidden="1" customHeight="1" x14ac:dyDescent="0.25">
      <c r="A234" s="201" t="s">
        <v>62</v>
      </c>
      <c r="B234" s="202"/>
      <c r="C234" s="202"/>
      <c r="D234" s="202"/>
      <c r="E234" s="202"/>
      <c r="F234" s="202"/>
      <c r="G234" s="202"/>
      <c r="H234" s="202"/>
      <c r="I234" s="202"/>
      <c r="J234" s="202"/>
      <c r="K234" s="202"/>
      <c r="L234" s="202"/>
      <c r="M234" s="202"/>
      <c r="N234" s="202"/>
      <c r="O234" s="202"/>
      <c r="P234" s="202"/>
      <c r="Q234" s="202"/>
      <c r="R234" s="202"/>
      <c r="S234" s="202"/>
      <c r="T234" s="202"/>
      <c r="U234" s="202"/>
      <c r="V234" s="202"/>
      <c r="W234" s="202"/>
      <c r="X234" s="202"/>
      <c r="Y234" s="202"/>
      <c r="Z234" s="181"/>
      <c r="AA234" s="181"/>
    </row>
    <row r="235" spans="1:54" ht="27" customHeight="1" x14ac:dyDescent="0.25">
      <c r="A235" s="54" t="s">
        <v>286</v>
      </c>
      <c r="B235" s="54" t="s">
        <v>287</v>
      </c>
      <c r="C235" s="31">
        <v>4301070965</v>
      </c>
      <c r="D235" s="197">
        <v>4607111035899</v>
      </c>
      <c r="E235" s="196"/>
      <c r="F235" s="187">
        <v>1</v>
      </c>
      <c r="G235" s="32">
        <v>5</v>
      </c>
      <c r="H235" s="187">
        <v>5</v>
      </c>
      <c r="I235" s="187">
        <v>5.2619999999999996</v>
      </c>
      <c r="J235" s="32">
        <v>84</v>
      </c>
      <c r="K235" s="32" t="s">
        <v>65</v>
      </c>
      <c r="L235" s="33" t="s">
        <v>66</v>
      </c>
      <c r="M235" s="33"/>
      <c r="N235" s="32">
        <v>180</v>
      </c>
      <c r="O235" s="308" t="str">
        <f>HYPERLINK("https://abi.ru/products/Замороженные/Особый рецепт/Любимая ложка/Пельмени/P003642/","Пельмени Со свининой и говядиной Любимая ложка 1,0 Равиоли Особый рецепт")</f>
        <v>Пельмени Со свининой и говядиной Любимая ложка 1,0 Равиоли Особый рецепт</v>
      </c>
      <c r="P235" s="195"/>
      <c r="Q235" s="195"/>
      <c r="R235" s="195"/>
      <c r="S235" s="196"/>
      <c r="T235" s="34"/>
      <c r="U235" s="34"/>
      <c r="V235" s="35" t="s">
        <v>67</v>
      </c>
      <c r="W235" s="188">
        <v>30</v>
      </c>
      <c r="X235" s="189">
        <f>IFERROR(IF(W235="","",W235),"")</f>
        <v>30</v>
      </c>
      <c r="Y235" s="36">
        <f>IFERROR(IF(W235="","",W235*0.0155),"")</f>
        <v>0.46499999999999997</v>
      </c>
      <c r="Z235" s="56"/>
      <c r="AA235" s="57"/>
      <c r="AE235" s="61"/>
      <c r="BB235" s="148" t="s">
        <v>1</v>
      </c>
    </row>
    <row r="236" spans="1:54" x14ac:dyDescent="0.2">
      <c r="A236" s="203"/>
      <c r="B236" s="202"/>
      <c r="C236" s="202"/>
      <c r="D236" s="202"/>
      <c r="E236" s="202"/>
      <c r="F236" s="202"/>
      <c r="G236" s="202"/>
      <c r="H236" s="202"/>
      <c r="I236" s="202"/>
      <c r="J236" s="202"/>
      <c r="K236" s="202"/>
      <c r="L236" s="202"/>
      <c r="M236" s="202"/>
      <c r="N236" s="204"/>
      <c r="O236" s="198" t="s">
        <v>68</v>
      </c>
      <c r="P236" s="199"/>
      <c r="Q236" s="199"/>
      <c r="R236" s="199"/>
      <c r="S236" s="199"/>
      <c r="T236" s="199"/>
      <c r="U236" s="200"/>
      <c r="V236" s="37" t="s">
        <v>67</v>
      </c>
      <c r="W236" s="190">
        <f>IFERROR(SUM(W235:W235),"0")</f>
        <v>30</v>
      </c>
      <c r="X236" s="190">
        <f>IFERROR(SUM(X235:X235),"0")</f>
        <v>30</v>
      </c>
      <c r="Y236" s="190">
        <f>IFERROR(IF(Y235="",0,Y235),"0")</f>
        <v>0.46499999999999997</v>
      </c>
      <c r="Z236" s="191"/>
      <c r="AA236" s="191"/>
    </row>
    <row r="237" spans="1:54" x14ac:dyDescent="0.2">
      <c r="A237" s="202"/>
      <c r="B237" s="202"/>
      <c r="C237" s="202"/>
      <c r="D237" s="202"/>
      <c r="E237" s="202"/>
      <c r="F237" s="202"/>
      <c r="G237" s="202"/>
      <c r="H237" s="202"/>
      <c r="I237" s="202"/>
      <c r="J237" s="202"/>
      <c r="K237" s="202"/>
      <c r="L237" s="202"/>
      <c r="M237" s="202"/>
      <c r="N237" s="204"/>
      <c r="O237" s="198" t="s">
        <v>68</v>
      </c>
      <c r="P237" s="199"/>
      <c r="Q237" s="199"/>
      <c r="R237" s="199"/>
      <c r="S237" s="199"/>
      <c r="T237" s="199"/>
      <c r="U237" s="200"/>
      <c r="V237" s="37" t="s">
        <v>69</v>
      </c>
      <c r="W237" s="190">
        <f>IFERROR(SUMPRODUCT(W235:W235*H235:H235),"0")</f>
        <v>150</v>
      </c>
      <c r="X237" s="190">
        <f>IFERROR(SUMPRODUCT(X235:X235*H235:H235),"0")</f>
        <v>150</v>
      </c>
      <c r="Y237" s="37"/>
      <c r="Z237" s="191"/>
      <c r="AA237" s="191"/>
    </row>
    <row r="238" spans="1:54" ht="16.5" hidden="1" customHeight="1" x14ac:dyDescent="0.25">
      <c r="A238" s="218" t="s">
        <v>288</v>
      </c>
      <c r="B238" s="202"/>
      <c r="C238" s="202"/>
      <c r="D238" s="202"/>
      <c r="E238" s="202"/>
      <c r="F238" s="202"/>
      <c r="G238" s="202"/>
      <c r="H238" s="202"/>
      <c r="I238" s="202"/>
      <c r="J238" s="202"/>
      <c r="K238" s="202"/>
      <c r="L238" s="202"/>
      <c r="M238" s="202"/>
      <c r="N238" s="202"/>
      <c r="O238" s="202"/>
      <c r="P238" s="202"/>
      <c r="Q238" s="202"/>
      <c r="R238" s="202"/>
      <c r="S238" s="202"/>
      <c r="T238" s="202"/>
      <c r="U238" s="202"/>
      <c r="V238" s="202"/>
      <c r="W238" s="202"/>
      <c r="X238" s="202"/>
      <c r="Y238" s="202"/>
      <c r="Z238" s="182"/>
      <c r="AA238" s="182"/>
    </row>
    <row r="239" spans="1:54" ht="14.25" hidden="1" customHeight="1" x14ac:dyDescent="0.25">
      <c r="A239" s="201" t="s">
        <v>62</v>
      </c>
      <c r="B239" s="202"/>
      <c r="C239" s="202"/>
      <c r="D239" s="202"/>
      <c r="E239" s="202"/>
      <c r="F239" s="202"/>
      <c r="G239" s="202"/>
      <c r="H239" s="202"/>
      <c r="I239" s="202"/>
      <c r="J239" s="202"/>
      <c r="K239" s="202"/>
      <c r="L239" s="202"/>
      <c r="M239" s="202"/>
      <c r="N239" s="202"/>
      <c r="O239" s="202"/>
      <c r="P239" s="202"/>
      <c r="Q239" s="202"/>
      <c r="R239" s="202"/>
      <c r="S239" s="202"/>
      <c r="T239" s="202"/>
      <c r="U239" s="202"/>
      <c r="V239" s="202"/>
      <c r="W239" s="202"/>
      <c r="X239" s="202"/>
      <c r="Y239" s="202"/>
      <c r="Z239" s="181"/>
      <c r="AA239" s="181"/>
    </row>
    <row r="240" spans="1:54" ht="27" hidden="1" customHeight="1" x14ac:dyDescent="0.25">
      <c r="A240" s="54" t="s">
        <v>289</v>
      </c>
      <c r="B240" s="54" t="s">
        <v>290</v>
      </c>
      <c r="C240" s="31">
        <v>4301070870</v>
      </c>
      <c r="D240" s="197">
        <v>4607111036711</v>
      </c>
      <c r="E240" s="196"/>
      <c r="F240" s="187">
        <v>0.8</v>
      </c>
      <c r="G240" s="32">
        <v>8</v>
      </c>
      <c r="H240" s="187">
        <v>6.4</v>
      </c>
      <c r="I240" s="187">
        <v>6.67</v>
      </c>
      <c r="J240" s="32">
        <v>84</v>
      </c>
      <c r="K240" s="32" t="s">
        <v>65</v>
      </c>
      <c r="L240" s="33" t="s">
        <v>66</v>
      </c>
      <c r="M240" s="33"/>
      <c r="N240" s="32">
        <v>90</v>
      </c>
      <c r="O240" s="315" t="str">
        <f>HYPERLINK("https://abi.ru/products/Замороженные/Особый рецепт/Особая Без свинины/Пельмени/P002686/","Пельмени Левантские Особая без свинины 0,8 Сфера Особый рецепт")</f>
        <v>Пельмени Левантские Особая без свинины 0,8 Сфера Особый рецепт</v>
      </c>
      <c r="P240" s="195"/>
      <c r="Q240" s="195"/>
      <c r="R240" s="195"/>
      <c r="S240" s="196"/>
      <c r="T240" s="34"/>
      <c r="U240" s="34"/>
      <c r="V240" s="35" t="s">
        <v>67</v>
      </c>
      <c r="W240" s="188">
        <v>0</v>
      </c>
      <c r="X240" s="189">
        <f>IFERROR(IF(W240="","",W240),"")</f>
        <v>0</v>
      </c>
      <c r="Y240" s="36">
        <f>IFERROR(IF(W240="","",W240*0.0155),"")</f>
        <v>0</v>
      </c>
      <c r="Z240" s="56"/>
      <c r="AA240" s="57"/>
      <c r="AE240" s="61"/>
      <c r="BB240" s="149" t="s">
        <v>1</v>
      </c>
    </row>
    <row r="241" spans="1:54" hidden="1" x14ac:dyDescent="0.2">
      <c r="A241" s="203"/>
      <c r="B241" s="202"/>
      <c r="C241" s="202"/>
      <c r="D241" s="202"/>
      <c r="E241" s="202"/>
      <c r="F241" s="202"/>
      <c r="G241" s="202"/>
      <c r="H241" s="202"/>
      <c r="I241" s="202"/>
      <c r="J241" s="202"/>
      <c r="K241" s="202"/>
      <c r="L241" s="202"/>
      <c r="M241" s="202"/>
      <c r="N241" s="204"/>
      <c r="O241" s="198" t="s">
        <v>68</v>
      </c>
      <c r="P241" s="199"/>
      <c r="Q241" s="199"/>
      <c r="R241" s="199"/>
      <c r="S241" s="199"/>
      <c r="T241" s="199"/>
      <c r="U241" s="200"/>
      <c r="V241" s="37" t="s">
        <v>67</v>
      </c>
      <c r="W241" s="190">
        <f>IFERROR(SUM(W240:W240),"0")</f>
        <v>0</v>
      </c>
      <c r="X241" s="190">
        <f>IFERROR(SUM(X240:X240),"0")</f>
        <v>0</v>
      </c>
      <c r="Y241" s="190">
        <f>IFERROR(IF(Y240="",0,Y240),"0")</f>
        <v>0</v>
      </c>
      <c r="Z241" s="191"/>
      <c r="AA241" s="191"/>
    </row>
    <row r="242" spans="1:54" hidden="1" x14ac:dyDescent="0.2">
      <c r="A242" s="202"/>
      <c r="B242" s="202"/>
      <c r="C242" s="202"/>
      <c r="D242" s="202"/>
      <c r="E242" s="202"/>
      <c r="F242" s="202"/>
      <c r="G242" s="202"/>
      <c r="H242" s="202"/>
      <c r="I242" s="202"/>
      <c r="J242" s="202"/>
      <c r="K242" s="202"/>
      <c r="L242" s="202"/>
      <c r="M242" s="202"/>
      <c r="N242" s="204"/>
      <c r="O242" s="198" t="s">
        <v>68</v>
      </c>
      <c r="P242" s="199"/>
      <c r="Q242" s="199"/>
      <c r="R242" s="199"/>
      <c r="S242" s="199"/>
      <c r="T242" s="199"/>
      <c r="U242" s="200"/>
      <c r="V242" s="37" t="s">
        <v>69</v>
      </c>
      <c r="W242" s="190">
        <f>IFERROR(SUMPRODUCT(W240:W240*H240:H240),"0")</f>
        <v>0</v>
      </c>
      <c r="X242" s="190">
        <f>IFERROR(SUMPRODUCT(X240:X240*H240:H240),"0")</f>
        <v>0</v>
      </c>
      <c r="Y242" s="37"/>
      <c r="Z242" s="191"/>
      <c r="AA242" s="191"/>
    </row>
    <row r="243" spans="1:54" ht="27.75" hidden="1" customHeight="1" x14ac:dyDescent="0.2">
      <c r="A243" s="226" t="s">
        <v>291</v>
      </c>
      <c r="B243" s="227"/>
      <c r="C243" s="227"/>
      <c r="D243" s="227"/>
      <c r="E243" s="227"/>
      <c r="F243" s="227"/>
      <c r="G243" s="227"/>
      <c r="H243" s="227"/>
      <c r="I243" s="227"/>
      <c r="J243" s="227"/>
      <c r="K243" s="227"/>
      <c r="L243" s="227"/>
      <c r="M243" s="227"/>
      <c r="N243" s="227"/>
      <c r="O243" s="227"/>
      <c r="P243" s="227"/>
      <c r="Q243" s="227"/>
      <c r="R243" s="227"/>
      <c r="S243" s="227"/>
      <c r="T243" s="227"/>
      <c r="U243" s="227"/>
      <c r="V243" s="227"/>
      <c r="W243" s="227"/>
      <c r="X243" s="227"/>
      <c r="Y243" s="227"/>
      <c r="Z243" s="48"/>
      <c r="AA243" s="48"/>
    </row>
    <row r="244" spans="1:54" ht="16.5" hidden="1" customHeight="1" x14ac:dyDescent="0.25">
      <c r="A244" s="218" t="s">
        <v>292</v>
      </c>
      <c r="B244" s="202"/>
      <c r="C244" s="202"/>
      <c r="D244" s="202"/>
      <c r="E244" s="202"/>
      <c r="F244" s="202"/>
      <c r="G244" s="202"/>
      <c r="H244" s="202"/>
      <c r="I244" s="202"/>
      <c r="J244" s="202"/>
      <c r="K244" s="202"/>
      <c r="L244" s="202"/>
      <c r="M244" s="202"/>
      <c r="N244" s="202"/>
      <c r="O244" s="202"/>
      <c r="P244" s="202"/>
      <c r="Q244" s="202"/>
      <c r="R244" s="202"/>
      <c r="S244" s="202"/>
      <c r="T244" s="202"/>
      <c r="U244" s="202"/>
      <c r="V244" s="202"/>
      <c r="W244" s="202"/>
      <c r="X244" s="202"/>
      <c r="Y244" s="202"/>
      <c r="Z244" s="182"/>
      <c r="AA244" s="182"/>
    </row>
    <row r="245" spans="1:54" ht="14.25" hidden="1" customHeight="1" x14ac:dyDescent="0.25">
      <c r="A245" s="201" t="s">
        <v>62</v>
      </c>
      <c r="B245" s="202"/>
      <c r="C245" s="202"/>
      <c r="D245" s="202"/>
      <c r="E245" s="202"/>
      <c r="F245" s="202"/>
      <c r="G245" s="202"/>
      <c r="H245" s="202"/>
      <c r="I245" s="202"/>
      <c r="J245" s="202"/>
      <c r="K245" s="202"/>
      <c r="L245" s="202"/>
      <c r="M245" s="202"/>
      <c r="N245" s="202"/>
      <c r="O245" s="202"/>
      <c r="P245" s="202"/>
      <c r="Q245" s="202"/>
      <c r="R245" s="202"/>
      <c r="S245" s="202"/>
      <c r="T245" s="202"/>
      <c r="U245" s="202"/>
      <c r="V245" s="202"/>
      <c r="W245" s="202"/>
      <c r="X245" s="202"/>
      <c r="Y245" s="202"/>
      <c r="Z245" s="181"/>
      <c r="AA245" s="181"/>
    </row>
    <row r="246" spans="1:54" ht="27" hidden="1" customHeight="1" x14ac:dyDescent="0.25">
      <c r="A246" s="54" t="s">
        <v>293</v>
      </c>
      <c r="B246" s="54" t="s">
        <v>294</v>
      </c>
      <c r="C246" s="31">
        <v>4301071014</v>
      </c>
      <c r="D246" s="197">
        <v>4640242181264</v>
      </c>
      <c r="E246" s="196"/>
      <c r="F246" s="187">
        <v>0.7</v>
      </c>
      <c r="G246" s="32">
        <v>10</v>
      </c>
      <c r="H246" s="187">
        <v>7</v>
      </c>
      <c r="I246" s="187">
        <v>7.28</v>
      </c>
      <c r="J246" s="32">
        <v>84</v>
      </c>
      <c r="K246" s="32" t="s">
        <v>65</v>
      </c>
      <c r="L246" s="33" t="s">
        <v>66</v>
      </c>
      <c r="M246" s="33"/>
      <c r="N246" s="32">
        <v>180</v>
      </c>
      <c r="O246" s="360" t="s">
        <v>295</v>
      </c>
      <c r="P246" s="195"/>
      <c r="Q246" s="195"/>
      <c r="R246" s="195"/>
      <c r="S246" s="196"/>
      <c r="T246" s="34"/>
      <c r="U246" s="34"/>
      <c r="V246" s="35" t="s">
        <v>67</v>
      </c>
      <c r="W246" s="188">
        <v>0</v>
      </c>
      <c r="X246" s="189">
        <f>IFERROR(IF(W246="","",W246),"")</f>
        <v>0</v>
      </c>
      <c r="Y246" s="36">
        <f>IFERROR(IF(W246="","",W246*0.0155),"")</f>
        <v>0</v>
      </c>
      <c r="Z246" s="56"/>
      <c r="AA246" s="57"/>
      <c r="AE246" s="61"/>
      <c r="BB246" s="150" t="s">
        <v>1</v>
      </c>
    </row>
    <row r="247" spans="1:54" ht="27" hidden="1" customHeight="1" x14ac:dyDescent="0.25">
      <c r="A247" s="54" t="s">
        <v>296</v>
      </c>
      <c r="B247" s="54" t="s">
        <v>297</v>
      </c>
      <c r="C247" s="31">
        <v>4301071021</v>
      </c>
      <c r="D247" s="197">
        <v>4640242181325</v>
      </c>
      <c r="E247" s="196"/>
      <c r="F247" s="187">
        <v>0.7</v>
      </c>
      <c r="G247" s="32">
        <v>10</v>
      </c>
      <c r="H247" s="187">
        <v>7</v>
      </c>
      <c r="I247" s="187">
        <v>7.28</v>
      </c>
      <c r="J247" s="32">
        <v>84</v>
      </c>
      <c r="K247" s="32" t="s">
        <v>65</v>
      </c>
      <c r="L247" s="33" t="s">
        <v>66</v>
      </c>
      <c r="M247" s="33"/>
      <c r="N247" s="32">
        <v>180</v>
      </c>
      <c r="O247" s="366" t="s">
        <v>298</v>
      </c>
      <c r="P247" s="195"/>
      <c r="Q247" s="195"/>
      <c r="R247" s="195"/>
      <c r="S247" s="196"/>
      <c r="T247" s="34"/>
      <c r="U247" s="34"/>
      <c r="V247" s="35" t="s">
        <v>67</v>
      </c>
      <c r="W247" s="188">
        <v>0</v>
      </c>
      <c r="X247" s="189">
        <f>IFERROR(IF(W247="","",W247),"")</f>
        <v>0</v>
      </c>
      <c r="Y247" s="36">
        <f>IFERROR(IF(W247="","",W247*0.0155),"")</f>
        <v>0</v>
      </c>
      <c r="Z247" s="56"/>
      <c r="AA247" s="57"/>
      <c r="AE247" s="61"/>
      <c r="BB247" s="151" t="s">
        <v>1</v>
      </c>
    </row>
    <row r="248" spans="1:54" hidden="1" x14ac:dyDescent="0.2">
      <c r="A248" s="203"/>
      <c r="B248" s="202"/>
      <c r="C248" s="202"/>
      <c r="D248" s="202"/>
      <c r="E248" s="202"/>
      <c r="F248" s="202"/>
      <c r="G248" s="202"/>
      <c r="H248" s="202"/>
      <c r="I248" s="202"/>
      <c r="J248" s="202"/>
      <c r="K248" s="202"/>
      <c r="L248" s="202"/>
      <c r="M248" s="202"/>
      <c r="N248" s="204"/>
      <c r="O248" s="198" t="s">
        <v>68</v>
      </c>
      <c r="P248" s="199"/>
      <c r="Q248" s="199"/>
      <c r="R248" s="199"/>
      <c r="S248" s="199"/>
      <c r="T248" s="199"/>
      <c r="U248" s="200"/>
      <c r="V248" s="37" t="s">
        <v>67</v>
      </c>
      <c r="W248" s="190">
        <f>IFERROR(SUM(W246:W247),"0")</f>
        <v>0</v>
      </c>
      <c r="X248" s="190">
        <f>IFERROR(SUM(X246:X247),"0")</f>
        <v>0</v>
      </c>
      <c r="Y248" s="190">
        <f>IFERROR(IF(Y246="",0,Y246),"0")+IFERROR(IF(Y247="",0,Y247),"0")</f>
        <v>0</v>
      </c>
      <c r="Z248" s="191"/>
      <c r="AA248" s="191"/>
    </row>
    <row r="249" spans="1:54" hidden="1" x14ac:dyDescent="0.2">
      <c r="A249" s="202"/>
      <c r="B249" s="202"/>
      <c r="C249" s="202"/>
      <c r="D249" s="202"/>
      <c r="E249" s="202"/>
      <c r="F249" s="202"/>
      <c r="G249" s="202"/>
      <c r="H249" s="202"/>
      <c r="I249" s="202"/>
      <c r="J249" s="202"/>
      <c r="K249" s="202"/>
      <c r="L249" s="202"/>
      <c r="M249" s="202"/>
      <c r="N249" s="204"/>
      <c r="O249" s="198" t="s">
        <v>68</v>
      </c>
      <c r="P249" s="199"/>
      <c r="Q249" s="199"/>
      <c r="R249" s="199"/>
      <c r="S249" s="199"/>
      <c r="T249" s="199"/>
      <c r="U249" s="200"/>
      <c r="V249" s="37" t="s">
        <v>69</v>
      </c>
      <c r="W249" s="190">
        <f>IFERROR(SUMPRODUCT(W246:W247*H246:H247),"0")</f>
        <v>0</v>
      </c>
      <c r="X249" s="190">
        <f>IFERROR(SUMPRODUCT(X246:X247*H246:H247),"0")</f>
        <v>0</v>
      </c>
      <c r="Y249" s="37"/>
      <c r="Z249" s="191"/>
      <c r="AA249" s="191"/>
    </row>
    <row r="250" spans="1:54" ht="16.5" hidden="1" customHeight="1" x14ac:dyDescent="0.25">
      <c r="A250" s="218" t="s">
        <v>299</v>
      </c>
      <c r="B250" s="202"/>
      <c r="C250" s="202"/>
      <c r="D250" s="202"/>
      <c r="E250" s="202"/>
      <c r="F250" s="202"/>
      <c r="G250" s="202"/>
      <c r="H250" s="202"/>
      <c r="I250" s="202"/>
      <c r="J250" s="202"/>
      <c r="K250" s="202"/>
      <c r="L250" s="202"/>
      <c r="M250" s="202"/>
      <c r="N250" s="202"/>
      <c r="O250" s="202"/>
      <c r="P250" s="202"/>
      <c r="Q250" s="202"/>
      <c r="R250" s="202"/>
      <c r="S250" s="202"/>
      <c r="T250" s="202"/>
      <c r="U250" s="202"/>
      <c r="V250" s="202"/>
      <c r="W250" s="202"/>
      <c r="X250" s="202"/>
      <c r="Y250" s="202"/>
      <c r="Z250" s="182"/>
      <c r="AA250" s="182"/>
    </row>
    <row r="251" spans="1:54" ht="14.25" hidden="1" customHeight="1" x14ac:dyDescent="0.25">
      <c r="A251" s="201" t="s">
        <v>126</v>
      </c>
      <c r="B251" s="202"/>
      <c r="C251" s="202"/>
      <c r="D251" s="202"/>
      <c r="E251" s="202"/>
      <c r="F251" s="202"/>
      <c r="G251" s="202"/>
      <c r="H251" s="202"/>
      <c r="I251" s="202"/>
      <c r="J251" s="202"/>
      <c r="K251" s="202"/>
      <c r="L251" s="202"/>
      <c r="M251" s="202"/>
      <c r="N251" s="202"/>
      <c r="O251" s="202"/>
      <c r="P251" s="202"/>
      <c r="Q251" s="202"/>
      <c r="R251" s="202"/>
      <c r="S251" s="202"/>
      <c r="T251" s="202"/>
      <c r="U251" s="202"/>
      <c r="V251" s="202"/>
      <c r="W251" s="202"/>
      <c r="X251" s="202"/>
      <c r="Y251" s="202"/>
      <c r="Z251" s="181"/>
      <c r="AA251" s="181"/>
    </row>
    <row r="252" spans="1:54" ht="27" hidden="1" customHeight="1" x14ac:dyDescent="0.25">
      <c r="A252" s="54" t="s">
        <v>300</v>
      </c>
      <c r="B252" s="54" t="s">
        <v>301</v>
      </c>
      <c r="C252" s="31">
        <v>4301131019</v>
      </c>
      <c r="D252" s="197">
        <v>4640242180427</v>
      </c>
      <c r="E252" s="196"/>
      <c r="F252" s="187">
        <v>1.8</v>
      </c>
      <c r="G252" s="32">
        <v>1</v>
      </c>
      <c r="H252" s="187">
        <v>1.8</v>
      </c>
      <c r="I252" s="187">
        <v>1.915</v>
      </c>
      <c r="J252" s="32">
        <v>234</v>
      </c>
      <c r="K252" s="32" t="s">
        <v>118</v>
      </c>
      <c r="L252" s="33" t="s">
        <v>66</v>
      </c>
      <c r="M252" s="33"/>
      <c r="N252" s="32">
        <v>180</v>
      </c>
      <c r="O252" s="392" t="s">
        <v>302</v>
      </c>
      <c r="P252" s="195"/>
      <c r="Q252" s="195"/>
      <c r="R252" s="195"/>
      <c r="S252" s="196"/>
      <c r="T252" s="34"/>
      <c r="U252" s="34"/>
      <c r="V252" s="35" t="s">
        <v>67</v>
      </c>
      <c r="W252" s="188">
        <v>0</v>
      </c>
      <c r="X252" s="189">
        <f>IFERROR(IF(W252="","",W252),"")</f>
        <v>0</v>
      </c>
      <c r="Y252" s="36">
        <f>IFERROR(IF(W252="","",W252*0.00502),"")</f>
        <v>0</v>
      </c>
      <c r="Z252" s="56"/>
      <c r="AA252" s="57"/>
      <c r="AE252" s="61"/>
      <c r="BB252" s="152" t="s">
        <v>76</v>
      </c>
    </row>
    <row r="253" spans="1:54" hidden="1" x14ac:dyDescent="0.2">
      <c r="A253" s="203"/>
      <c r="B253" s="202"/>
      <c r="C253" s="202"/>
      <c r="D253" s="202"/>
      <c r="E253" s="202"/>
      <c r="F253" s="202"/>
      <c r="G253" s="202"/>
      <c r="H253" s="202"/>
      <c r="I253" s="202"/>
      <c r="J253" s="202"/>
      <c r="K253" s="202"/>
      <c r="L253" s="202"/>
      <c r="M253" s="202"/>
      <c r="N253" s="204"/>
      <c r="O253" s="198" t="s">
        <v>68</v>
      </c>
      <c r="P253" s="199"/>
      <c r="Q253" s="199"/>
      <c r="R253" s="199"/>
      <c r="S253" s="199"/>
      <c r="T253" s="199"/>
      <c r="U253" s="200"/>
      <c r="V253" s="37" t="s">
        <v>67</v>
      </c>
      <c r="W253" s="190">
        <f>IFERROR(SUM(W252:W252),"0")</f>
        <v>0</v>
      </c>
      <c r="X253" s="190">
        <f>IFERROR(SUM(X252:X252),"0")</f>
        <v>0</v>
      </c>
      <c r="Y253" s="190">
        <f>IFERROR(IF(Y252="",0,Y252),"0")</f>
        <v>0</v>
      </c>
      <c r="Z253" s="191"/>
      <c r="AA253" s="191"/>
    </row>
    <row r="254" spans="1:54" hidden="1" x14ac:dyDescent="0.2">
      <c r="A254" s="202"/>
      <c r="B254" s="202"/>
      <c r="C254" s="202"/>
      <c r="D254" s="202"/>
      <c r="E254" s="202"/>
      <c r="F254" s="202"/>
      <c r="G254" s="202"/>
      <c r="H254" s="202"/>
      <c r="I254" s="202"/>
      <c r="J254" s="202"/>
      <c r="K254" s="202"/>
      <c r="L254" s="202"/>
      <c r="M254" s="202"/>
      <c r="N254" s="204"/>
      <c r="O254" s="198" t="s">
        <v>68</v>
      </c>
      <c r="P254" s="199"/>
      <c r="Q254" s="199"/>
      <c r="R254" s="199"/>
      <c r="S254" s="199"/>
      <c r="T254" s="199"/>
      <c r="U254" s="200"/>
      <c r="V254" s="37" t="s">
        <v>69</v>
      </c>
      <c r="W254" s="190">
        <f>IFERROR(SUMPRODUCT(W252:W252*H252:H252),"0")</f>
        <v>0</v>
      </c>
      <c r="X254" s="190">
        <f>IFERROR(SUMPRODUCT(X252:X252*H252:H252),"0")</f>
        <v>0</v>
      </c>
      <c r="Y254" s="37"/>
      <c r="Z254" s="191"/>
      <c r="AA254" s="191"/>
    </row>
    <row r="255" spans="1:54" ht="14.25" hidden="1" customHeight="1" x14ac:dyDescent="0.25">
      <c r="A255" s="201" t="s">
        <v>72</v>
      </c>
      <c r="B255" s="202"/>
      <c r="C255" s="202"/>
      <c r="D255" s="202"/>
      <c r="E255" s="202"/>
      <c r="F255" s="202"/>
      <c r="G255" s="202"/>
      <c r="H255" s="202"/>
      <c r="I255" s="202"/>
      <c r="J255" s="202"/>
      <c r="K255" s="202"/>
      <c r="L255" s="202"/>
      <c r="M255" s="202"/>
      <c r="N255" s="202"/>
      <c r="O255" s="202"/>
      <c r="P255" s="202"/>
      <c r="Q255" s="202"/>
      <c r="R255" s="202"/>
      <c r="S255" s="202"/>
      <c r="T255" s="202"/>
      <c r="U255" s="202"/>
      <c r="V255" s="202"/>
      <c r="W255" s="202"/>
      <c r="X255" s="202"/>
      <c r="Y255" s="202"/>
      <c r="Z255" s="181"/>
      <c r="AA255" s="181"/>
    </row>
    <row r="256" spans="1:54" ht="27" hidden="1" customHeight="1" x14ac:dyDescent="0.25">
      <c r="A256" s="54" t="s">
        <v>303</v>
      </c>
      <c r="B256" s="54" t="s">
        <v>304</v>
      </c>
      <c r="C256" s="31">
        <v>4301132080</v>
      </c>
      <c r="D256" s="197">
        <v>4640242180397</v>
      </c>
      <c r="E256" s="196"/>
      <c r="F256" s="187">
        <v>1</v>
      </c>
      <c r="G256" s="32">
        <v>6</v>
      </c>
      <c r="H256" s="187">
        <v>6</v>
      </c>
      <c r="I256" s="187">
        <v>6.26</v>
      </c>
      <c r="J256" s="32">
        <v>84</v>
      </c>
      <c r="K256" s="32" t="s">
        <v>65</v>
      </c>
      <c r="L256" s="33" t="s">
        <v>66</v>
      </c>
      <c r="M256" s="33"/>
      <c r="N256" s="32">
        <v>180</v>
      </c>
      <c r="O256" s="323" t="s">
        <v>305</v>
      </c>
      <c r="P256" s="195"/>
      <c r="Q256" s="195"/>
      <c r="R256" s="195"/>
      <c r="S256" s="196"/>
      <c r="T256" s="34"/>
      <c r="U256" s="34"/>
      <c r="V256" s="35" t="s">
        <v>67</v>
      </c>
      <c r="W256" s="188">
        <v>0</v>
      </c>
      <c r="X256" s="189">
        <f>IFERROR(IF(W256="","",W256),"")</f>
        <v>0</v>
      </c>
      <c r="Y256" s="36">
        <f>IFERROR(IF(W256="","",W256*0.0155),"")</f>
        <v>0</v>
      </c>
      <c r="Z256" s="56"/>
      <c r="AA256" s="57"/>
      <c r="AE256" s="61"/>
      <c r="BB256" s="153" t="s">
        <v>76</v>
      </c>
    </row>
    <row r="257" spans="1:54" ht="27" hidden="1" customHeight="1" x14ac:dyDescent="0.25">
      <c r="A257" s="54" t="s">
        <v>306</v>
      </c>
      <c r="B257" s="54" t="s">
        <v>307</v>
      </c>
      <c r="C257" s="31">
        <v>4301132104</v>
      </c>
      <c r="D257" s="197">
        <v>4640242181219</v>
      </c>
      <c r="E257" s="196"/>
      <c r="F257" s="187">
        <v>0.3</v>
      </c>
      <c r="G257" s="32">
        <v>9</v>
      </c>
      <c r="H257" s="187">
        <v>2.7</v>
      </c>
      <c r="I257" s="187">
        <v>2.8450000000000002</v>
      </c>
      <c r="J257" s="32">
        <v>234</v>
      </c>
      <c r="K257" s="32" t="s">
        <v>118</v>
      </c>
      <c r="L257" s="33" t="s">
        <v>66</v>
      </c>
      <c r="M257" s="33"/>
      <c r="N257" s="32">
        <v>180</v>
      </c>
      <c r="O257" s="344" t="s">
        <v>308</v>
      </c>
      <c r="P257" s="195"/>
      <c r="Q257" s="195"/>
      <c r="R257" s="195"/>
      <c r="S257" s="196"/>
      <c r="T257" s="34"/>
      <c r="U257" s="34"/>
      <c r="V257" s="35" t="s">
        <v>67</v>
      </c>
      <c r="W257" s="188">
        <v>0</v>
      </c>
      <c r="X257" s="189">
        <f>IFERROR(IF(W257="","",W257),"")</f>
        <v>0</v>
      </c>
      <c r="Y257" s="36">
        <f>IFERROR(IF(W257="","",W257*0.00502),"")</f>
        <v>0</v>
      </c>
      <c r="Z257" s="56"/>
      <c r="AA257" s="57"/>
      <c r="AE257" s="61"/>
      <c r="BB257" s="154" t="s">
        <v>76</v>
      </c>
    </row>
    <row r="258" spans="1:54" hidden="1" x14ac:dyDescent="0.2">
      <c r="A258" s="203"/>
      <c r="B258" s="202"/>
      <c r="C258" s="202"/>
      <c r="D258" s="202"/>
      <c r="E258" s="202"/>
      <c r="F258" s="202"/>
      <c r="G258" s="202"/>
      <c r="H258" s="202"/>
      <c r="I258" s="202"/>
      <c r="J258" s="202"/>
      <c r="K258" s="202"/>
      <c r="L258" s="202"/>
      <c r="M258" s="202"/>
      <c r="N258" s="204"/>
      <c r="O258" s="198" t="s">
        <v>68</v>
      </c>
      <c r="P258" s="199"/>
      <c r="Q258" s="199"/>
      <c r="R258" s="199"/>
      <c r="S258" s="199"/>
      <c r="T258" s="199"/>
      <c r="U258" s="200"/>
      <c r="V258" s="37" t="s">
        <v>67</v>
      </c>
      <c r="W258" s="190">
        <f>IFERROR(SUM(W256:W257),"0")</f>
        <v>0</v>
      </c>
      <c r="X258" s="190">
        <f>IFERROR(SUM(X256:X257),"0")</f>
        <v>0</v>
      </c>
      <c r="Y258" s="190">
        <f>IFERROR(IF(Y256="",0,Y256),"0")+IFERROR(IF(Y257="",0,Y257),"0")</f>
        <v>0</v>
      </c>
      <c r="Z258" s="191"/>
      <c r="AA258" s="191"/>
    </row>
    <row r="259" spans="1:54" hidden="1" x14ac:dyDescent="0.2">
      <c r="A259" s="202"/>
      <c r="B259" s="202"/>
      <c r="C259" s="202"/>
      <c r="D259" s="202"/>
      <c r="E259" s="202"/>
      <c r="F259" s="202"/>
      <c r="G259" s="202"/>
      <c r="H259" s="202"/>
      <c r="I259" s="202"/>
      <c r="J259" s="202"/>
      <c r="K259" s="202"/>
      <c r="L259" s="202"/>
      <c r="M259" s="202"/>
      <c r="N259" s="204"/>
      <c r="O259" s="198" t="s">
        <v>68</v>
      </c>
      <c r="P259" s="199"/>
      <c r="Q259" s="199"/>
      <c r="R259" s="199"/>
      <c r="S259" s="199"/>
      <c r="T259" s="199"/>
      <c r="U259" s="200"/>
      <c r="V259" s="37" t="s">
        <v>69</v>
      </c>
      <c r="W259" s="190">
        <f>IFERROR(SUMPRODUCT(W256:W257*H256:H257),"0")</f>
        <v>0</v>
      </c>
      <c r="X259" s="190">
        <f>IFERROR(SUMPRODUCT(X256:X257*H256:H257),"0")</f>
        <v>0</v>
      </c>
      <c r="Y259" s="37"/>
      <c r="Z259" s="191"/>
      <c r="AA259" s="191"/>
    </row>
    <row r="260" spans="1:54" ht="14.25" hidden="1" customHeight="1" x14ac:dyDescent="0.25">
      <c r="A260" s="201" t="s">
        <v>144</v>
      </c>
      <c r="B260" s="202"/>
      <c r="C260" s="202"/>
      <c r="D260" s="202"/>
      <c r="E260" s="202"/>
      <c r="F260" s="202"/>
      <c r="G260" s="202"/>
      <c r="H260" s="202"/>
      <c r="I260" s="202"/>
      <c r="J260" s="202"/>
      <c r="K260" s="202"/>
      <c r="L260" s="202"/>
      <c r="M260" s="202"/>
      <c r="N260" s="202"/>
      <c r="O260" s="202"/>
      <c r="P260" s="202"/>
      <c r="Q260" s="202"/>
      <c r="R260" s="202"/>
      <c r="S260" s="202"/>
      <c r="T260" s="202"/>
      <c r="U260" s="202"/>
      <c r="V260" s="202"/>
      <c r="W260" s="202"/>
      <c r="X260" s="202"/>
      <c r="Y260" s="202"/>
      <c r="Z260" s="181"/>
      <c r="AA260" s="181"/>
    </row>
    <row r="261" spans="1:54" ht="27" hidden="1" customHeight="1" x14ac:dyDescent="0.25">
      <c r="A261" s="54" t="s">
        <v>309</v>
      </c>
      <c r="B261" s="54" t="s">
        <v>310</v>
      </c>
      <c r="C261" s="31">
        <v>4301136028</v>
      </c>
      <c r="D261" s="197">
        <v>4640242180304</v>
      </c>
      <c r="E261" s="196"/>
      <c r="F261" s="187">
        <v>2.7</v>
      </c>
      <c r="G261" s="32">
        <v>1</v>
      </c>
      <c r="H261" s="187">
        <v>2.7</v>
      </c>
      <c r="I261" s="187">
        <v>2.8906000000000001</v>
      </c>
      <c r="J261" s="32">
        <v>126</v>
      </c>
      <c r="K261" s="32" t="s">
        <v>75</v>
      </c>
      <c r="L261" s="33" t="s">
        <v>66</v>
      </c>
      <c r="M261" s="33"/>
      <c r="N261" s="32">
        <v>180</v>
      </c>
      <c r="O261" s="310" t="s">
        <v>311</v>
      </c>
      <c r="P261" s="195"/>
      <c r="Q261" s="195"/>
      <c r="R261" s="195"/>
      <c r="S261" s="196"/>
      <c r="T261" s="34"/>
      <c r="U261" s="34"/>
      <c r="V261" s="35" t="s">
        <v>67</v>
      </c>
      <c r="W261" s="188">
        <v>0</v>
      </c>
      <c r="X261" s="189">
        <f>IFERROR(IF(W261="","",W261),"")</f>
        <v>0</v>
      </c>
      <c r="Y261" s="36">
        <f>IFERROR(IF(W261="","",W261*0.00936),"")</f>
        <v>0</v>
      </c>
      <c r="Z261" s="56"/>
      <c r="AA261" s="57"/>
      <c r="AE261" s="61"/>
      <c r="BB261" s="155" t="s">
        <v>76</v>
      </c>
    </row>
    <row r="262" spans="1:54" ht="37.5" hidden="1" customHeight="1" x14ac:dyDescent="0.25">
      <c r="A262" s="54" t="s">
        <v>312</v>
      </c>
      <c r="B262" s="54" t="s">
        <v>313</v>
      </c>
      <c r="C262" s="31">
        <v>4301136027</v>
      </c>
      <c r="D262" s="197">
        <v>4640242180298</v>
      </c>
      <c r="E262" s="196"/>
      <c r="F262" s="187">
        <v>2.7</v>
      </c>
      <c r="G262" s="32">
        <v>1</v>
      </c>
      <c r="H262" s="187">
        <v>2.7</v>
      </c>
      <c r="I262" s="187">
        <v>2.8919999999999999</v>
      </c>
      <c r="J262" s="32">
        <v>126</v>
      </c>
      <c r="K262" s="32" t="s">
        <v>75</v>
      </c>
      <c r="L262" s="33" t="s">
        <v>66</v>
      </c>
      <c r="M262" s="33"/>
      <c r="N262" s="32">
        <v>180</v>
      </c>
      <c r="O262" s="374" t="str">
        <f>HYPERLINK("https://abi.ru/products/Замороженные/Зареченские/Зареченские продукты ПГП/Чебуреки/P003477/","Чебуреки «с мясом, грибами и картофелем» Весовые ТМ «Зареченские» 2,7 кг")</f>
        <v>Чебуреки «с мясом, грибами и картофелем» Весовые ТМ «Зареченские» 2,7 кг</v>
      </c>
      <c r="P262" s="195"/>
      <c r="Q262" s="195"/>
      <c r="R262" s="195"/>
      <c r="S262" s="196"/>
      <c r="T262" s="34"/>
      <c r="U262" s="34"/>
      <c r="V262" s="35" t="s">
        <v>67</v>
      </c>
      <c r="W262" s="188">
        <v>0</v>
      </c>
      <c r="X262" s="189">
        <f>IFERROR(IF(W262="","",W262),"")</f>
        <v>0</v>
      </c>
      <c r="Y262" s="36">
        <f>IFERROR(IF(W262="","",W262*0.00936),"")</f>
        <v>0</v>
      </c>
      <c r="Z262" s="56"/>
      <c r="AA262" s="57"/>
      <c r="AE262" s="61"/>
      <c r="BB262" s="156" t="s">
        <v>76</v>
      </c>
    </row>
    <row r="263" spans="1:54" ht="27" customHeight="1" x14ac:dyDescent="0.25">
      <c r="A263" s="54" t="s">
        <v>314</v>
      </c>
      <c r="B263" s="54" t="s">
        <v>315</v>
      </c>
      <c r="C263" s="31">
        <v>4301136026</v>
      </c>
      <c r="D263" s="197">
        <v>4640242180236</v>
      </c>
      <c r="E263" s="196"/>
      <c r="F263" s="187">
        <v>5</v>
      </c>
      <c r="G263" s="32">
        <v>1</v>
      </c>
      <c r="H263" s="187">
        <v>5</v>
      </c>
      <c r="I263" s="187">
        <v>5.2350000000000003</v>
      </c>
      <c r="J263" s="32">
        <v>84</v>
      </c>
      <c r="K263" s="32" t="s">
        <v>65</v>
      </c>
      <c r="L263" s="33" t="s">
        <v>66</v>
      </c>
      <c r="M263" s="33"/>
      <c r="N263" s="32">
        <v>180</v>
      </c>
      <c r="O263" s="292" t="s">
        <v>316</v>
      </c>
      <c r="P263" s="195"/>
      <c r="Q263" s="195"/>
      <c r="R263" s="195"/>
      <c r="S263" s="196"/>
      <c r="T263" s="34"/>
      <c r="U263" s="34"/>
      <c r="V263" s="35" t="s">
        <v>67</v>
      </c>
      <c r="W263" s="188">
        <v>40</v>
      </c>
      <c r="X263" s="189">
        <f>IFERROR(IF(W263="","",W263),"")</f>
        <v>40</v>
      </c>
      <c r="Y263" s="36">
        <f>IFERROR(IF(W263="","",W263*0.0155),"")</f>
        <v>0.62</v>
      </c>
      <c r="Z263" s="56"/>
      <c r="AA263" s="57"/>
      <c r="AE263" s="61"/>
      <c r="BB263" s="157" t="s">
        <v>76</v>
      </c>
    </row>
    <row r="264" spans="1:54" ht="27" hidden="1" customHeight="1" x14ac:dyDescent="0.25">
      <c r="A264" s="54" t="s">
        <v>317</v>
      </c>
      <c r="B264" s="54" t="s">
        <v>318</v>
      </c>
      <c r="C264" s="31">
        <v>4301136029</v>
      </c>
      <c r="D264" s="197">
        <v>4640242180410</v>
      </c>
      <c r="E264" s="196"/>
      <c r="F264" s="187">
        <v>2.2400000000000002</v>
      </c>
      <c r="G264" s="32">
        <v>1</v>
      </c>
      <c r="H264" s="187">
        <v>2.2400000000000002</v>
      </c>
      <c r="I264" s="187">
        <v>2.4319999999999999</v>
      </c>
      <c r="J264" s="32">
        <v>126</v>
      </c>
      <c r="K264" s="32" t="s">
        <v>75</v>
      </c>
      <c r="L264" s="33" t="s">
        <v>66</v>
      </c>
      <c r="M264" s="33"/>
      <c r="N264" s="32">
        <v>180</v>
      </c>
      <c r="O264" s="371" t="str">
        <f>HYPERLINK("https://abi.ru/products/Замороженные/Зареченские/Зареченские продукты ПГП/Чебуреки/P003495/","Чебуреки «Сочный мегачебурек» Весовой ТМ «Зареченские» 2,24 кг")</f>
        <v>Чебуреки «Сочный мегачебурек» Весовой ТМ «Зареченские» 2,24 кг</v>
      </c>
      <c r="P264" s="195"/>
      <c r="Q264" s="195"/>
      <c r="R264" s="195"/>
      <c r="S264" s="196"/>
      <c r="T264" s="34"/>
      <c r="U264" s="34"/>
      <c r="V264" s="35" t="s">
        <v>67</v>
      </c>
      <c r="W264" s="188">
        <v>0</v>
      </c>
      <c r="X264" s="189">
        <f>IFERROR(IF(W264="","",W264),"")</f>
        <v>0</v>
      </c>
      <c r="Y264" s="36">
        <f>IFERROR(IF(W264="","",W264*0.00936),"")</f>
        <v>0</v>
      </c>
      <c r="Z264" s="56"/>
      <c r="AA264" s="57"/>
      <c r="AE264" s="61"/>
      <c r="BB264" s="158" t="s">
        <v>76</v>
      </c>
    </row>
    <row r="265" spans="1:54" x14ac:dyDescent="0.2">
      <c r="A265" s="203"/>
      <c r="B265" s="202"/>
      <c r="C265" s="202"/>
      <c r="D265" s="202"/>
      <c r="E265" s="202"/>
      <c r="F265" s="202"/>
      <c r="G265" s="202"/>
      <c r="H265" s="202"/>
      <c r="I265" s="202"/>
      <c r="J265" s="202"/>
      <c r="K265" s="202"/>
      <c r="L265" s="202"/>
      <c r="M265" s="202"/>
      <c r="N265" s="204"/>
      <c r="O265" s="198" t="s">
        <v>68</v>
      </c>
      <c r="P265" s="199"/>
      <c r="Q265" s="199"/>
      <c r="R265" s="199"/>
      <c r="S265" s="199"/>
      <c r="T265" s="199"/>
      <c r="U265" s="200"/>
      <c r="V265" s="37" t="s">
        <v>67</v>
      </c>
      <c r="W265" s="190">
        <f>IFERROR(SUM(W261:W264),"0")</f>
        <v>40</v>
      </c>
      <c r="X265" s="190">
        <f>IFERROR(SUM(X261:X264),"0")</f>
        <v>40</v>
      </c>
      <c r="Y265" s="190">
        <f>IFERROR(IF(Y261="",0,Y261),"0")+IFERROR(IF(Y262="",0,Y262),"0")+IFERROR(IF(Y263="",0,Y263),"0")+IFERROR(IF(Y264="",0,Y264),"0")</f>
        <v>0.62</v>
      </c>
      <c r="Z265" s="191"/>
      <c r="AA265" s="191"/>
    </row>
    <row r="266" spans="1:54" x14ac:dyDescent="0.2">
      <c r="A266" s="202"/>
      <c r="B266" s="202"/>
      <c r="C266" s="202"/>
      <c r="D266" s="202"/>
      <c r="E266" s="202"/>
      <c r="F266" s="202"/>
      <c r="G266" s="202"/>
      <c r="H266" s="202"/>
      <c r="I266" s="202"/>
      <c r="J266" s="202"/>
      <c r="K266" s="202"/>
      <c r="L266" s="202"/>
      <c r="M266" s="202"/>
      <c r="N266" s="204"/>
      <c r="O266" s="198" t="s">
        <v>68</v>
      </c>
      <c r="P266" s="199"/>
      <c r="Q266" s="199"/>
      <c r="R266" s="199"/>
      <c r="S266" s="199"/>
      <c r="T266" s="199"/>
      <c r="U266" s="200"/>
      <c r="V266" s="37" t="s">
        <v>69</v>
      </c>
      <c r="W266" s="190">
        <f>IFERROR(SUMPRODUCT(W261:W264*H261:H264),"0")</f>
        <v>200</v>
      </c>
      <c r="X266" s="190">
        <f>IFERROR(SUMPRODUCT(X261:X264*H261:H264),"0")</f>
        <v>200</v>
      </c>
      <c r="Y266" s="37"/>
      <c r="Z266" s="191"/>
      <c r="AA266" s="191"/>
    </row>
    <row r="267" spans="1:54" ht="14.25" hidden="1" customHeight="1" x14ac:dyDescent="0.25">
      <c r="A267" s="201" t="s">
        <v>122</v>
      </c>
      <c r="B267" s="202"/>
      <c r="C267" s="202"/>
      <c r="D267" s="202"/>
      <c r="E267" s="202"/>
      <c r="F267" s="202"/>
      <c r="G267" s="202"/>
      <c r="H267" s="202"/>
      <c r="I267" s="202"/>
      <c r="J267" s="202"/>
      <c r="K267" s="202"/>
      <c r="L267" s="202"/>
      <c r="M267" s="202"/>
      <c r="N267" s="202"/>
      <c r="O267" s="202"/>
      <c r="P267" s="202"/>
      <c r="Q267" s="202"/>
      <c r="R267" s="202"/>
      <c r="S267" s="202"/>
      <c r="T267" s="202"/>
      <c r="U267" s="202"/>
      <c r="V267" s="202"/>
      <c r="W267" s="202"/>
      <c r="X267" s="202"/>
      <c r="Y267" s="202"/>
      <c r="Z267" s="181"/>
      <c r="AA267" s="181"/>
    </row>
    <row r="268" spans="1:54" ht="27" hidden="1" customHeight="1" x14ac:dyDescent="0.25">
      <c r="A268" s="54" t="s">
        <v>319</v>
      </c>
      <c r="B268" s="54" t="s">
        <v>320</v>
      </c>
      <c r="C268" s="31">
        <v>4301135304</v>
      </c>
      <c r="D268" s="197">
        <v>4640242181240</v>
      </c>
      <c r="E268" s="196"/>
      <c r="F268" s="187">
        <v>0.3</v>
      </c>
      <c r="G268" s="32">
        <v>9</v>
      </c>
      <c r="H268" s="187">
        <v>2.7</v>
      </c>
      <c r="I268" s="187">
        <v>2.8</v>
      </c>
      <c r="J268" s="32">
        <v>234</v>
      </c>
      <c r="K268" s="32" t="s">
        <v>118</v>
      </c>
      <c r="L268" s="33" t="s">
        <v>66</v>
      </c>
      <c r="M268" s="33"/>
      <c r="N268" s="32">
        <v>180</v>
      </c>
      <c r="O268" s="274" t="s">
        <v>321</v>
      </c>
      <c r="P268" s="195"/>
      <c r="Q268" s="195"/>
      <c r="R268" s="195"/>
      <c r="S268" s="196"/>
      <c r="T268" s="34"/>
      <c r="U268" s="34"/>
      <c r="V268" s="35" t="s">
        <v>67</v>
      </c>
      <c r="W268" s="188">
        <v>0</v>
      </c>
      <c r="X268" s="189">
        <f t="shared" ref="X268:X287" si="6">IFERROR(IF(W268="","",W268),"")</f>
        <v>0</v>
      </c>
      <c r="Y268" s="36">
        <f>IFERROR(IF(W268="","",W268*0.00502),"")</f>
        <v>0</v>
      </c>
      <c r="Z268" s="56"/>
      <c r="AA268" s="57" t="s">
        <v>322</v>
      </c>
      <c r="AE268" s="61"/>
      <c r="BB268" s="159" t="s">
        <v>76</v>
      </c>
    </row>
    <row r="269" spans="1:54" ht="27" hidden="1" customHeight="1" x14ac:dyDescent="0.25">
      <c r="A269" s="54" t="s">
        <v>323</v>
      </c>
      <c r="B269" s="54" t="s">
        <v>324</v>
      </c>
      <c r="C269" s="31">
        <v>4301135310</v>
      </c>
      <c r="D269" s="197">
        <v>4640242181318</v>
      </c>
      <c r="E269" s="196"/>
      <c r="F269" s="187">
        <v>0.3</v>
      </c>
      <c r="G269" s="32">
        <v>9</v>
      </c>
      <c r="H269" s="187">
        <v>2.7</v>
      </c>
      <c r="I269" s="187">
        <v>2.9079999999999999</v>
      </c>
      <c r="J269" s="32">
        <v>234</v>
      </c>
      <c r="K269" s="32" t="s">
        <v>118</v>
      </c>
      <c r="L269" s="33" t="s">
        <v>66</v>
      </c>
      <c r="M269" s="33"/>
      <c r="N269" s="32">
        <v>180</v>
      </c>
      <c r="O269" s="247" t="s">
        <v>325</v>
      </c>
      <c r="P269" s="195"/>
      <c r="Q269" s="195"/>
      <c r="R269" s="195"/>
      <c r="S269" s="196"/>
      <c r="T269" s="34"/>
      <c r="U269" s="34"/>
      <c r="V269" s="35" t="s">
        <v>67</v>
      </c>
      <c r="W269" s="188">
        <v>0</v>
      </c>
      <c r="X269" s="189">
        <f t="shared" si="6"/>
        <v>0</v>
      </c>
      <c r="Y269" s="36">
        <f>IFERROR(IF(W269="","",W269*0.00502),"")</f>
        <v>0</v>
      </c>
      <c r="Z269" s="56"/>
      <c r="AA269" s="57" t="s">
        <v>322</v>
      </c>
      <c r="AE269" s="61"/>
      <c r="BB269" s="160" t="s">
        <v>76</v>
      </c>
    </row>
    <row r="270" spans="1:54" ht="27" hidden="1" customHeight="1" x14ac:dyDescent="0.25">
      <c r="A270" s="54" t="s">
        <v>326</v>
      </c>
      <c r="B270" s="54" t="s">
        <v>327</v>
      </c>
      <c r="C270" s="31">
        <v>4301135309</v>
      </c>
      <c r="D270" s="197">
        <v>4640242181332</v>
      </c>
      <c r="E270" s="196"/>
      <c r="F270" s="187">
        <v>0.3</v>
      </c>
      <c r="G270" s="32">
        <v>9</v>
      </c>
      <c r="H270" s="187">
        <v>2.7</v>
      </c>
      <c r="I270" s="187">
        <v>2.9079999999999999</v>
      </c>
      <c r="J270" s="32">
        <v>234</v>
      </c>
      <c r="K270" s="32" t="s">
        <v>118</v>
      </c>
      <c r="L270" s="33" t="s">
        <v>66</v>
      </c>
      <c r="M270" s="33"/>
      <c r="N270" s="32">
        <v>180</v>
      </c>
      <c r="O270" s="291" t="s">
        <v>328</v>
      </c>
      <c r="P270" s="195"/>
      <c r="Q270" s="195"/>
      <c r="R270" s="195"/>
      <c r="S270" s="196"/>
      <c r="T270" s="34"/>
      <c r="U270" s="34"/>
      <c r="V270" s="35" t="s">
        <v>67</v>
      </c>
      <c r="W270" s="188">
        <v>0</v>
      </c>
      <c r="X270" s="189">
        <f t="shared" si="6"/>
        <v>0</v>
      </c>
      <c r="Y270" s="36">
        <f>IFERROR(IF(W270="","",W270*0.00502),"")</f>
        <v>0</v>
      </c>
      <c r="Z270" s="56"/>
      <c r="AA270" s="57" t="s">
        <v>322</v>
      </c>
      <c r="AE270" s="61"/>
      <c r="BB270" s="161" t="s">
        <v>76</v>
      </c>
    </row>
    <row r="271" spans="1:54" ht="27" hidden="1" customHeight="1" x14ac:dyDescent="0.25">
      <c r="A271" s="54" t="s">
        <v>329</v>
      </c>
      <c r="B271" s="54" t="s">
        <v>330</v>
      </c>
      <c r="C271" s="31">
        <v>4301135308</v>
      </c>
      <c r="D271" s="197">
        <v>4640242181349</v>
      </c>
      <c r="E271" s="196"/>
      <c r="F271" s="187">
        <v>0.3</v>
      </c>
      <c r="G271" s="32">
        <v>9</v>
      </c>
      <c r="H271" s="187">
        <v>2.7</v>
      </c>
      <c r="I271" s="187">
        <v>2.9079999999999999</v>
      </c>
      <c r="J271" s="32">
        <v>234</v>
      </c>
      <c r="K271" s="32" t="s">
        <v>118</v>
      </c>
      <c r="L271" s="33" t="s">
        <v>66</v>
      </c>
      <c r="M271" s="33"/>
      <c r="N271" s="32">
        <v>180</v>
      </c>
      <c r="O271" s="266" t="s">
        <v>331</v>
      </c>
      <c r="P271" s="195"/>
      <c r="Q271" s="195"/>
      <c r="R271" s="195"/>
      <c r="S271" s="196"/>
      <c r="T271" s="34"/>
      <c r="U271" s="34"/>
      <c r="V271" s="35" t="s">
        <v>67</v>
      </c>
      <c r="W271" s="188">
        <v>0</v>
      </c>
      <c r="X271" s="189">
        <f t="shared" si="6"/>
        <v>0</v>
      </c>
      <c r="Y271" s="36">
        <f>IFERROR(IF(W271="","",W271*0.00502),"")</f>
        <v>0</v>
      </c>
      <c r="Z271" s="56"/>
      <c r="AA271" s="57" t="s">
        <v>322</v>
      </c>
      <c r="AE271" s="61"/>
      <c r="BB271" s="162" t="s">
        <v>76</v>
      </c>
    </row>
    <row r="272" spans="1:54" ht="27" hidden="1" customHeight="1" x14ac:dyDescent="0.25">
      <c r="A272" s="54" t="s">
        <v>332</v>
      </c>
      <c r="B272" s="54" t="s">
        <v>333</v>
      </c>
      <c r="C272" s="31">
        <v>4301135307</v>
      </c>
      <c r="D272" s="197">
        <v>4640242181370</v>
      </c>
      <c r="E272" s="196"/>
      <c r="F272" s="187">
        <v>0.3</v>
      </c>
      <c r="G272" s="32">
        <v>9</v>
      </c>
      <c r="H272" s="187">
        <v>2.7</v>
      </c>
      <c r="I272" s="187">
        <v>2.9079999999999999</v>
      </c>
      <c r="J272" s="32">
        <v>234</v>
      </c>
      <c r="K272" s="32" t="s">
        <v>118</v>
      </c>
      <c r="L272" s="33" t="s">
        <v>66</v>
      </c>
      <c r="M272" s="33"/>
      <c r="N272" s="32">
        <v>180</v>
      </c>
      <c r="O272" s="365" t="s">
        <v>334</v>
      </c>
      <c r="P272" s="195"/>
      <c r="Q272" s="195"/>
      <c r="R272" s="195"/>
      <c r="S272" s="196"/>
      <c r="T272" s="34"/>
      <c r="U272" s="34"/>
      <c r="V272" s="35" t="s">
        <v>67</v>
      </c>
      <c r="W272" s="188">
        <v>0</v>
      </c>
      <c r="X272" s="189">
        <f t="shared" si="6"/>
        <v>0</v>
      </c>
      <c r="Y272" s="36">
        <f>IFERROR(IF(W272="","",W272*0.00502),"")</f>
        <v>0</v>
      </c>
      <c r="Z272" s="56"/>
      <c r="AA272" s="57" t="s">
        <v>322</v>
      </c>
      <c r="AE272" s="61"/>
      <c r="BB272" s="163" t="s">
        <v>76</v>
      </c>
    </row>
    <row r="273" spans="1:54" ht="27" customHeight="1" x14ac:dyDescent="0.25">
      <c r="A273" s="54" t="s">
        <v>335</v>
      </c>
      <c r="B273" s="54" t="s">
        <v>336</v>
      </c>
      <c r="C273" s="31">
        <v>4301135191</v>
      </c>
      <c r="D273" s="197">
        <v>4640242180373</v>
      </c>
      <c r="E273" s="196"/>
      <c r="F273" s="187">
        <v>3</v>
      </c>
      <c r="G273" s="32">
        <v>1</v>
      </c>
      <c r="H273" s="187">
        <v>3</v>
      </c>
      <c r="I273" s="187">
        <v>3.1920000000000002</v>
      </c>
      <c r="J273" s="32">
        <v>126</v>
      </c>
      <c r="K273" s="32" t="s">
        <v>75</v>
      </c>
      <c r="L273" s="33" t="s">
        <v>66</v>
      </c>
      <c r="M273" s="33"/>
      <c r="N273" s="32">
        <v>180</v>
      </c>
      <c r="O273" s="268" t="s">
        <v>337</v>
      </c>
      <c r="P273" s="195"/>
      <c r="Q273" s="195"/>
      <c r="R273" s="195"/>
      <c r="S273" s="196"/>
      <c r="T273" s="34"/>
      <c r="U273" s="34"/>
      <c r="V273" s="35" t="s">
        <v>67</v>
      </c>
      <c r="W273" s="188">
        <v>10</v>
      </c>
      <c r="X273" s="189">
        <f t="shared" si="6"/>
        <v>10</v>
      </c>
      <c r="Y273" s="36">
        <f t="shared" ref="Y273:Y278" si="7">IFERROR(IF(W273="","",W273*0.00936),"")</f>
        <v>9.3600000000000003E-2</v>
      </c>
      <c r="Z273" s="56"/>
      <c r="AA273" s="57"/>
      <c r="AE273" s="61"/>
      <c r="BB273" s="164" t="s">
        <v>76</v>
      </c>
    </row>
    <row r="274" spans="1:54" ht="27" hidden="1" customHeight="1" x14ac:dyDescent="0.25">
      <c r="A274" s="54" t="s">
        <v>338</v>
      </c>
      <c r="B274" s="54" t="s">
        <v>339</v>
      </c>
      <c r="C274" s="31">
        <v>4301135195</v>
      </c>
      <c r="D274" s="197">
        <v>4640242180366</v>
      </c>
      <c r="E274" s="196"/>
      <c r="F274" s="187">
        <v>3.7</v>
      </c>
      <c r="G274" s="32">
        <v>1</v>
      </c>
      <c r="H274" s="187">
        <v>3.7</v>
      </c>
      <c r="I274" s="187">
        <v>3.8919999999999999</v>
      </c>
      <c r="J274" s="32">
        <v>126</v>
      </c>
      <c r="K274" s="32" t="s">
        <v>75</v>
      </c>
      <c r="L274" s="33" t="s">
        <v>66</v>
      </c>
      <c r="M274" s="33"/>
      <c r="N274" s="32">
        <v>180</v>
      </c>
      <c r="O274" s="376" t="s">
        <v>340</v>
      </c>
      <c r="P274" s="195"/>
      <c r="Q274" s="195"/>
      <c r="R274" s="195"/>
      <c r="S274" s="196"/>
      <c r="T274" s="34"/>
      <c r="U274" s="34"/>
      <c r="V274" s="35" t="s">
        <v>67</v>
      </c>
      <c r="W274" s="188">
        <v>0</v>
      </c>
      <c r="X274" s="189">
        <f t="shared" si="6"/>
        <v>0</v>
      </c>
      <c r="Y274" s="36">
        <f t="shared" si="7"/>
        <v>0</v>
      </c>
      <c r="Z274" s="56"/>
      <c r="AA274" s="57"/>
      <c r="AE274" s="61"/>
      <c r="BB274" s="165" t="s">
        <v>76</v>
      </c>
    </row>
    <row r="275" spans="1:54" ht="27" hidden="1" customHeight="1" x14ac:dyDescent="0.25">
      <c r="A275" s="54" t="s">
        <v>341</v>
      </c>
      <c r="B275" s="54" t="s">
        <v>342</v>
      </c>
      <c r="C275" s="31">
        <v>4301135188</v>
      </c>
      <c r="D275" s="197">
        <v>4640242180335</v>
      </c>
      <c r="E275" s="196"/>
      <c r="F275" s="187">
        <v>3.7</v>
      </c>
      <c r="G275" s="32">
        <v>1</v>
      </c>
      <c r="H275" s="187">
        <v>3.7</v>
      </c>
      <c r="I275" s="187">
        <v>3.8919999999999999</v>
      </c>
      <c r="J275" s="32">
        <v>126</v>
      </c>
      <c r="K275" s="32" t="s">
        <v>75</v>
      </c>
      <c r="L275" s="33" t="s">
        <v>66</v>
      </c>
      <c r="M275" s="33"/>
      <c r="N275" s="32">
        <v>180</v>
      </c>
      <c r="O275" s="389" t="s">
        <v>343</v>
      </c>
      <c r="P275" s="195"/>
      <c r="Q275" s="195"/>
      <c r="R275" s="195"/>
      <c r="S275" s="196"/>
      <c r="T275" s="34"/>
      <c r="U275" s="34"/>
      <c r="V275" s="35" t="s">
        <v>67</v>
      </c>
      <c r="W275" s="188">
        <v>0</v>
      </c>
      <c r="X275" s="189">
        <f t="shared" si="6"/>
        <v>0</v>
      </c>
      <c r="Y275" s="36">
        <f t="shared" si="7"/>
        <v>0</v>
      </c>
      <c r="Z275" s="56"/>
      <c r="AA275" s="57"/>
      <c r="AE275" s="61"/>
      <c r="BB275" s="166" t="s">
        <v>76</v>
      </c>
    </row>
    <row r="276" spans="1:54" ht="37.5" hidden="1" customHeight="1" x14ac:dyDescent="0.25">
      <c r="A276" s="54" t="s">
        <v>344</v>
      </c>
      <c r="B276" s="54" t="s">
        <v>345</v>
      </c>
      <c r="C276" s="31">
        <v>4301135189</v>
      </c>
      <c r="D276" s="197">
        <v>4640242180342</v>
      </c>
      <c r="E276" s="196"/>
      <c r="F276" s="187">
        <v>3.7</v>
      </c>
      <c r="G276" s="32">
        <v>1</v>
      </c>
      <c r="H276" s="187">
        <v>3.7</v>
      </c>
      <c r="I276" s="187">
        <v>3.8919999999999999</v>
      </c>
      <c r="J276" s="32">
        <v>126</v>
      </c>
      <c r="K276" s="32" t="s">
        <v>75</v>
      </c>
      <c r="L276" s="33" t="s">
        <v>66</v>
      </c>
      <c r="M276" s="33"/>
      <c r="N276" s="32">
        <v>180</v>
      </c>
      <c r="O276" s="350" t="str">
        <f>HYPERLINK("https://abi.ru/products/Замороженные/Зареченские/Зареченские продукты ПГП/Снеки/P003482/","Снеки «Жар-ладушки с мясом, картофелем и грибами» Весовые ТМ «Зареченские» 3,7 кг")</f>
        <v>Снеки «Жар-ладушки с мясом, картофелем и грибами» Весовые ТМ «Зареченские» 3,7 кг</v>
      </c>
      <c r="P276" s="195"/>
      <c r="Q276" s="195"/>
      <c r="R276" s="195"/>
      <c r="S276" s="196"/>
      <c r="T276" s="34"/>
      <c r="U276" s="34"/>
      <c r="V276" s="35" t="s">
        <v>67</v>
      </c>
      <c r="W276" s="188">
        <v>0</v>
      </c>
      <c r="X276" s="189">
        <f t="shared" si="6"/>
        <v>0</v>
      </c>
      <c r="Y276" s="36">
        <f t="shared" si="7"/>
        <v>0</v>
      </c>
      <c r="Z276" s="56"/>
      <c r="AA276" s="57"/>
      <c r="AE276" s="61"/>
      <c r="BB276" s="167" t="s">
        <v>76</v>
      </c>
    </row>
    <row r="277" spans="1:54" ht="37.5" customHeight="1" x14ac:dyDescent="0.25">
      <c r="A277" s="54" t="s">
        <v>346</v>
      </c>
      <c r="B277" s="54" t="s">
        <v>347</v>
      </c>
      <c r="C277" s="31">
        <v>4301135190</v>
      </c>
      <c r="D277" s="197">
        <v>4640242180359</v>
      </c>
      <c r="E277" s="196"/>
      <c r="F277" s="187">
        <v>3.7</v>
      </c>
      <c r="G277" s="32">
        <v>1</v>
      </c>
      <c r="H277" s="187">
        <v>3.7</v>
      </c>
      <c r="I277" s="187">
        <v>3.8919999999999999</v>
      </c>
      <c r="J277" s="32">
        <v>126</v>
      </c>
      <c r="K277" s="32" t="s">
        <v>75</v>
      </c>
      <c r="L277" s="33" t="s">
        <v>66</v>
      </c>
      <c r="M277" s="33"/>
      <c r="N277" s="32">
        <v>180</v>
      </c>
      <c r="O277" s="391" t="s">
        <v>348</v>
      </c>
      <c r="P277" s="195"/>
      <c r="Q277" s="195"/>
      <c r="R277" s="195"/>
      <c r="S277" s="196"/>
      <c r="T277" s="34"/>
      <c r="U277" s="34"/>
      <c r="V277" s="35" t="s">
        <v>67</v>
      </c>
      <c r="W277" s="188">
        <v>11</v>
      </c>
      <c r="X277" s="189">
        <f t="shared" si="6"/>
        <v>11</v>
      </c>
      <c r="Y277" s="36">
        <f t="shared" si="7"/>
        <v>0.10296</v>
      </c>
      <c r="Z277" s="56"/>
      <c r="AA277" s="57"/>
      <c r="AE277" s="61"/>
      <c r="BB277" s="168" t="s">
        <v>76</v>
      </c>
    </row>
    <row r="278" spans="1:54" ht="37.5" hidden="1" customHeight="1" x14ac:dyDescent="0.25">
      <c r="A278" s="54" t="s">
        <v>349</v>
      </c>
      <c r="B278" s="54" t="s">
        <v>350</v>
      </c>
      <c r="C278" s="31">
        <v>4301135187</v>
      </c>
      <c r="D278" s="197">
        <v>4640242180328</v>
      </c>
      <c r="E278" s="196"/>
      <c r="F278" s="187">
        <v>3.5</v>
      </c>
      <c r="G278" s="32">
        <v>1</v>
      </c>
      <c r="H278" s="187">
        <v>3.5</v>
      </c>
      <c r="I278" s="187">
        <v>3.6920000000000002</v>
      </c>
      <c r="J278" s="32">
        <v>126</v>
      </c>
      <c r="K278" s="32" t="s">
        <v>75</v>
      </c>
      <c r="L278" s="33" t="s">
        <v>66</v>
      </c>
      <c r="M278" s="33"/>
      <c r="N278" s="32">
        <v>180</v>
      </c>
      <c r="O278" s="358" t="s">
        <v>351</v>
      </c>
      <c r="P278" s="195"/>
      <c r="Q278" s="195"/>
      <c r="R278" s="195"/>
      <c r="S278" s="196"/>
      <c r="T278" s="34"/>
      <c r="U278" s="34"/>
      <c r="V278" s="35" t="s">
        <v>67</v>
      </c>
      <c r="W278" s="188">
        <v>0</v>
      </c>
      <c r="X278" s="189">
        <f t="shared" si="6"/>
        <v>0</v>
      </c>
      <c r="Y278" s="36">
        <f t="shared" si="7"/>
        <v>0</v>
      </c>
      <c r="Z278" s="56"/>
      <c r="AA278" s="57"/>
      <c r="AE278" s="61"/>
      <c r="BB278" s="169" t="s">
        <v>76</v>
      </c>
    </row>
    <row r="279" spans="1:54" ht="27" hidden="1" customHeight="1" x14ac:dyDescent="0.25">
      <c r="A279" s="54" t="s">
        <v>352</v>
      </c>
      <c r="B279" s="54" t="s">
        <v>353</v>
      </c>
      <c r="C279" s="31">
        <v>4301135186</v>
      </c>
      <c r="D279" s="197">
        <v>4640242180311</v>
      </c>
      <c r="E279" s="196"/>
      <c r="F279" s="187">
        <v>5.5</v>
      </c>
      <c r="G279" s="32">
        <v>1</v>
      </c>
      <c r="H279" s="187">
        <v>5.5</v>
      </c>
      <c r="I279" s="187">
        <v>5.7350000000000003</v>
      </c>
      <c r="J279" s="32">
        <v>84</v>
      </c>
      <c r="K279" s="32" t="s">
        <v>65</v>
      </c>
      <c r="L279" s="33" t="s">
        <v>66</v>
      </c>
      <c r="M279" s="33"/>
      <c r="N279" s="32">
        <v>180</v>
      </c>
      <c r="O279" s="319" t="s">
        <v>354</v>
      </c>
      <c r="P279" s="195"/>
      <c r="Q279" s="195"/>
      <c r="R279" s="195"/>
      <c r="S279" s="196"/>
      <c r="T279" s="34"/>
      <c r="U279" s="34"/>
      <c r="V279" s="35" t="s">
        <v>67</v>
      </c>
      <c r="W279" s="188">
        <v>0</v>
      </c>
      <c r="X279" s="189">
        <f t="shared" si="6"/>
        <v>0</v>
      </c>
      <c r="Y279" s="36">
        <f>IFERROR(IF(W279="","",W279*0.0155),"")</f>
        <v>0</v>
      </c>
      <c r="Z279" s="56"/>
      <c r="AA279" s="57"/>
      <c r="AE279" s="61"/>
      <c r="BB279" s="170" t="s">
        <v>76</v>
      </c>
    </row>
    <row r="280" spans="1:54" ht="27" hidden="1" customHeight="1" x14ac:dyDescent="0.25">
      <c r="A280" s="54" t="s">
        <v>355</v>
      </c>
      <c r="B280" s="54" t="s">
        <v>356</v>
      </c>
      <c r="C280" s="31">
        <v>4301135194</v>
      </c>
      <c r="D280" s="197">
        <v>4640242180380</v>
      </c>
      <c r="E280" s="196"/>
      <c r="F280" s="187">
        <v>1.8</v>
      </c>
      <c r="G280" s="32">
        <v>1</v>
      </c>
      <c r="H280" s="187">
        <v>1.8</v>
      </c>
      <c r="I280" s="187">
        <v>1.9119999999999999</v>
      </c>
      <c r="J280" s="32">
        <v>234</v>
      </c>
      <c r="K280" s="32" t="s">
        <v>118</v>
      </c>
      <c r="L280" s="33" t="s">
        <v>66</v>
      </c>
      <c r="M280" s="33"/>
      <c r="N280" s="32">
        <v>180</v>
      </c>
      <c r="O280" s="338" t="s">
        <v>357</v>
      </c>
      <c r="P280" s="195"/>
      <c r="Q280" s="195"/>
      <c r="R280" s="195"/>
      <c r="S280" s="196"/>
      <c r="T280" s="34"/>
      <c r="U280" s="34"/>
      <c r="V280" s="35" t="s">
        <v>67</v>
      </c>
      <c r="W280" s="188">
        <v>0</v>
      </c>
      <c r="X280" s="189">
        <f t="shared" si="6"/>
        <v>0</v>
      </c>
      <c r="Y280" s="36">
        <f>IFERROR(IF(W280="","",W280*0.00502),"")</f>
        <v>0</v>
      </c>
      <c r="Z280" s="56"/>
      <c r="AA280" s="57"/>
      <c r="AE280" s="61"/>
      <c r="BB280" s="171" t="s">
        <v>76</v>
      </c>
    </row>
    <row r="281" spans="1:54" ht="27" hidden="1" customHeight="1" x14ac:dyDescent="0.25">
      <c r="A281" s="54" t="s">
        <v>358</v>
      </c>
      <c r="B281" s="54" t="s">
        <v>359</v>
      </c>
      <c r="C281" s="31">
        <v>4301135192</v>
      </c>
      <c r="D281" s="197">
        <v>4640242180380</v>
      </c>
      <c r="E281" s="196"/>
      <c r="F281" s="187">
        <v>3.7</v>
      </c>
      <c r="G281" s="32">
        <v>1</v>
      </c>
      <c r="H281" s="187">
        <v>3.7</v>
      </c>
      <c r="I281" s="187">
        <v>3.8919999999999999</v>
      </c>
      <c r="J281" s="32">
        <v>126</v>
      </c>
      <c r="K281" s="32" t="s">
        <v>75</v>
      </c>
      <c r="L281" s="33" t="s">
        <v>66</v>
      </c>
      <c r="M281" s="33"/>
      <c r="N281" s="32">
        <v>180</v>
      </c>
      <c r="O281" s="322" t="s">
        <v>360</v>
      </c>
      <c r="P281" s="195"/>
      <c r="Q281" s="195"/>
      <c r="R281" s="195"/>
      <c r="S281" s="196"/>
      <c r="T281" s="34"/>
      <c r="U281" s="34"/>
      <c r="V281" s="35" t="s">
        <v>67</v>
      </c>
      <c r="W281" s="188">
        <v>0</v>
      </c>
      <c r="X281" s="189">
        <f t="shared" si="6"/>
        <v>0</v>
      </c>
      <c r="Y281" s="36">
        <f>IFERROR(IF(W281="","",W281*0.00936),"")</f>
        <v>0</v>
      </c>
      <c r="Z281" s="56"/>
      <c r="AA281" s="57"/>
      <c r="AE281" s="61"/>
      <c r="BB281" s="172" t="s">
        <v>76</v>
      </c>
    </row>
    <row r="282" spans="1:54" ht="27" hidden="1" customHeight="1" x14ac:dyDescent="0.25">
      <c r="A282" s="54" t="s">
        <v>361</v>
      </c>
      <c r="B282" s="54" t="s">
        <v>362</v>
      </c>
      <c r="C282" s="31">
        <v>4301135193</v>
      </c>
      <c r="D282" s="197">
        <v>4640242180403</v>
      </c>
      <c r="E282" s="196"/>
      <c r="F282" s="187">
        <v>3</v>
      </c>
      <c r="G282" s="32">
        <v>1</v>
      </c>
      <c r="H282" s="187">
        <v>3</v>
      </c>
      <c r="I282" s="187">
        <v>3.1920000000000002</v>
      </c>
      <c r="J282" s="32">
        <v>126</v>
      </c>
      <c r="K282" s="32" t="s">
        <v>75</v>
      </c>
      <c r="L282" s="33" t="s">
        <v>66</v>
      </c>
      <c r="M282" s="33"/>
      <c r="N282" s="32">
        <v>180</v>
      </c>
      <c r="O282" s="342" t="s">
        <v>363</v>
      </c>
      <c r="P282" s="195"/>
      <c r="Q282" s="195"/>
      <c r="R282" s="195"/>
      <c r="S282" s="196"/>
      <c r="T282" s="34"/>
      <c r="U282" s="34"/>
      <c r="V282" s="35" t="s">
        <v>67</v>
      </c>
      <c r="W282" s="188">
        <v>0</v>
      </c>
      <c r="X282" s="189">
        <f t="shared" si="6"/>
        <v>0</v>
      </c>
      <c r="Y282" s="36">
        <f>IFERROR(IF(W282="","",W282*0.00936),"")</f>
        <v>0</v>
      </c>
      <c r="Z282" s="56"/>
      <c r="AA282" s="57"/>
      <c r="AE282" s="61"/>
      <c r="BB282" s="173" t="s">
        <v>76</v>
      </c>
    </row>
    <row r="283" spans="1:54" ht="27" hidden="1" customHeight="1" x14ac:dyDescent="0.25">
      <c r="A283" s="54" t="s">
        <v>364</v>
      </c>
      <c r="B283" s="54" t="s">
        <v>365</v>
      </c>
      <c r="C283" s="31">
        <v>4301135306</v>
      </c>
      <c r="D283" s="197">
        <v>4640242181578</v>
      </c>
      <c r="E283" s="196"/>
      <c r="F283" s="187">
        <v>0.3</v>
      </c>
      <c r="G283" s="32">
        <v>9</v>
      </c>
      <c r="H283" s="187">
        <v>2.7</v>
      </c>
      <c r="I283" s="187">
        <v>2.8450000000000002</v>
      </c>
      <c r="J283" s="32">
        <v>234</v>
      </c>
      <c r="K283" s="32" t="s">
        <v>118</v>
      </c>
      <c r="L283" s="33" t="s">
        <v>66</v>
      </c>
      <c r="M283" s="33"/>
      <c r="N283" s="32">
        <v>180</v>
      </c>
      <c r="O283" s="351" t="s">
        <v>366</v>
      </c>
      <c r="P283" s="195"/>
      <c r="Q283" s="195"/>
      <c r="R283" s="195"/>
      <c r="S283" s="196"/>
      <c r="T283" s="34"/>
      <c r="U283" s="34"/>
      <c r="V283" s="35" t="s">
        <v>67</v>
      </c>
      <c r="W283" s="188">
        <v>0</v>
      </c>
      <c r="X283" s="189">
        <f t="shared" si="6"/>
        <v>0</v>
      </c>
      <c r="Y283" s="36">
        <f>IFERROR(IF(W283="","",W283*0.00502),"")</f>
        <v>0</v>
      </c>
      <c r="Z283" s="56"/>
      <c r="AA283" s="57"/>
      <c r="AE283" s="61"/>
      <c r="BB283" s="174" t="s">
        <v>76</v>
      </c>
    </row>
    <row r="284" spans="1:54" ht="27" hidden="1" customHeight="1" x14ac:dyDescent="0.25">
      <c r="A284" s="54" t="s">
        <v>367</v>
      </c>
      <c r="B284" s="54" t="s">
        <v>368</v>
      </c>
      <c r="C284" s="31">
        <v>4301135305</v>
      </c>
      <c r="D284" s="197">
        <v>4640242181394</v>
      </c>
      <c r="E284" s="196"/>
      <c r="F284" s="187">
        <v>0.3</v>
      </c>
      <c r="G284" s="32">
        <v>9</v>
      </c>
      <c r="H284" s="187">
        <v>2.7</v>
      </c>
      <c r="I284" s="187">
        <v>2.8450000000000002</v>
      </c>
      <c r="J284" s="32">
        <v>234</v>
      </c>
      <c r="K284" s="32" t="s">
        <v>118</v>
      </c>
      <c r="L284" s="33" t="s">
        <v>66</v>
      </c>
      <c r="M284" s="33"/>
      <c r="N284" s="32">
        <v>180</v>
      </c>
      <c r="O284" s="256" t="s">
        <v>369</v>
      </c>
      <c r="P284" s="195"/>
      <c r="Q284" s="195"/>
      <c r="R284" s="195"/>
      <c r="S284" s="196"/>
      <c r="T284" s="34"/>
      <c r="U284" s="34"/>
      <c r="V284" s="35" t="s">
        <v>67</v>
      </c>
      <c r="W284" s="188">
        <v>0</v>
      </c>
      <c r="X284" s="189">
        <f t="shared" si="6"/>
        <v>0</v>
      </c>
      <c r="Y284" s="36">
        <f>IFERROR(IF(W284="","",W284*0.00502),"")</f>
        <v>0</v>
      </c>
      <c r="Z284" s="56"/>
      <c r="AA284" s="57"/>
      <c r="AE284" s="61"/>
      <c r="BB284" s="175" t="s">
        <v>76</v>
      </c>
    </row>
    <row r="285" spans="1:54" ht="27" hidden="1" customHeight="1" x14ac:dyDescent="0.25">
      <c r="A285" s="54" t="s">
        <v>370</v>
      </c>
      <c r="B285" s="54" t="s">
        <v>371</v>
      </c>
      <c r="C285" s="31">
        <v>4301135153</v>
      </c>
      <c r="D285" s="197">
        <v>4607111037480</v>
      </c>
      <c r="E285" s="196"/>
      <c r="F285" s="187">
        <v>1</v>
      </c>
      <c r="G285" s="32">
        <v>4</v>
      </c>
      <c r="H285" s="187">
        <v>4</v>
      </c>
      <c r="I285" s="187">
        <v>4.2724000000000002</v>
      </c>
      <c r="J285" s="32">
        <v>84</v>
      </c>
      <c r="K285" s="32" t="s">
        <v>65</v>
      </c>
      <c r="L285" s="33" t="s">
        <v>66</v>
      </c>
      <c r="M285" s="33"/>
      <c r="N285" s="32">
        <v>180</v>
      </c>
      <c r="O285" s="354" t="str">
        <f>HYPERLINK("https://abi.ru/products/Замороженные/Зареченские/Зареченские продукты ПГП/Снеки/P003151/","Смак-мени с картофелем и сочной грудинкой Зареченские продукты Фикс.вес 1 Зареченские")</f>
        <v>Смак-мени с картофелем и сочной грудинкой Зареченские продукты Фикс.вес 1 Зареченские</v>
      </c>
      <c r="P285" s="195"/>
      <c r="Q285" s="195"/>
      <c r="R285" s="195"/>
      <c r="S285" s="196"/>
      <c r="T285" s="34"/>
      <c r="U285" s="34"/>
      <c r="V285" s="35" t="s">
        <v>67</v>
      </c>
      <c r="W285" s="188">
        <v>0</v>
      </c>
      <c r="X285" s="189">
        <f t="shared" si="6"/>
        <v>0</v>
      </c>
      <c r="Y285" s="36">
        <f>IFERROR(IF(W285="","",W285*0.0155),"")</f>
        <v>0</v>
      </c>
      <c r="Z285" s="56"/>
      <c r="AA285" s="57"/>
      <c r="AE285" s="61"/>
      <c r="BB285" s="176" t="s">
        <v>76</v>
      </c>
    </row>
    <row r="286" spans="1:54" ht="27" hidden="1" customHeight="1" x14ac:dyDescent="0.25">
      <c r="A286" s="54" t="s">
        <v>372</v>
      </c>
      <c r="B286" s="54" t="s">
        <v>373</v>
      </c>
      <c r="C286" s="31">
        <v>4301135152</v>
      </c>
      <c r="D286" s="197">
        <v>4607111037473</v>
      </c>
      <c r="E286" s="196"/>
      <c r="F286" s="187">
        <v>1</v>
      </c>
      <c r="G286" s="32">
        <v>4</v>
      </c>
      <c r="H286" s="187">
        <v>4</v>
      </c>
      <c r="I286" s="187">
        <v>4.2300000000000004</v>
      </c>
      <c r="J286" s="32">
        <v>84</v>
      </c>
      <c r="K286" s="32" t="s">
        <v>65</v>
      </c>
      <c r="L286" s="33" t="s">
        <v>66</v>
      </c>
      <c r="M286" s="33"/>
      <c r="N286" s="32">
        <v>180</v>
      </c>
      <c r="O286" s="264" t="str">
        <f>HYPERLINK("https://abi.ru/products/Замороженные/Зареченские/Зареченские продукты ПГП/Снеки/P003150/","Снеки Смак-мени с мясом ТМ Зареченские ТС Зареченские продукты ф/п ф/в 1,0")</f>
        <v>Снеки Смак-мени с мясом ТМ Зареченские ТС Зареченские продукты ф/п ф/в 1,0</v>
      </c>
      <c r="P286" s="195"/>
      <c r="Q286" s="195"/>
      <c r="R286" s="195"/>
      <c r="S286" s="196"/>
      <c r="T286" s="34"/>
      <c r="U286" s="34"/>
      <c r="V286" s="35" t="s">
        <v>67</v>
      </c>
      <c r="W286" s="188">
        <v>0</v>
      </c>
      <c r="X286" s="189">
        <f t="shared" si="6"/>
        <v>0</v>
      </c>
      <c r="Y286" s="36">
        <f>IFERROR(IF(W286="","",W286*0.0155),"")</f>
        <v>0</v>
      </c>
      <c r="Z286" s="56"/>
      <c r="AA286" s="57"/>
      <c r="AE286" s="61"/>
      <c r="BB286" s="177" t="s">
        <v>76</v>
      </c>
    </row>
    <row r="287" spans="1:54" ht="27" hidden="1" customHeight="1" x14ac:dyDescent="0.25">
      <c r="A287" s="54" t="s">
        <v>374</v>
      </c>
      <c r="B287" s="54" t="s">
        <v>375</v>
      </c>
      <c r="C287" s="31">
        <v>4301135198</v>
      </c>
      <c r="D287" s="197">
        <v>4640242180663</v>
      </c>
      <c r="E287" s="196"/>
      <c r="F287" s="187">
        <v>0.9</v>
      </c>
      <c r="G287" s="32">
        <v>4</v>
      </c>
      <c r="H287" s="187">
        <v>3.6</v>
      </c>
      <c r="I287" s="187">
        <v>3.83</v>
      </c>
      <c r="J287" s="32">
        <v>84</v>
      </c>
      <c r="K287" s="32" t="s">
        <v>65</v>
      </c>
      <c r="L287" s="33" t="s">
        <v>66</v>
      </c>
      <c r="M287" s="33"/>
      <c r="N287" s="32">
        <v>180</v>
      </c>
      <c r="O287" s="295" t="s">
        <v>376</v>
      </c>
      <c r="P287" s="195"/>
      <c r="Q287" s="195"/>
      <c r="R287" s="195"/>
      <c r="S287" s="196"/>
      <c r="T287" s="34"/>
      <c r="U287" s="34"/>
      <c r="V287" s="35" t="s">
        <v>67</v>
      </c>
      <c r="W287" s="188">
        <v>0</v>
      </c>
      <c r="X287" s="189">
        <f t="shared" si="6"/>
        <v>0</v>
      </c>
      <c r="Y287" s="36">
        <f>IFERROR(IF(W287="","",W287*0.0155),"")</f>
        <v>0</v>
      </c>
      <c r="Z287" s="56"/>
      <c r="AA287" s="57"/>
      <c r="AE287" s="61"/>
      <c r="BB287" s="178" t="s">
        <v>76</v>
      </c>
    </row>
    <row r="288" spans="1:54" x14ac:dyDescent="0.2">
      <c r="A288" s="203"/>
      <c r="B288" s="202"/>
      <c r="C288" s="202"/>
      <c r="D288" s="202"/>
      <c r="E288" s="202"/>
      <c r="F288" s="202"/>
      <c r="G288" s="202"/>
      <c r="H288" s="202"/>
      <c r="I288" s="202"/>
      <c r="J288" s="202"/>
      <c r="K288" s="202"/>
      <c r="L288" s="202"/>
      <c r="M288" s="202"/>
      <c r="N288" s="204"/>
      <c r="O288" s="198" t="s">
        <v>68</v>
      </c>
      <c r="P288" s="199"/>
      <c r="Q288" s="199"/>
      <c r="R288" s="199"/>
      <c r="S288" s="199"/>
      <c r="T288" s="199"/>
      <c r="U288" s="200"/>
      <c r="V288" s="37" t="s">
        <v>67</v>
      </c>
      <c r="W288" s="190">
        <f>IFERROR(SUM(W268:W287),"0")</f>
        <v>21</v>
      </c>
      <c r="X288" s="190">
        <f>IFERROR(SUM(X268:X287),"0")</f>
        <v>21</v>
      </c>
      <c r="Y288" s="190">
        <f>IFERROR(IF(Y268="",0,Y268),"0")+IFERROR(IF(Y269="",0,Y269),"0")+IFERROR(IF(Y270="",0,Y270),"0")+IFERROR(IF(Y271="",0,Y271),"0")+IFERROR(IF(Y272="",0,Y272),"0")+IFERROR(IF(Y273="",0,Y273),"0")+IFERROR(IF(Y274="",0,Y274),"0")+IFERROR(IF(Y275="",0,Y275),"0")+IFERROR(IF(Y276="",0,Y276),"0")+IFERROR(IF(Y277="",0,Y277),"0")+IFERROR(IF(Y278="",0,Y278),"0")+IFERROR(IF(Y279="",0,Y279),"0")+IFERROR(IF(Y280="",0,Y280),"0")+IFERROR(IF(Y281="",0,Y281),"0")+IFERROR(IF(Y282="",0,Y282),"0")+IFERROR(IF(Y283="",0,Y283),"0")+IFERROR(IF(Y284="",0,Y284),"0")+IFERROR(IF(Y285="",0,Y285),"0")+IFERROR(IF(Y286="",0,Y286),"0")+IFERROR(IF(Y287="",0,Y287),"0")</f>
        <v>0.19656000000000001</v>
      </c>
      <c r="Z288" s="191"/>
      <c r="AA288" s="191"/>
    </row>
    <row r="289" spans="1:37" x14ac:dyDescent="0.2">
      <c r="A289" s="202"/>
      <c r="B289" s="202"/>
      <c r="C289" s="202"/>
      <c r="D289" s="202"/>
      <c r="E289" s="202"/>
      <c r="F289" s="202"/>
      <c r="G289" s="202"/>
      <c r="H289" s="202"/>
      <c r="I289" s="202"/>
      <c r="J289" s="202"/>
      <c r="K289" s="202"/>
      <c r="L289" s="202"/>
      <c r="M289" s="202"/>
      <c r="N289" s="204"/>
      <c r="O289" s="198" t="s">
        <v>68</v>
      </c>
      <c r="P289" s="199"/>
      <c r="Q289" s="199"/>
      <c r="R289" s="199"/>
      <c r="S289" s="199"/>
      <c r="T289" s="199"/>
      <c r="U289" s="200"/>
      <c r="V289" s="37" t="s">
        <v>69</v>
      </c>
      <c r="W289" s="190">
        <f>IFERROR(SUMPRODUCT(W268:W287*H268:H287),"0")</f>
        <v>70.7</v>
      </c>
      <c r="X289" s="190">
        <f>IFERROR(SUMPRODUCT(X268:X287*H268:H287),"0")</f>
        <v>70.7</v>
      </c>
      <c r="Y289" s="37"/>
      <c r="Z289" s="191"/>
      <c r="AA289" s="191"/>
    </row>
    <row r="290" spans="1:37" ht="15" customHeight="1" x14ac:dyDescent="0.2">
      <c r="A290" s="355"/>
      <c r="B290" s="202"/>
      <c r="C290" s="202"/>
      <c r="D290" s="202"/>
      <c r="E290" s="202"/>
      <c r="F290" s="202"/>
      <c r="G290" s="202"/>
      <c r="H290" s="202"/>
      <c r="I290" s="202"/>
      <c r="J290" s="202"/>
      <c r="K290" s="202"/>
      <c r="L290" s="202"/>
      <c r="M290" s="202"/>
      <c r="N290" s="254"/>
      <c r="O290" s="248" t="s">
        <v>377</v>
      </c>
      <c r="P290" s="211"/>
      <c r="Q290" s="211"/>
      <c r="R290" s="211"/>
      <c r="S290" s="211"/>
      <c r="T290" s="211"/>
      <c r="U290" s="212"/>
      <c r="V290" s="37" t="s">
        <v>69</v>
      </c>
      <c r="W290" s="190">
        <f>IFERROR(W24+W33+W41+W48+W58+W64+W69+W75+W85+W92+W101+W107+W112+W120+W125+W131+W136+W142+W147+W155+W160+W167+W172+W177+W182+W189+W196+W206+W214+W219+W225+W231+W237+W242+W249+W254+W259+W266+W289,"0")</f>
        <v>1964.7</v>
      </c>
      <c r="X290" s="190">
        <f>IFERROR(X24+X33+X41+X48+X58+X64+X69+X75+X85+X92+X101+X107+X112+X120+X125+X131+X136+X142+X147+X155+X160+X167+X172+X177+X182+X189+X196+X206+X214+X219+X225+X231+X237+X242+X249+X254+X259+X266+X289,"0")</f>
        <v>1964.7</v>
      </c>
      <c r="Y290" s="37"/>
      <c r="Z290" s="191"/>
      <c r="AA290" s="191"/>
    </row>
    <row r="291" spans="1:37" x14ac:dyDescent="0.2">
      <c r="A291" s="202"/>
      <c r="B291" s="202"/>
      <c r="C291" s="202"/>
      <c r="D291" s="202"/>
      <c r="E291" s="202"/>
      <c r="F291" s="202"/>
      <c r="G291" s="202"/>
      <c r="H291" s="202"/>
      <c r="I291" s="202"/>
      <c r="J291" s="202"/>
      <c r="K291" s="202"/>
      <c r="L291" s="202"/>
      <c r="M291" s="202"/>
      <c r="N291" s="254"/>
      <c r="O291" s="248" t="s">
        <v>378</v>
      </c>
      <c r="P291" s="211"/>
      <c r="Q291" s="211"/>
      <c r="R291" s="211"/>
      <c r="S291" s="211"/>
      <c r="T291" s="211"/>
      <c r="U291" s="212"/>
      <c r="V291" s="37" t="s">
        <v>69</v>
      </c>
      <c r="W291" s="190">
        <f>IFERROR(IFERROR(W22*I22,"0")+IFERROR(W28*I28,"0")+IFERROR(W29*I29,"0")+IFERROR(W30*I30,"0")+IFERROR(W31*I31,"0")+IFERROR(W36*I36,"0")+IFERROR(W37*I37,"0")+IFERROR(W38*I38,"0")+IFERROR(W39*I39,"0")+IFERROR(W44*I44,"0")+IFERROR(W45*I45,"0")+IFERROR(W46*I46,"0")+IFERROR(W51*I51,"0")+IFERROR(W52*I52,"0")+IFERROR(W53*I53,"0")+IFERROR(W54*I54,"0")+IFERROR(W55*I55,"0")+IFERROR(W56*I56,"0")+IFERROR(W61*I61,"0")+IFERROR(W62*I62,"0")+IFERROR(W67*I67,"0")+IFERROR(W72*I72,"0")+IFERROR(W73*I73,"0")+IFERROR(W78*I78,"0")+IFERROR(W79*I79,"0")+IFERROR(W80*I80,"0")+IFERROR(W81*I81,"0")+IFERROR(W82*I82,"0")+IFERROR(W83*I83,"0")+IFERROR(W88*I88,"0")+IFERROR(W89*I89,"0")+IFERROR(W90*I90,"0")+IFERROR(W95*I95,"0")+IFERROR(W96*I96,"0")+IFERROR(W97*I97,"0")+IFERROR(W98*I98,"0")+IFERROR(W99*I99,"0")+IFERROR(W104*I104,"0")+IFERROR(W105*I105,"0")+IFERROR(W110*I110,"0")+IFERROR(W115*I115,"0")+IFERROR(W116*I116,"0")+IFERROR(W117*I117,"0")+IFERROR(W118*I118,"0")+IFERROR(W123*I123,"0")+IFERROR(W128*I128,"0")+IFERROR(W129*I129,"0")+IFERROR(W134*I134,"0")+IFERROR(W140*I140,"0")+IFERROR(W145*I145,"0")+IFERROR(W150*I150,"0")+IFERROR(W151*I151,"0")+IFERROR(W152*I152,"0")+IFERROR(W153*I153,"0")+IFERROR(W157*I157,"0")+IFERROR(W158*I158,"0")+IFERROR(W164*I164,"0")+IFERROR(W165*I165,"0")+IFERROR(W170*I170,"0")+IFERROR(W175*I175,"0")+IFERROR(W180*I180,"0")+IFERROR(W186*I186,"0")+IFERROR(W187*I187,"0")+IFERROR(W192*I192,"0")+IFERROR(W193*I193,"0")+IFERROR(W194*I194,"0")+IFERROR(W199*I199,"0")+IFERROR(W200*I200,"0")+IFERROR(W201*I201,"0")+IFERROR(W202*I202,"0")+IFERROR(W203*I203,"0")+IFERROR(W204*I204,"0")+IFERROR(W209*I209,"0")+IFERROR(W210*I210,"0")+IFERROR(W211*I211,"0")+IFERROR(W212*I212,"0")+IFERROR(W217*I217,"0")+IFERROR(W222*I222,"0")+IFERROR(W223*I223,"0")+IFERROR(W229*I229,"0")+IFERROR(W235*I235,"0")+IFERROR(W240*I240,"0")+IFERROR(W246*I246,"0")+IFERROR(W247*I247,"0")+IFERROR(W252*I252,"0")+IFERROR(W256*I256,"0")+IFERROR(W257*I257,"0")+IFERROR(W261*I261,"0")+IFERROR(W262*I262,"0")+IFERROR(W263*I263,"0")+IFERROR(W264*I264,"0")+IFERROR(W268*I268,"0")+IFERROR(W269*I269,"0")+IFERROR(W270*I270,"0")+IFERROR(W271*I271,"0")+IFERROR(W272*I272,"0")+IFERROR(W273*I273,"0")+IFERROR(W274*I274,"0")+IFERROR(W275*I275,"0")+IFERROR(W276*I276,"0")+IFERROR(W277*I277,"0")+IFERROR(W278*I278,"0")+IFERROR(W279*I279,"0")+IFERROR(W280*I280,"0")+IFERROR(W281*I281,"0")+IFERROR(W282*I282,"0")+IFERROR(W283*I283,"0")+IFERROR(W284*I284,"0")+IFERROR(W285*I285,"0")+IFERROR(W286*I286,"0")+IFERROR(W287*I287,"0"),"0")</f>
        <v>2161.6860000000001</v>
      </c>
      <c r="X291" s="190">
        <f>IFERROR(IFERROR(X22*I22,"0")+IFERROR(X28*I28,"0")+IFERROR(X29*I29,"0")+IFERROR(X30*I30,"0")+IFERROR(X31*I31,"0")+IFERROR(X36*I36,"0")+IFERROR(X37*I37,"0")+IFERROR(X38*I38,"0")+IFERROR(X39*I39,"0")+IFERROR(X44*I44,"0")+IFERROR(X45*I45,"0")+IFERROR(X46*I46,"0")+IFERROR(X51*I51,"0")+IFERROR(X52*I52,"0")+IFERROR(X53*I53,"0")+IFERROR(X54*I54,"0")+IFERROR(X55*I55,"0")+IFERROR(X56*I56,"0")+IFERROR(X61*I61,"0")+IFERROR(X62*I62,"0")+IFERROR(X67*I67,"0")+IFERROR(X72*I72,"0")+IFERROR(X73*I73,"0")+IFERROR(X78*I78,"0")+IFERROR(X79*I79,"0")+IFERROR(X80*I80,"0")+IFERROR(X81*I81,"0")+IFERROR(X82*I82,"0")+IFERROR(X83*I83,"0")+IFERROR(X88*I88,"0")+IFERROR(X89*I89,"0")+IFERROR(X90*I90,"0")+IFERROR(X95*I95,"0")+IFERROR(X96*I96,"0")+IFERROR(X97*I97,"0")+IFERROR(X98*I98,"0")+IFERROR(X99*I99,"0")+IFERROR(X104*I104,"0")+IFERROR(X105*I105,"0")+IFERROR(X110*I110,"0")+IFERROR(X115*I115,"0")+IFERROR(X116*I116,"0")+IFERROR(X117*I117,"0")+IFERROR(X118*I118,"0")+IFERROR(X123*I123,"0")+IFERROR(X128*I128,"0")+IFERROR(X129*I129,"0")+IFERROR(X134*I134,"0")+IFERROR(X140*I140,"0")+IFERROR(X145*I145,"0")+IFERROR(X150*I150,"0")+IFERROR(X151*I151,"0")+IFERROR(X152*I152,"0")+IFERROR(X153*I153,"0")+IFERROR(X157*I157,"0")+IFERROR(X158*I158,"0")+IFERROR(X164*I164,"0")+IFERROR(X165*I165,"0")+IFERROR(X170*I170,"0")+IFERROR(X175*I175,"0")+IFERROR(X180*I180,"0")+IFERROR(X186*I186,"0")+IFERROR(X187*I187,"0")+IFERROR(X192*I192,"0")+IFERROR(X193*I193,"0")+IFERROR(X194*I194,"0")+IFERROR(X199*I199,"0")+IFERROR(X200*I200,"0")+IFERROR(X201*I201,"0")+IFERROR(X202*I202,"0")+IFERROR(X203*I203,"0")+IFERROR(X204*I204,"0")+IFERROR(X209*I209,"0")+IFERROR(X210*I210,"0")+IFERROR(X211*I211,"0")+IFERROR(X212*I212,"0")+IFERROR(X217*I217,"0")+IFERROR(X222*I222,"0")+IFERROR(X223*I223,"0")+IFERROR(X229*I229,"0")+IFERROR(X235*I235,"0")+IFERROR(X240*I240,"0")+IFERROR(X246*I246,"0")+IFERROR(X247*I247,"0")+IFERROR(X252*I252,"0")+IFERROR(X256*I256,"0")+IFERROR(X257*I257,"0")+IFERROR(X261*I261,"0")+IFERROR(X262*I262,"0")+IFERROR(X263*I263,"0")+IFERROR(X264*I264,"0")+IFERROR(X268*I268,"0")+IFERROR(X269*I269,"0")+IFERROR(X270*I270,"0")+IFERROR(X271*I271,"0")+IFERROR(X272*I272,"0")+IFERROR(X273*I273,"0")+IFERROR(X274*I274,"0")+IFERROR(X275*I275,"0")+IFERROR(X276*I276,"0")+IFERROR(X277*I277,"0")+IFERROR(X278*I278,"0")+IFERROR(X279*I279,"0")+IFERROR(X280*I280,"0")+IFERROR(X281*I281,"0")+IFERROR(X282*I282,"0")+IFERROR(X283*I283,"0")+IFERROR(X284*I284,"0")+IFERROR(X285*I285,"0")+IFERROR(X286*I286,"0")+IFERROR(X287*I287,"0"),"0")</f>
        <v>2161.6860000000001</v>
      </c>
      <c r="Y291" s="37"/>
      <c r="Z291" s="191"/>
      <c r="AA291" s="191"/>
    </row>
    <row r="292" spans="1:37" x14ac:dyDescent="0.2">
      <c r="A292" s="202"/>
      <c r="B292" s="202"/>
      <c r="C292" s="202"/>
      <c r="D292" s="202"/>
      <c r="E292" s="202"/>
      <c r="F292" s="202"/>
      <c r="G292" s="202"/>
      <c r="H292" s="202"/>
      <c r="I292" s="202"/>
      <c r="J292" s="202"/>
      <c r="K292" s="202"/>
      <c r="L292" s="202"/>
      <c r="M292" s="202"/>
      <c r="N292" s="254"/>
      <c r="O292" s="248" t="s">
        <v>379</v>
      </c>
      <c r="P292" s="211"/>
      <c r="Q292" s="211"/>
      <c r="R292" s="211"/>
      <c r="S292" s="211"/>
      <c r="T292" s="211"/>
      <c r="U292" s="212"/>
      <c r="V292" s="37" t="s">
        <v>380</v>
      </c>
      <c r="W292" s="38">
        <f>ROUNDUP(IFERROR(W22/J22,"0")+IFERROR(W28/J28,"0")+IFERROR(W29/J29,"0")+IFERROR(W30/J30,"0")+IFERROR(W31/J31,"0")+IFERROR(W36/J36,"0")+IFERROR(W37/J37,"0")+IFERROR(W38/J38,"0")+IFERROR(W39/J39,"0")+IFERROR(W44/J44,"0")+IFERROR(W45/J45,"0")+IFERROR(W46/J46,"0")+IFERROR(W51/J51,"0")+IFERROR(W52/J52,"0")+IFERROR(W53/J53,"0")+IFERROR(W54/J54,"0")+IFERROR(W55/J55,"0")+IFERROR(W56/J56,"0")+IFERROR(W61/J61,"0")+IFERROR(W62/J62,"0")+IFERROR(W67/J67,"0")+IFERROR(W72/J72,"0")+IFERROR(W73/J73,"0")+IFERROR(W78/J78,"0")+IFERROR(W79/J79,"0")+IFERROR(W80/J80,"0")+IFERROR(W81/J81,"0")+IFERROR(W82/J82,"0")+IFERROR(W83/J83,"0")+IFERROR(W88/J88,"0")+IFERROR(W89/J89,"0")+IFERROR(W90/J90,"0")+IFERROR(W95/J95,"0")+IFERROR(W96/J96,"0")+IFERROR(W97/J97,"0")+IFERROR(W98/J98,"0")+IFERROR(W99/J99,"0")+IFERROR(W104/J104,"0")+IFERROR(W105/J105,"0")+IFERROR(W110/J110,"0")+IFERROR(W115/J115,"0")+IFERROR(W116/J116,"0")+IFERROR(W117/J117,"0")+IFERROR(W118/J118,"0")+IFERROR(W123/J123,"0")+IFERROR(W128/J128,"0")+IFERROR(W129/J129,"0")+IFERROR(W134/J134,"0")+IFERROR(W140/J140,"0")+IFERROR(W145/J145,"0")+IFERROR(W150/J150,"0")+IFERROR(W151/J151,"0")+IFERROR(W152/J152,"0")+IFERROR(W153/J153,"0")+IFERROR(W157/J157,"0")+IFERROR(W158/J158,"0")+IFERROR(W164/J164,"0")+IFERROR(W165/J165,"0")+IFERROR(W170/J170,"0")+IFERROR(W175/J175,"0")+IFERROR(W180/J180,"0")+IFERROR(W186/J186,"0")+IFERROR(W187/J187,"0")+IFERROR(W192/J192,"0")+IFERROR(W193/J193,"0")+IFERROR(W194/J194,"0")+IFERROR(W199/J199,"0")+IFERROR(W200/J200,"0")+IFERROR(W201/J201,"0")+IFERROR(W202/J202,"0")+IFERROR(W203/J203,"0")+IFERROR(W204/J204,"0")+IFERROR(W209/J209,"0")+IFERROR(W210/J210,"0")+IFERROR(W211/J211,"0")+IFERROR(W212/J212,"0")+IFERROR(W217/J217,"0")+IFERROR(W222/J222,"0")+IFERROR(W223/J223,"0")+IFERROR(W229/J229,"0")+IFERROR(W235/J235,"0")+IFERROR(W240/J240,"0")+IFERROR(W246/J246,"0")+IFERROR(W247/J247,"0")+IFERROR(W252/J252,"0")+IFERROR(W256/J256,"0")+IFERROR(W257/J257,"0")+IFERROR(W261/J261,"0")+IFERROR(W262/J262,"0")+IFERROR(W263/J263,"0")+IFERROR(W264/J264,"0")+IFERROR(W268/J268,"0")+IFERROR(W269/J269,"0")+IFERROR(W270/J270,"0")+IFERROR(W271/J271,"0")+IFERROR(W272/J272,"0")+IFERROR(W273/J273,"0")+IFERROR(W274/J274,"0")+IFERROR(W275/J275,"0")+IFERROR(W276/J276,"0")+IFERROR(W277/J277,"0")+IFERROR(W278/J278,"0")+IFERROR(W279/J279,"0")+IFERROR(W280/J280,"0")+IFERROR(W281/J281,"0")+IFERROR(W282/J282,"0")+IFERROR(W283/J283,"0")+IFERROR(W284/J284,"0")+IFERROR(W285/J285,"0")+IFERROR(W286/J286,"0")+IFERROR(W287/J287,"0"),0)</f>
        <v>6</v>
      </c>
      <c r="X292" s="38">
        <f>ROUNDUP(IFERROR(X22/J22,"0")+IFERROR(X28/J28,"0")+IFERROR(X29/J29,"0")+IFERROR(X30/J30,"0")+IFERROR(X31/J31,"0")+IFERROR(X36/J36,"0")+IFERROR(X37/J37,"0")+IFERROR(X38/J38,"0")+IFERROR(X39/J39,"0")+IFERROR(X44/J44,"0")+IFERROR(X45/J45,"0")+IFERROR(X46/J46,"0")+IFERROR(X51/J51,"0")+IFERROR(X52/J52,"0")+IFERROR(X53/J53,"0")+IFERROR(X54/J54,"0")+IFERROR(X55/J55,"0")+IFERROR(X56/J56,"0")+IFERROR(X61/J61,"0")+IFERROR(X62/J62,"0")+IFERROR(X67/J67,"0")+IFERROR(X72/J72,"0")+IFERROR(X73/J73,"0")+IFERROR(X78/J78,"0")+IFERROR(X79/J79,"0")+IFERROR(X80/J80,"0")+IFERROR(X81/J81,"0")+IFERROR(X82/J82,"0")+IFERROR(X83/J83,"0")+IFERROR(X88/J88,"0")+IFERROR(X89/J89,"0")+IFERROR(X90/J90,"0")+IFERROR(X95/J95,"0")+IFERROR(X96/J96,"0")+IFERROR(X97/J97,"0")+IFERROR(X98/J98,"0")+IFERROR(X99/J99,"0")+IFERROR(X104/J104,"0")+IFERROR(X105/J105,"0")+IFERROR(X110/J110,"0")+IFERROR(X115/J115,"0")+IFERROR(X116/J116,"0")+IFERROR(X117/J117,"0")+IFERROR(X118/J118,"0")+IFERROR(X123/J123,"0")+IFERROR(X128/J128,"0")+IFERROR(X129/J129,"0")+IFERROR(X134/J134,"0")+IFERROR(X140/J140,"0")+IFERROR(X145/J145,"0")+IFERROR(X150/J150,"0")+IFERROR(X151/J151,"0")+IFERROR(X152/J152,"0")+IFERROR(X153/J153,"0")+IFERROR(X157/J157,"0")+IFERROR(X158/J158,"0")+IFERROR(X164/J164,"0")+IFERROR(X165/J165,"0")+IFERROR(X170/J170,"0")+IFERROR(X175/J175,"0")+IFERROR(X180/J180,"0")+IFERROR(X186/J186,"0")+IFERROR(X187/J187,"0")+IFERROR(X192/J192,"0")+IFERROR(X193/J193,"0")+IFERROR(X194/J194,"0")+IFERROR(X199/J199,"0")+IFERROR(X200/J200,"0")+IFERROR(X201/J201,"0")+IFERROR(X202/J202,"0")+IFERROR(X203/J203,"0")+IFERROR(X204/J204,"0")+IFERROR(X209/J209,"0")+IFERROR(X210/J210,"0")+IFERROR(X211/J211,"0")+IFERROR(X212/J212,"0")+IFERROR(X217/J217,"0")+IFERROR(X222/J222,"0")+IFERROR(X223/J223,"0")+IFERROR(X229/J229,"0")+IFERROR(X235/J235,"0")+IFERROR(X240/J240,"0")+IFERROR(X246/J246,"0")+IFERROR(X247/J247,"0")+IFERROR(X252/J252,"0")+IFERROR(X256/J256,"0")+IFERROR(X257/J257,"0")+IFERROR(X261/J261,"0")+IFERROR(X262/J262,"0")+IFERROR(X263/J263,"0")+IFERROR(X264/J264,"0")+IFERROR(X268/J268,"0")+IFERROR(X269/J269,"0")+IFERROR(X270/J270,"0")+IFERROR(X271/J271,"0")+IFERROR(X272/J272,"0")+IFERROR(X273/J273,"0")+IFERROR(X274/J274,"0")+IFERROR(X275/J275,"0")+IFERROR(X276/J276,"0")+IFERROR(X277/J277,"0")+IFERROR(X278/J278,"0")+IFERROR(X279/J279,"0")+IFERROR(X280/J280,"0")+IFERROR(X281/J281,"0")+IFERROR(X282/J282,"0")+IFERROR(X283/J283,"0")+IFERROR(X284/J284,"0")+IFERROR(X285/J285,"0")+IFERROR(X286/J286,"0")+IFERROR(X287/J287,"0"),0)</f>
        <v>6</v>
      </c>
      <c r="Y292" s="37"/>
      <c r="Z292" s="191"/>
      <c r="AA292" s="191"/>
    </row>
    <row r="293" spans="1:37" x14ac:dyDescent="0.2">
      <c r="A293" s="202"/>
      <c r="B293" s="202"/>
      <c r="C293" s="202"/>
      <c r="D293" s="202"/>
      <c r="E293" s="202"/>
      <c r="F293" s="202"/>
      <c r="G293" s="202"/>
      <c r="H293" s="202"/>
      <c r="I293" s="202"/>
      <c r="J293" s="202"/>
      <c r="K293" s="202"/>
      <c r="L293" s="202"/>
      <c r="M293" s="202"/>
      <c r="N293" s="254"/>
      <c r="O293" s="248" t="s">
        <v>381</v>
      </c>
      <c r="P293" s="211"/>
      <c r="Q293" s="211"/>
      <c r="R293" s="211"/>
      <c r="S293" s="211"/>
      <c r="T293" s="211"/>
      <c r="U293" s="212"/>
      <c r="V293" s="37" t="s">
        <v>69</v>
      </c>
      <c r="W293" s="190">
        <f>GrossWeightTotal+PalletQtyTotal*25</f>
        <v>2311.6860000000001</v>
      </c>
      <c r="X293" s="190">
        <f>GrossWeightTotalR+PalletQtyTotalR*25</f>
        <v>2311.6860000000001</v>
      </c>
      <c r="Y293" s="37"/>
      <c r="Z293" s="191"/>
      <c r="AA293" s="191"/>
    </row>
    <row r="294" spans="1:37" x14ac:dyDescent="0.2">
      <c r="A294" s="202"/>
      <c r="B294" s="202"/>
      <c r="C294" s="202"/>
      <c r="D294" s="202"/>
      <c r="E294" s="202"/>
      <c r="F294" s="202"/>
      <c r="G294" s="202"/>
      <c r="H294" s="202"/>
      <c r="I294" s="202"/>
      <c r="J294" s="202"/>
      <c r="K294" s="202"/>
      <c r="L294" s="202"/>
      <c r="M294" s="202"/>
      <c r="N294" s="254"/>
      <c r="O294" s="248" t="s">
        <v>382</v>
      </c>
      <c r="P294" s="211"/>
      <c r="Q294" s="211"/>
      <c r="R294" s="211"/>
      <c r="S294" s="211"/>
      <c r="T294" s="211"/>
      <c r="U294" s="212"/>
      <c r="V294" s="37" t="s">
        <v>380</v>
      </c>
      <c r="W294" s="190">
        <f>IFERROR(W23+W32+W40+W47+W57+W63+W68+W74+W84+W91+W100+W106+W111+W119+W124+W130+W135+W141+W146+W154+W159+W166+W171+W176+W181+W188+W195+W205+W213+W218+W224+W230+W236+W241+W248+W253+W258+W265+W288,"0")</f>
        <v>466</v>
      </c>
      <c r="X294" s="190">
        <f>IFERROR(X23+X32+X40+X47+X57+X63+X68+X74+X84+X91+X100+X106+X111+X119+X124+X130+X135+X141+X146+X154+X159+X166+X171+X176+X181+X188+X195+X205+X213+X218+X224+X230+X236+X241+X248+X253+X258+X265+X288,"0")</f>
        <v>466</v>
      </c>
      <c r="Y294" s="37"/>
      <c r="Z294" s="191"/>
      <c r="AA294" s="191"/>
    </row>
    <row r="295" spans="1:37" ht="14.25" hidden="1" customHeight="1" x14ac:dyDescent="0.2">
      <c r="A295" s="202"/>
      <c r="B295" s="202"/>
      <c r="C295" s="202"/>
      <c r="D295" s="202"/>
      <c r="E295" s="202"/>
      <c r="F295" s="202"/>
      <c r="G295" s="202"/>
      <c r="H295" s="202"/>
      <c r="I295" s="202"/>
      <c r="J295" s="202"/>
      <c r="K295" s="202"/>
      <c r="L295" s="202"/>
      <c r="M295" s="202"/>
      <c r="N295" s="254"/>
      <c r="O295" s="248" t="s">
        <v>383</v>
      </c>
      <c r="P295" s="211"/>
      <c r="Q295" s="211"/>
      <c r="R295" s="211"/>
      <c r="S295" s="211"/>
      <c r="T295" s="211"/>
      <c r="U295" s="212"/>
      <c r="V295" s="39" t="s">
        <v>384</v>
      </c>
      <c r="W295" s="37"/>
      <c r="X295" s="37"/>
      <c r="Y295" s="37">
        <f>IFERROR(Y23+Y32+Y40+Y47+Y57+Y63+Y68+Y74+Y84+Y91+Y100+Y106+Y111+Y119+Y124+Y130+Y135+Y141+Y146+Y154+Y159+Y166+Y171+Y176+Y181+Y188+Y195+Y205+Y213+Y218+Y224+Y230+Y236+Y241+Y248+Y253+Y258+Y265+Y288,"0")</f>
        <v>7.4838600000000008</v>
      </c>
      <c r="Z295" s="191"/>
      <c r="AA295" s="191"/>
    </row>
    <row r="296" spans="1:37" ht="13.5" customHeight="1" thickBot="1" x14ac:dyDescent="0.25"/>
    <row r="297" spans="1:37" ht="27" customHeight="1" thickTop="1" thickBot="1" x14ac:dyDescent="0.25">
      <c r="A297" s="40" t="s">
        <v>385</v>
      </c>
      <c r="B297" s="179" t="s">
        <v>61</v>
      </c>
      <c r="C297" s="241" t="s">
        <v>70</v>
      </c>
      <c r="D297" s="285"/>
      <c r="E297" s="285"/>
      <c r="F297" s="285"/>
      <c r="G297" s="285"/>
      <c r="H297" s="285"/>
      <c r="I297" s="285"/>
      <c r="J297" s="285"/>
      <c r="K297" s="285"/>
      <c r="L297" s="285"/>
      <c r="M297" s="285"/>
      <c r="N297" s="285"/>
      <c r="O297" s="285"/>
      <c r="P297" s="285"/>
      <c r="Q297" s="285"/>
      <c r="R297" s="285"/>
      <c r="S297" s="286"/>
      <c r="T297" s="241" t="s">
        <v>194</v>
      </c>
      <c r="U297" s="285"/>
      <c r="V297" s="286"/>
      <c r="W297" s="241" t="s">
        <v>219</v>
      </c>
      <c r="X297" s="285"/>
      <c r="Y297" s="285"/>
      <c r="Z297" s="286"/>
      <c r="AA297" s="241" t="s">
        <v>237</v>
      </c>
      <c r="AB297" s="285"/>
      <c r="AC297" s="285"/>
      <c r="AD297" s="285"/>
      <c r="AE297" s="285"/>
      <c r="AF297" s="286"/>
      <c r="AG297" s="179" t="s">
        <v>280</v>
      </c>
      <c r="AH297" s="241" t="s">
        <v>284</v>
      </c>
      <c r="AI297" s="286"/>
      <c r="AJ297" s="241" t="s">
        <v>291</v>
      </c>
      <c r="AK297" s="286"/>
    </row>
    <row r="298" spans="1:37" ht="14.25" customHeight="1" thickTop="1" x14ac:dyDescent="0.2">
      <c r="A298" s="335" t="s">
        <v>386</v>
      </c>
      <c r="B298" s="241" t="s">
        <v>61</v>
      </c>
      <c r="C298" s="241" t="s">
        <v>71</v>
      </c>
      <c r="D298" s="241" t="s">
        <v>83</v>
      </c>
      <c r="E298" s="241" t="s">
        <v>93</v>
      </c>
      <c r="F298" s="241" t="s">
        <v>102</v>
      </c>
      <c r="G298" s="241" t="s">
        <v>115</v>
      </c>
      <c r="H298" s="241" t="s">
        <v>121</v>
      </c>
      <c r="I298" s="241" t="s">
        <v>125</v>
      </c>
      <c r="J298" s="241" t="s">
        <v>131</v>
      </c>
      <c r="K298" s="241" t="s">
        <v>144</v>
      </c>
      <c r="L298" s="241" t="s">
        <v>151</v>
      </c>
      <c r="M298" s="180"/>
      <c r="N298" s="241" t="s">
        <v>162</v>
      </c>
      <c r="O298" s="241" t="s">
        <v>167</v>
      </c>
      <c r="P298" s="241" t="s">
        <v>170</v>
      </c>
      <c r="Q298" s="241" t="s">
        <v>180</v>
      </c>
      <c r="R298" s="241" t="s">
        <v>183</v>
      </c>
      <c r="S298" s="241" t="s">
        <v>191</v>
      </c>
      <c r="T298" s="241" t="s">
        <v>195</v>
      </c>
      <c r="U298" s="241" t="s">
        <v>199</v>
      </c>
      <c r="V298" s="241" t="s">
        <v>202</v>
      </c>
      <c r="W298" s="241" t="s">
        <v>220</v>
      </c>
      <c r="X298" s="241" t="s">
        <v>226</v>
      </c>
      <c r="Y298" s="241" t="s">
        <v>219</v>
      </c>
      <c r="Z298" s="241" t="s">
        <v>234</v>
      </c>
      <c r="AA298" s="241" t="s">
        <v>238</v>
      </c>
      <c r="AB298" s="241" t="s">
        <v>243</v>
      </c>
      <c r="AC298" s="241" t="s">
        <v>250</v>
      </c>
      <c r="AD298" s="241" t="s">
        <v>263</v>
      </c>
      <c r="AE298" s="241" t="s">
        <v>272</v>
      </c>
      <c r="AF298" s="241" t="s">
        <v>275</v>
      </c>
      <c r="AG298" s="241" t="s">
        <v>281</v>
      </c>
      <c r="AH298" s="241" t="s">
        <v>285</v>
      </c>
      <c r="AI298" s="241" t="s">
        <v>288</v>
      </c>
      <c r="AJ298" s="241" t="s">
        <v>292</v>
      </c>
      <c r="AK298" s="241" t="s">
        <v>299</v>
      </c>
    </row>
    <row r="299" spans="1:37" ht="13.5" customHeight="1" thickBot="1" x14ac:dyDescent="0.25">
      <c r="A299" s="336"/>
      <c r="B299" s="242"/>
      <c r="C299" s="242"/>
      <c r="D299" s="242"/>
      <c r="E299" s="242"/>
      <c r="F299" s="242"/>
      <c r="G299" s="242"/>
      <c r="H299" s="242"/>
      <c r="I299" s="242"/>
      <c r="J299" s="242"/>
      <c r="K299" s="242"/>
      <c r="L299" s="242"/>
      <c r="M299" s="180"/>
      <c r="N299" s="242"/>
      <c r="O299" s="242"/>
      <c r="P299" s="242"/>
      <c r="Q299" s="242"/>
      <c r="R299" s="242"/>
      <c r="S299" s="242"/>
      <c r="T299" s="242"/>
      <c r="U299" s="242"/>
      <c r="V299" s="242"/>
      <c r="W299" s="242"/>
      <c r="X299" s="242"/>
      <c r="Y299" s="242"/>
      <c r="Z299" s="242"/>
      <c r="AA299" s="242"/>
      <c r="AB299" s="242"/>
      <c r="AC299" s="242"/>
      <c r="AD299" s="242"/>
      <c r="AE299" s="242"/>
      <c r="AF299" s="242"/>
      <c r="AG299" s="242"/>
      <c r="AH299" s="242"/>
      <c r="AI299" s="242"/>
      <c r="AJ299" s="242"/>
      <c r="AK299" s="242"/>
    </row>
    <row r="300" spans="1:37" ht="18" customHeight="1" thickTop="1" thickBot="1" x14ac:dyDescent="0.25">
      <c r="A300" s="40" t="s">
        <v>387</v>
      </c>
      <c r="B300" s="46">
        <f>IFERROR(W22*H22,"0")</f>
        <v>0</v>
      </c>
      <c r="C300" s="46">
        <f>IFERROR(W28*H28,"0")+IFERROR(W29*H29,"0")+IFERROR(W30*H30,"0")+IFERROR(W31*H31,"0")</f>
        <v>0</v>
      </c>
      <c r="D300" s="46">
        <f>IFERROR(W36*H36,"0")+IFERROR(W37*H37,"0")+IFERROR(W38*H38,"0")+IFERROR(W39*H39,"0")</f>
        <v>120</v>
      </c>
      <c r="E300" s="46">
        <f>IFERROR(W44*H44,"0")+IFERROR(W45*H45,"0")+IFERROR(W46*H46,"0")</f>
        <v>0</v>
      </c>
      <c r="F300" s="46">
        <f>IFERROR(W51*H51,"0")+IFERROR(W52*H52,"0")+IFERROR(W53*H53,"0")+IFERROR(W54*H54,"0")+IFERROR(W55*H55,"0")+IFERROR(W56*H56,"0")</f>
        <v>180</v>
      </c>
      <c r="G300" s="46">
        <f>IFERROR(W61*H61,"0")+IFERROR(W62*H62,"0")</f>
        <v>0</v>
      </c>
      <c r="H300" s="46">
        <f>IFERROR(W67*H67,"0")</f>
        <v>0</v>
      </c>
      <c r="I300" s="46">
        <f>IFERROR(W72*H72,"0")+IFERROR(W73*H73,"0")</f>
        <v>36</v>
      </c>
      <c r="J300" s="46">
        <f>IFERROR(W78*H78,"0")+IFERROR(W79*H79,"0")+IFERROR(W80*H80,"0")+IFERROR(W81*H81,"0")+IFERROR(W82*H82,"0")+IFERROR(W83*H83,"0")</f>
        <v>108</v>
      </c>
      <c r="K300" s="46">
        <f>IFERROR(W88*H88,"0")+IFERROR(W89*H89,"0")+IFERROR(W90*H90,"0")</f>
        <v>0</v>
      </c>
      <c r="L300" s="46">
        <f>IFERROR(W95*H95,"0")+IFERROR(W96*H96,"0")+IFERROR(W97*H97,"0")+IFERROR(W98*H98,"0")+IFERROR(W99*H99,"0")</f>
        <v>0</v>
      </c>
      <c r="M300" s="180"/>
      <c r="N300" s="46">
        <f>IFERROR(W104*H104,"0")+IFERROR(W105*H105,"0")</f>
        <v>300</v>
      </c>
      <c r="O300" s="46">
        <f>IFERROR(W110*H110,"0")</f>
        <v>0</v>
      </c>
      <c r="P300" s="46">
        <f>IFERROR(W115*H115,"0")+IFERROR(W116*H116,"0")+IFERROR(W117*H117,"0")+IFERROR(W118*H118,"0")</f>
        <v>180</v>
      </c>
      <c r="Q300" s="46">
        <f>IFERROR(W123*H123,"0")</f>
        <v>0</v>
      </c>
      <c r="R300" s="46">
        <f>IFERROR(W128*H128,"0")+IFERROR(W129*H129,"0")</f>
        <v>0</v>
      </c>
      <c r="S300" s="46">
        <f>IFERROR(W134*H134,"0")</f>
        <v>0</v>
      </c>
      <c r="T300" s="46">
        <f>IFERROR(W140*H140,"0")</f>
        <v>0</v>
      </c>
      <c r="U300" s="46">
        <f>IFERROR(W145*H145,"0")</f>
        <v>0</v>
      </c>
      <c r="V300" s="46">
        <f>IFERROR(W150*H150,"0")+IFERROR(W151*H151,"0")+IFERROR(W152*H152,"0")+IFERROR(W153*H153,"0")+IFERROR(W157*H157,"0")+IFERROR(W158*H158,"0")</f>
        <v>150</v>
      </c>
      <c r="W300" s="46">
        <f>IFERROR(W164*H164,"0")+IFERROR(W165*H165,"0")</f>
        <v>90</v>
      </c>
      <c r="X300" s="46">
        <f>IFERROR(W170*H170,"0")</f>
        <v>0</v>
      </c>
      <c r="Y300" s="46">
        <f>IFERROR(W175*H175,"0")</f>
        <v>0</v>
      </c>
      <c r="Z300" s="46">
        <f>IFERROR(W180*H180,"0")</f>
        <v>60</v>
      </c>
      <c r="AA300" s="46">
        <f>IFERROR(W186*H186,"0")+IFERROR(W187*H187,"0")</f>
        <v>0</v>
      </c>
      <c r="AB300" s="46">
        <f>IFERROR(W192*H192,"0")+IFERROR(W193*H193,"0")+IFERROR(W194*H194,"0")</f>
        <v>140</v>
      </c>
      <c r="AC300" s="46">
        <f>IFERROR(W199*H199,"0")+IFERROR(W200*H200,"0")+IFERROR(W201*H201,"0")+IFERROR(W202*H202,"0")+IFERROR(W203*H203,"0")+IFERROR(W204*H204,"0")</f>
        <v>0</v>
      </c>
      <c r="AD300" s="46">
        <f>IFERROR(W209*H209,"0")+IFERROR(W210*H210,"0")+IFERROR(W211*H211,"0")+IFERROR(W212*H212,"0")</f>
        <v>180</v>
      </c>
      <c r="AE300" s="46">
        <f>IFERROR(W217*H217,"0")</f>
        <v>0</v>
      </c>
      <c r="AF300" s="46">
        <f>IFERROR(W222*H222,"0")+IFERROR(W223*H223,"0")</f>
        <v>0</v>
      </c>
      <c r="AG300" s="46">
        <f>IFERROR(W229*H229,"0")</f>
        <v>0</v>
      </c>
      <c r="AH300" s="46">
        <f>IFERROR(W235*H235,"0")</f>
        <v>150</v>
      </c>
      <c r="AI300" s="46">
        <f>IFERROR(W240*H240,"0")</f>
        <v>0</v>
      </c>
      <c r="AJ300" s="46">
        <f>IFERROR(W246*H246,"0")+IFERROR(W247*H247,"0")</f>
        <v>0</v>
      </c>
      <c r="AK300" s="46">
        <f>IFERROR(W252*H252,"0")+IFERROR(W256*H256,"0")+IFERROR(W257*H257,"0")+IFERROR(W261*H261,"0")+IFERROR(W262*H262,"0")+IFERROR(W263*H263,"0")+IFERROR(W264*H264,"0")+IFERROR(W268*H268,"0")+IFERROR(W269*H269,"0")+IFERROR(W270*H270,"0")+IFERROR(W271*H271,"0")+IFERROR(W272*H272,"0")+IFERROR(W273*H273,"0")+IFERROR(W274*H274,"0")+IFERROR(W275*H275,"0")+IFERROR(W276*H276,"0")+IFERROR(W277*H277,"0")+IFERROR(W278*H278,"0")+IFERROR(W279*H279,"0")+IFERROR(W280*H280,"0")+IFERROR(W281*H281,"0")+IFERROR(W282*H282,"0")+IFERROR(W283*H283,"0")+IFERROR(W284*H284,"0")+IFERROR(W285*H285,"0")+IFERROR(W286*H286,"0")+IFERROR(W287*H287,"0")</f>
        <v>270.7</v>
      </c>
    </row>
    <row r="301" spans="1:37" ht="13.5" customHeight="1" thickTop="1" x14ac:dyDescent="0.2">
      <c r="C301" s="180"/>
    </row>
    <row r="302" spans="1:37" ht="19.5" customHeight="1" x14ac:dyDescent="0.2">
      <c r="A302" s="58" t="s">
        <v>388</v>
      </c>
      <c r="B302" s="58" t="s">
        <v>389</v>
      </c>
      <c r="C302" s="58" t="s">
        <v>390</v>
      </c>
    </row>
    <row r="303" spans="1:37" x14ac:dyDescent="0.2">
      <c r="A303" s="59">
        <f>SUMPRODUCT(--(BB:BB="ЗПФ"),--(V:V="кор"),H:H,X:X)+SUMPRODUCT(--(BB:BB="ЗПФ"),--(V:V="кг"),X:X)</f>
        <v>920</v>
      </c>
      <c r="B303" s="60">
        <f>SUMPRODUCT(--(BB:BB="ПГП"),--(V:V="кор"),H:H,X:X)+SUMPRODUCT(--(BB:BB="ПГП"),--(V:V="кг"),X:X)</f>
        <v>1044.7</v>
      </c>
      <c r="C303" s="60">
        <f>SUMPRODUCT(--(BB:BB="КИЗ"),--(V:V="кор"),H:H,X:X)+SUMPRODUCT(--(BB:BB="КИЗ"),--(V:V="кг"),X:X)</f>
        <v>0</v>
      </c>
    </row>
  </sheetData>
  <sheetProtection algorithmName="SHA-512" hashValue="+8S4A55xFUS5CxrcPofnAmDFJsndRNWi1KlVxSUCatfYJ54ZJNzJe8GZeoXT7W3XyCrEZqRg2hisSXgcFjc0WA==" saltValue="W3U//1Rj9/5GEVdzpwnSSw==" spinCount="100000" sheet="1" objects="1" scenarios="1" sort="0" autoFilter="0" pivotTables="0"/>
  <autoFilter ref="B18:Y295" xr:uid="{00000000-0009-0000-0000-000000000000}">
    <filterColumn colId="2" showButton="0"/>
    <filterColumn colId="13" showButton="0"/>
    <filterColumn colId="14" showButton="0"/>
    <filterColumn colId="15" showButton="0"/>
    <filterColumn colId="16" showButton="0"/>
    <filterColumn colId="21">
      <filters>
        <filter val="1 964,70"/>
        <filter val="10,00"/>
        <filter val="100,00"/>
        <filter val="108,00"/>
        <filter val="11,00"/>
        <filter val="120,00"/>
        <filter val="140,00"/>
        <filter val="150,00"/>
        <filter val="180,00"/>
        <filter val="2 161,69"/>
        <filter val="2 311,69"/>
        <filter val="20,00"/>
        <filter val="200,00"/>
        <filter val="21,00"/>
        <filter val="25,00"/>
        <filter val="30,00"/>
        <filter val="300,00"/>
        <filter val="36,00"/>
        <filter val="40,00"/>
        <filter val="466,00"/>
        <filter val="50,00"/>
        <filter val="6"/>
        <filter val="60,00"/>
        <filter val="70,70"/>
        <filter val="90,00"/>
      </filters>
    </filterColumn>
  </autoFilter>
  <mergeCells count="536">
    <mergeCell ref="Q1:S1"/>
    <mergeCell ref="O211:S211"/>
    <mergeCell ref="A20:Y20"/>
    <mergeCell ref="O119:U119"/>
    <mergeCell ref="D95:E95"/>
    <mergeCell ref="X298:X299"/>
    <mergeCell ref="Z298:Z299"/>
    <mergeCell ref="Y17:Y18"/>
    <mergeCell ref="U11:V11"/>
    <mergeCell ref="A8:C8"/>
    <mergeCell ref="O275:S275"/>
    <mergeCell ref="P8:Q8"/>
    <mergeCell ref="A258:N259"/>
    <mergeCell ref="O54:S54"/>
    <mergeCell ref="D97:E97"/>
    <mergeCell ref="D268:E268"/>
    <mergeCell ref="O277:S277"/>
    <mergeCell ref="A10:C10"/>
    <mergeCell ref="O252:S252"/>
    <mergeCell ref="O266:U266"/>
    <mergeCell ref="O123:S123"/>
    <mergeCell ref="O110:S110"/>
    <mergeCell ref="O32:U32"/>
    <mergeCell ref="D192:E192"/>
    <mergeCell ref="P5:Q5"/>
    <mergeCell ref="J9:L9"/>
    <mergeCell ref="A198:Y198"/>
    <mergeCell ref="O199:S199"/>
    <mergeCell ref="D271:E271"/>
    <mergeCell ref="O142:U142"/>
    <mergeCell ref="A205:N206"/>
    <mergeCell ref="O213:U213"/>
    <mergeCell ref="D262:E262"/>
    <mergeCell ref="O188:U188"/>
    <mergeCell ref="O259:U259"/>
    <mergeCell ref="O124:U124"/>
    <mergeCell ref="D17:E18"/>
    <mergeCell ref="A84:N85"/>
    <mergeCell ref="V17:V18"/>
    <mergeCell ref="O74:U74"/>
    <mergeCell ref="X17:X18"/>
    <mergeCell ref="D123:E123"/>
    <mergeCell ref="A267:Y267"/>
    <mergeCell ref="D110:E110"/>
    <mergeCell ref="D44:E44"/>
    <mergeCell ref="O40:U40"/>
    <mergeCell ref="D5:E5"/>
    <mergeCell ref="D8:L8"/>
    <mergeCell ref="BB17:BB18"/>
    <mergeCell ref="O264:S264"/>
    <mergeCell ref="T17:U17"/>
    <mergeCell ref="A25:Y25"/>
    <mergeCell ref="C298:C299"/>
    <mergeCell ref="A15:L15"/>
    <mergeCell ref="E298:E299"/>
    <mergeCell ref="A183:Y183"/>
    <mergeCell ref="O262:S262"/>
    <mergeCell ref="O84:U84"/>
    <mergeCell ref="A133:Y133"/>
    <mergeCell ref="O205:U205"/>
    <mergeCell ref="O72:S72"/>
    <mergeCell ref="D54:E54"/>
    <mergeCell ref="W298:W299"/>
    <mergeCell ref="D286:E286"/>
    <mergeCell ref="O274:S274"/>
    <mergeCell ref="O105:S105"/>
    <mergeCell ref="D247:E247"/>
    <mergeCell ref="A185:Y185"/>
    <mergeCell ref="O186:S186"/>
    <mergeCell ref="O23:U23"/>
    <mergeCell ref="T297:V297"/>
    <mergeCell ref="D105:E105"/>
    <mergeCell ref="D276:E276"/>
    <mergeCell ref="A43:Y43"/>
    <mergeCell ref="O181:U181"/>
    <mergeCell ref="D170:E170"/>
    <mergeCell ref="O131:U131"/>
    <mergeCell ref="O258:U258"/>
    <mergeCell ref="A181:N182"/>
    <mergeCell ref="D278:E278"/>
    <mergeCell ref="O24:U24"/>
    <mergeCell ref="O195:U195"/>
    <mergeCell ref="A138:Y138"/>
    <mergeCell ref="A132:Y132"/>
    <mergeCell ref="O214:U214"/>
    <mergeCell ref="A50:Y50"/>
    <mergeCell ref="A23:N24"/>
    <mergeCell ref="O28:S28"/>
    <mergeCell ref="A35:Y35"/>
    <mergeCell ref="O36:S36"/>
    <mergeCell ref="D45:E45"/>
    <mergeCell ref="AK298:AK299"/>
    <mergeCell ref="D99:E99"/>
    <mergeCell ref="O117:S117"/>
    <mergeCell ref="D270:E270"/>
    <mergeCell ref="A12:L12"/>
    <mergeCell ref="A109:Y109"/>
    <mergeCell ref="O83:S83"/>
    <mergeCell ref="A93:Y93"/>
    <mergeCell ref="F5:G5"/>
    <mergeCell ref="A14:L14"/>
    <mergeCell ref="D175:E175"/>
    <mergeCell ref="O92:U92"/>
    <mergeCell ref="D165:E165"/>
    <mergeCell ref="D152:E152"/>
    <mergeCell ref="D223:E223"/>
    <mergeCell ref="D279:E279"/>
    <mergeCell ref="O290:U290"/>
    <mergeCell ref="O272:S272"/>
    <mergeCell ref="J298:J299"/>
    <mergeCell ref="D29:E29"/>
    <mergeCell ref="O247:S247"/>
    <mergeCell ref="O167:U167"/>
    <mergeCell ref="A233:Y233"/>
    <mergeCell ref="O38:S38"/>
    <mergeCell ref="Q298:Q299"/>
    <mergeCell ref="O58:U58"/>
    <mergeCell ref="A248:N249"/>
    <mergeCell ref="D22:E22"/>
    <mergeCell ref="O100:U100"/>
    <mergeCell ref="O237:U237"/>
    <mergeCell ref="D257:E257"/>
    <mergeCell ref="D151:E151"/>
    <mergeCell ref="O289:U289"/>
    <mergeCell ref="O68:U68"/>
    <mergeCell ref="O175:S175"/>
    <mergeCell ref="D150:E150"/>
    <mergeCell ref="O246:S246"/>
    <mergeCell ref="A232:Y232"/>
    <mergeCell ref="O160:U160"/>
    <mergeCell ref="O176:U176"/>
    <mergeCell ref="A169:Y169"/>
    <mergeCell ref="P298:P299"/>
    <mergeCell ref="R298:R299"/>
    <mergeCell ref="O164:S164"/>
    <mergeCell ref="A176:N177"/>
    <mergeCell ref="C297:S297"/>
    <mergeCell ref="A162:Y162"/>
    <mergeCell ref="A227:Y227"/>
    <mergeCell ref="O283:S283"/>
    <mergeCell ref="H10:L10"/>
    <mergeCell ref="D80:E80"/>
    <mergeCell ref="O98:S98"/>
    <mergeCell ref="O285:S285"/>
    <mergeCell ref="O106:U106"/>
    <mergeCell ref="A161:Y161"/>
    <mergeCell ref="AJ298:AJ299"/>
    <mergeCell ref="A106:N107"/>
    <mergeCell ref="A290:N295"/>
    <mergeCell ref="D200:E200"/>
    <mergeCell ref="O120:U120"/>
    <mergeCell ref="O187:S187"/>
    <mergeCell ref="O107:U107"/>
    <mergeCell ref="O147:U147"/>
    <mergeCell ref="D202:E202"/>
    <mergeCell ref="A250:Y250"/>
    <mergeCell ref="O171:U171"/>
    <mergeCell ref="A108:Y108"/>
    <mergeCell ref="O82:S82"/>
    <mergeCell ref="O278:S278"/>
    <mergeCell ref="A27:Y27"/>
    <mergeCell ref="O292:U292"/>
    <mergeCell ref="O298:O299"/>
    <mergeCell ref="AA17:AA18"/>
    <mergeCell ref="AB298:AB299"/>
    <mergeCell ref="AD298:AD299"/>
    <mergeCell ref="O75:U75"/>
    <mergeCell ref="D89:E89"/>
    <mergeCell ref="O90:S90"/>
    <mergeCell ref="O248:U248"/>
    <mergeCell ref="D153:E153"/>
    <mergeCell ref="A154:N155"/>
    <mergeCell ref="D128:E128"/>
    <mergeCell ref="D199:E199"/>
    <mergeCell ref="D186:E186"/>
    <mergeCell ref="A234:Y234"/>
    <mergeCell ref="D217:E217"/>
    <mergeCell ref="A91:N92"/>
    <mergeCell ref="A184:Y184"/>
    <mergeCell ref="D194:E194"/>
    <mergeCell ref="Z17:Z18"/>
    <mergeCell ref="O212:S212"/>
    <mergeCell ref="O155:U155"/>
    <mergeCell ref="A77:Y77"/>
    <mergeCell ref="A148:Y148"/>
    <mergeCell ref="O276:S276"/>
    <mergeCell ref="D212:E212"/>
    <mergeCell ref="A298:A299"/>
    <mergeCell ref="D204:E204"/>
    <mergeCell ref="D269:E269"/>
    <mergeCell ref="O158:S158"/>
    <mergeCell ref="O280:S280"/>
    <mergeCell ref="A230:N231"/>
    <mergeCell ref="A94:Y94"/>
    <mergeCell ref="D273:E273"/>
    <mergeCell ref="O46:S46"/>
    <mergeCell ref="O95:S95"/>
    <mergeCell ref="O89:S89"/>
    <mergeCell ref="O282:S282"/>
    <mergeCell ref="O61:S61"/>
    <mergeCell ref="A87:Y87"/>
    <mergeCell ref="O257:S257"/>
    <mergeCell ref="O153:S153"/>
    <mergeCell ref="O63:U63"/>
    <mergeCell ref="O172:U172"/>
    <mergeCell ref="O294:U294"/>
    <mergeCell ref="D83:E83"/>
    <mergeCell ref="A66:Y66"/>
    <mergeCell ref="O67:S67"/>
    <mergeCell ref="O236:U236"/>
    <mergeCell ref="D256:E256"/>
    <mergeCell ref="H1:P1"/>
    <mergeCell ref="A208:Y208"/>
    <mergeCell ref="S5:T5"/>
    <mergeCell ref="O209:S209"/>
    <mergeCell ref="U5:V5"/>
    <mergeCell ref="D51:E51"/>
    <mergeCell ref="O203:S203"/>
    <mergeCell ref="O165:S165"/>
    <mergeCell ref="A139:Y139"/>
    <mergeCell ref="O140:S140"/>
    <mergeCell ref="O154:U154"/>
    <mergeCell ref="A76:Y76"/>
    <mergeCell ref="D203:E203"/>
    <mergeCell ref="P10:Q10"/>
    <mergeCell ref="O204:S204"/>
    <mergeCell ref="O91:U91"/>
    <mergeCell ref="O85:U85"/>
    <mergeCell ref="D140:E140"/>
    <mergeCell ref="A141:N142"/>
    <mergeCell ref="O57:U57"/>
    <mergeCell ref="H17:H18"/>
    <mergeCell ref="D39:E39"/>
    <mergeCell ref="U12:V12"/>
    <mergeCell ref="O96:S96"/>
    <mergeCell ref="AA298:AA299"/>
    <mergeCell ref="A42:Y42"/>
    <mergeCell ref="AC298:AC299"/>
    <mergeCell ref="O152:S152"/>
    <mergeCell ref="AE298:AE299"/>
    <mergeCell ref="A135:N136"/>
    <mergeCell ref="O279:S279"/>
    <mergeCell ref="A126:Y126"/>
    <mergeCell ref="D36:E36"/>
    <mergeCell ref="A215:Y215"/>
    <mergeCell ref="O45:S45"/>
    <mergeCell ref="O210:S210"/>
    <mergeCell ref="A190:Y190"/>
    <mergeCell ref="O281:S281"/>
    <mergeCell ref="O256:S256"/>
    <mergeCell ref="O224:U224"/>
    <mergeCell ref="D61:E61"/>
    <mergeCell ref="A159:N160"/>
    <mergeCell ref="O193:S193"/>
    <mergeCell ref="A224:N225"/>
    <mergeCell ref="O288:U288"/>
    <mergeCell ref="O136:U136"/>
    <mergeCell ref="AA297:AF297"/>
    <mergeCell ref="D283:E283"/>
    <mergeCell ref="U298:U299"/>
    <mergeCell ref="D264:E264"/>
    <mergeCell ref="O231:U231"/>
    <mergeCell ref="A174:Y174"/>
    <mergeCell ref="D157:E157"/>
    <mergeCell ref="P12:Q12"/>
    <mergeCell ref="O69:U69"/>
    <mergeCell ref="O240:S240"/>
    <mergeCell ref="O196:U196"/>
    <mergeCell ref="A238:Y238"/>
    <mergeCell ref="O37:S37"/>
    <mergeCell ref="D280:E280"/>
    <mergeCell ref="O64:U64"/>
    <mergeCell ref="O135:U135"/>
    <mergeCell ref="D246:E246"/>
    <mergeCell ref="D46:E46"/>
    <mergeCell ref="D282:E282"/>
    <mergeCell ref="A121:Y121"/>
    <mergeCell ref="D104:E104"/>
    <mergeCell ref="D275:E275"/>
    <mergeCell ref="O88:S88"/>
    <mergeCell ref="A63:N64"/>
    <mergeCell ref="D277:E277"/>
    <mergeCell ref="A260:Y260"/>
    <mergeCell ref="AJ297:AK297"/>
    <mergeCell ref="A195:N196"/>
    <mergeCell ref="O116:S116"/>
    <mergeCell ref="D96:E96"/>
    <mergeCell ref="O235:S235"/>
    <mergeCell ref="A188:N189"/>
    <mergeCell ref="D52:E52"/>
    <mergeCell ref="A253:N254"/>
    <mergeCell ref="O249:U249"/>
    <mergeCell ref="A130:N131"/>
    <mergeCell ref="A68:N69"/>
    <mergeCell ref="D116:E116"/>
    <mergeCell ref="A60:Y60"/>
    <mergeCell ref="O201:S201"/>
    <mergeCell ref="O261:S261"/>
    <mergeCell ref="O55:S55"/>
    <mergeCell ref="O146:U146"/>
    <mergeCell ref="D201:E201"/>
    <mergeCell ref="A146:N147"/>
    <mergeCell ref="A149:Y149"/>
    <mergeCell ref="O150:S150"/>
    <mergeCell ref="O134:S134"/>
    <mergeCell ref="A288:N289"/>
    <mergeCell ref="D62:E62"/>
    <mergeCell ref="AH297:AI297"/>
    <mergeCell ref="O39:S39"/>
    <mergeCell ref="P9:Q9"/>
    <mergeCell ref="A5:C5"/>
    <mergeCell ref="A102:Y102"/>
    <mergeCell ref="A173:Y173"/>
    <mergeCell ref="O101:U101"/>
    <mergeCell ref="P11:Q11"/>
    <mergeCell ref="O130:U130"/>
    <mergeCell ref="A265:N266"/>
    <mergeCell ref="A245:Y245"/>
    <mergeCell ref="O118:S118"/>
    <mergeCell ref="A17:A18"/>
    <mergeCell ref="K17:K18"/>
    <mergeCell ref="O254:U254"/>
    <mergeCell ref="C17:C18"/>
    <mergeCell ref="D37:E37"/>
    <mergeCell ref="A103:Y103"/>
    <mergeCell ref="A111:N112"/>
    <mergeCell ref="A168:Y168"/>
    <mergeCell ref="D9:E9"/>
    <mergeCell ref="O125:U125"/>
    <mergeCell ref="D118:E118"/>
    <mergeCell ref="F9:G9"/>
    <mergeCell ref="T298:T299"/>
    <mergeCell ref="V298:V299"/>
    <mergeCell ref="A6:C6"/>
    <mergeCell ref="O177:U177"/>
    <mergeCell ref="D88:E88"/>
    <mergeCell ref="A26:Y26"/>
    <mergeCell ref="A124:N125"/>
    <mergeCell ref="A71:Y71"/>
    <mergeCell ref="D115:E115"/>
    <mergeCell ref="O241:U241"/>
    <mergeCell ref="D90:E90"/>
    <mergeCell ref="D261:E261"/>
    <mergeCell ref="A244:Y244"/>
    <mergeCell ref="D180:E180"/>
    <mergeCell ref="O112:U112"/>
    <mergeCell ref="A119:N120"/>
    <mergeCell ref="O129:S129"/>
    <mergeCell ref="A255:Y255"/>
    <mergeCell ref="D38:E38"/>
    <mergeCell ref="O194:S194"/>
    <mergeCell ref="A21:Y21"/>
    <mergeCell ref="A113:Y113"/>
    <mergeCell ref="S298:S299"/>
    <mergeCell ref="O33:U33"/>
    <mergeCell ref="D1:F1"/>
    <mergeCell ref="A243:Y243"/>
    <mergeCell ref="A221:Y221"/>
    <mergeCell ref="J17:J18"/>
    <mergeCell ref="O73:S73"/>
    <mergeCell ref="D82:E82"/>
    <mergeCell ref="L17:L18"/>
    <mergeCell ref="K298:K299"/>
    <mergeCell ref="D240:E240"/>
    <mergeCell ref="O287:S287"/>
    <mergeCell ref="O115:S115"/>
    <mergeCell ref="A163:Y163"/>
    <mergeCell ref="O229:S229"/>
    <mergeCell ref="O189:U189"/>
    <mergeCell ref="O182:U182"/>
    <mergeCell ref="O253:U253"/>
    <mergeCell ref="D31:E31"/>
    <mergeCell ref="D158:E158"/>
    <mergeCell ref="A32:N33"/>
    <mergeCell ref="D229:E229"/>
    <mergeCell ref="O97:S97"/>
    <mergeCell ref="A47:N48"/>
    <mergeCell ref="O111:U111"/>
    <mergeCell ref="I17:I18"/>
    <mergeCell ref="W297:Z297"/>
    <mergeCell ref="A86:Y86"/>
    <mergeCell ref="O78:S78"/>
    <mergeCell ref="O170:S170"/>
    <mergeCell ref="O53:S53"/>
    <mergeCell ref="A144:Y144"/>
    <mergeCell ref="O145:S145"/>
    <mergeCell ref="O159:U159"/>
    <mergeCell ref="A57:N58"/>
    <mergeCell ref="D145:E145"/>
    <mergeCell ref="D272:E272"/>
    <mergeCell ref="D210:E210"/>
    <mergeCell ref="A226:Y226"/>
    <mergeCell ref="D209:E209"/>
    <mergeCell ref="O225:U225"/>
    <mergeCell ref="D274:E274"/>
    <mergeCell ref="A70:Y70"/>
    <mergeCell ref="A228:Y228"/>
    <mergeCell ref="D211:E211"/>
    <mergeCell ref="D281:E281"/>
    <mergeCell ref="O270:S270"/>
    <mergeCell ref="A122:Y122"/>
    <mergeCell ref="O263:S263"/>
    <mergeCell ref="D252:E252"/>
    <mergeCell ref="AG298:AG299"/>
    <mergeCell ref="AI298:AI299"/>
    <mergeCell ref="A197:Y197"/>
    <mergeCell ref="D28:E28"/>
    <mergeCell ref="O166:U166"/>
    <mergeCell ref="O141:U141"/>
    <mergeCell ref="AB17:AD18"/>
    <mergeCell ref="O206:U206"/>
    <mergeCell ref="D117:E117"/>
    <mergeCell ref="A166:N167"/>
    <mergeCell ref="D55:E55"/>
    <mergeCell ref="D30:E30"/>
    <mergeCell ref="O230:U230"/>
    <mergeCell ref="D67:E67"/>
    <mergeCell ref="AE17:AE18"/>
    <mergeCell ref="F298:F299"/>
    <mergeCell ref="A127:Y127"/>
    <mergeCell ref="O128:S128"/>
    <mergeCell ref="A114:Y114"/>
    <mergeCell ref="D72:E72"/>
    <mergeCell ref="A216:Y216"/>
    <mergeCell ref="A191:Y191"/>
    <mergeCell ref="O192:S192"/>
    <mergeCell ref="A178:Y178"/>
    <mergeCell ref="O2:V3"/>
    <mergeCell ref="D287:E287"/>
    <mergeCell ref="A34:Y34"/>
    <mergeCell ref="A143:Y143"/>
    <mergeCell ref="D53:E53"/>
    <mergeCell ref="O271:S271"/>
    <mergeCell ref="A49:Y49"/>
    <mergeCell ref="A207:Y207"/>
    <mergeCell ref="W17:W18"/>
    <mergeCell ref="O80:S80"/>
    <mergeCell ref="O273:S273"/>
    <mergeCell ref="O104:S104"/>
    <mergeCell ref="O52:S52"/>
    <mergeCell ref="O79:S79"/>
    <mergeCell ref="A65:Y65"/>
    <mergeCell ref="A241:N242"/>
    <mergeCell ref="O218:U218"/>
    <mergeCell ref="O81:S81"/>
    <mergeCell ref="D129:E129"/>
    <mergeCell ref="U10:V10"/>
    <mergeCell ref="O268:S268"/>
    <mergeCell ref="D79:E79"/>
    <mergeCell ref="A218:N219"/>
    <mergeCell ref="A74:N75"/>
    <mergeCell ref="AF298:AF299"/>
    <mergeCell ref="AH298:AH299"/>
    <mergeCell ref="H5:L5"/>
    <mergeCell ref="O47:U47"/>
    <mergeCell ref="Y298:Y299"/>
    <mergeCell ref="B17:B18"/>
    <mergeCell ref="A213:N214"/>
    <mergeCell ref="O151:S151"/>
    <mergeCell ref="S6:T9"/>
    <mergeCell ref="A100:N101"/>
    <mergeCell ref="O295:U295"/>
    <mergeCell ref="L298:L299"/>
    <mergeCell ref="N298:N299"/>
    <mergeCell ref="D81:E81"/>
    <mergeCell ref="O48:U48"/>
    <mergeCell ref="O219:U219"/>
    <mergeCell ref="A156:Y156"/>
    <mergeCell ref="O157:S157"/>
    <mergeCell ref="O284:S284"/>
    <mergeCell ref="O17:S18"/>
    <mergeCell ref="O222:S222"/>
    <mergeCell ref="A220:Y220"/>
    <mergeCell ref="O99:S99"/>
    <mergeCell ref="O286:S286"/>
    <mergeCell ref="B298:B299"/>
    <mergeCell ref="D298:D299"/>
    <mergeCell ref="D78:E78"/>
    <mergeCell ref="D134:E134"/>
    <mergeCell ref="O217:S217"/>
    <mergeCell ref="O62:S62"/>
    <mergeCell ref="O56:S56"/>
    <mergeCell ref="D98:E98"/>
    <mergeCell ref="D73:E73"/>
    <mergeCell ref="A171:N172"/>
    <mergeCell ref="D284:E284"/>
    <mergeCell ref="O223:S223"/>
    <mergeCell ref="D235:E235"/>
    <mergeCell ref="H298:H299"/>
    <mergeCell ref="D56:E56"/>
    <mergeCell ref="D193:E193"/>
    <mergeCell ref="O265:U265"/>
    <mergeCell ref="D285:E285"/>
    <mergeCell ref="A137:Y137"/>
    <mergeCell ref="O269:S269"/>
    <mergeCell ref="O291:U291"/>
    <mergeCell ref="G298:G299"/>
    <mergeCell ref="I298:I299"/>
    <mergeCell ref="O293:U293"/>
    <mergeCell ref="P6:Q6"/>
    <mergeCell ref="O29:S29"/>
    <mergeCell ref="O200:S200"/>
    <mergeCell ref="O44:S44"/>
    <mergeCell ref="D263:E263"/>
    <mergeCell ref="O202:S202"/>
    <mergeCell ref="A59:Y59"/>
    <mergeCell ref="O31:S31"/>
    <mergeCell ref="O15:S16"/>
    <mergeCell ref="A40:N41"/>
    <mergeCell ref="O41:U41"/>
    <mergeCell ref="D7:L7"/>
    <mergeCell ref="A19:Y19"/>
    <mergeCell ref="O22:S22"/>
    <mergeCell ref="O51:S51"/>
    <mergeCell ref="P13:Q13"/>
    <mergeCell ref="A239:Y239"/>
    <mergeCell ref="D222:E222"/>
    <mergeCell ref="G17:G18"/>
    <mergeCell ref="A9:C9"/>
    <mergeCell ref="U6:V9"/>
    <mergeCell ref="D6:L6"/>
    <mergeCell ref="M17:M18"/>
    <mergeCell ref="D187:E187"/>
    <mergeCell ref="H9:I9"/>
    <mergeCell ref="O30:S30"/>
    <mergeCell ref="D164:E164"/>
    <mergeCell ref="O242:U242"/>
    <mergeCell ref="A179:Y179"/>
    <mergeCell ref="A236:N237"/>
    <mergeCell ref="O180:S180"/>
    <mergeCell ref="D10:E10"/>
    <mergeCell ref="A251:Y251"/>
    <mergeCell ref="F10:G10"/>
    <mergeCell ref="N17:N18"/>
    <mergeCell ref="F17:F18"/>
    <mergeCell ref="A13:L13"/>
  </mergeCells>
  <conditionalFormatting sqref="A8:M8 A9:C10 H10:M10 J9:M9 O9:Q13">
    <cfRule type="expression" dxfId="6" priority="13" stopIfTrue="1">
      <formula>IF($U$5="самовывоз",1,0)</formula>
    </cfRule>
  </conditionalFormatting>
  <conditionalFormatting sqref="H9:I9">
    <cfRule type="expression" dxfId="5" priority="6" stopIfTrue="1">
      <formula>IF($U$5="самовывоз",1,0)</formula>
    </cfRule>
  </conditionalFormatting>
  <conditionalFormatting sqref="F9:G9">
    <cfRule type="expression" dxfId="4" priority="5" stopIfTrue="1">
      <formula>IF($U$5="самовывоз",1,0)</formula>
    </cfRule>
  </conditionalFormatting>
  <conditionalFormatting sqref="F10:G10">
    <cfRule type="expression" dxfId="3" priority="4" stopIfTrue="1">
      <formula>IF($U$5="самовывоз",1,0)</formula>
    </cfRule>
  </conditionalFormatting>
  <conditionalFormatting sqref="D9:E9">
    <cfRule type="expression" dxfId="2" priority="3" stopIfTrue="1">
      <formula>IF($U$5="самовывоз",1,0)</formula>
    </cfRule>
  </conditionalFormatting>
  <conditionalFormatting sqref="D10:E10">
    <cfRule type="expression" dxfId="1" priority="2" stopIfTrue="1">
      <formula>IF($U$5="самовывоз",1,0)</formula>
    </cfRule>
  </conditionalFormatting>
  <conditionalFormatting sqref="O5:Q6 O8:Q8">
    <cfRule type="expression" dxfId="0" priority="1" stopIfTrue="1">
      <formula>IF($U$5="доставка",1,0)</formula>
    </cfRule>
  </conditionalFormatting>
  <dataValidations xWindow="697" yWindow="616" count="17">
    <dataValidation showInputMessage="1" showErrorMessage="1" prompt="День недели загрузки. Считается сам." sqref="P6:P7" xr:uid="{00000000-0002-0000-0000-000000000000}"/>
    <dataValidation type="list" showInputMessage="1" showErrorMessage="1" sqref="W16:AA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P5:Q5" xr:uid="{00000000-0002-0000-0000-000002000000}">
      <formula1>43831</formula1>
      <formula2>47484</formula2>
    </dataValidation>
    <dataValidation showInputMessage="1" showErrorMessage="1" prompt="Введите название вашей фирмы." sqref="U6:U7" xr:uid="{00000000-0002-0000-0000-000003000000}"/>
    <dataValidation showInputMessage="1" showErrorMessage="1" prompt="Введите код клиента в системе Axapta" sqref="U10" xr:uid="{00000000-0002-0000-0000-000004000000}"/>
    <dataValidation type="list" showInputMessage="1" showErrorMessage="1" prompt="Определите тип Вашего заказа" sqref="U11:V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U5:V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P8:Q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P10:Q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P9:Q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Y22:AA22" xr:uid="{00000000-0002-0000-0000-00000C000000}"/>
    <dataValidation type="list" showInputMessage="1" showErrorMessage="1" sqref="U12" xr:uid="{00000000-0002-0000-0000-00000D000000}">
      <formula1>DeliveryConditionsList</formula1>
    </dataValidation>
    <dataValidation type="list" showInputMessage="1" showErrorMessage="1" sqref="D6:M6" xr:uid="{00000000-0002-0000-0000-00000E000000}">
      <formula1>DeliveryAdressList</formula1>
    </dataValidation>
    <dataValidation type="list" showInputMessage="1" showErrorMessage="1" sqref="L8:M8" xr:uid="{00000000-0002-0000-0000-00000F000000}">
      <formula1>CHOOSE($D$7,UnloadAdressList)</formula1>
    </dataValidation>
    <dataValidation type="list" showInputMessage="1" showErrorMessage="1" sqref="D8:K8" xr:uid="{00000000-0002-0000-0000-000010000000}">
      <formula1>CHOOSE($D$7,UnloadAdressList0001)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391</v>
      </c>
      <c r="H1" s="52"/>
    </row>
    <row r="3" spans="2:8" x14ac:dyDescent="0.2">
      <c r="B3" s="47" t="s">
        <v>392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393</v>
      </c>
      <c r="D6" s="47" t="s">
        <v>394</v>
      </c>
      <c r="E6" s="47"/>
    </row>
    <row r="8" spans="2:8" x14ac:dyDescent="0.2">
      <c r="B8" s="47" t="s">
        <v>19</v>
      </c>
      <c r="C8" s="47" t="s">
        <v>393</v>
      </c>
      <c r="D8" s="47"/>
      <c r="E8" s="47"/>
    </row>
    <row r="10" spans="2:8" x14ac:dyDescent="0.2">
      <c r="B10" s="47" t="s">
        <v>395</v>
      </c>
      <c r="C10" s="47"/>
      <c r="D10" s="47"/>
      <c r="E10" s="47"/>
    </row>
    <row r="11" spans="2:8" x14ac:dyDescent="0.2">
      <c r="B11" s="47" t="s">
        <v>396</v>
      </c>
      <c r="C11" s="47"/>
      <c r="D11" s="47"/>
      <c r="E11" s="47"/>
    </row>
    <row r="12" spans="2:8" x14ac:dyDescent="0.2">
      <c r="B12" s="47" t="s">
        <v>397</v>
      </c>
      <c r="C12" s="47"/>
      <c r="D12" s="47"/>
      <c r="E12" s="47"/>
    </row>
    <row r="13" spans="2:8" x14ac:dyDescent="0.2">
      <c r="B13" s="47" t="s">
        <v>398</v>
      </c>
      <c r="C13" s="47"/>
      <c r="D13" s="47"/>
      <c r="E13" s="47"/>
    </row>
    <row r="14" spans="2:8" x14ac:dyDescent="0.2">
      <c r="B14" s="47" t="s">
        <v>399</v>
      </c>
      <c r="C14" s="47"/>
      <c r="D14" s="47"/>
      <c r="E14" s="47"/>
    </row>
    <row r="15" spans="2:8" x14ac:dyDescent="0.2">
      <c r="B15" s="47" t="s">
        <v>400</v>
      </c>
      <c r="C15" s="47"/>
      <c r="D15" s="47"/>
      <c r="E15" s="47"/>
    </row>
    <row r="16" spans="2:8" x14ac:dyDescent="0.2">
      <c r="B16" s="47" t="s">
        <v>401</v>
      </c>
      <c r="C16" s="47"/>
      <c r="D16" s="47"/>
      <c r="E16" s="47"/>
    </row>
    <row r="17" spans="2:5" x14ac:dyDescent="0.2">
      <c r="B17" s="47" t="s">
        <v>402</v>
      </c>
      <c r="C17" s="47"/>
      <c r="D17" s="47"/>
      <c r="E17" s="47"/>
    </row>
    <row r="18" spans="2:5" x14ac:dyDescent="0.2">
      <c r="B18" s="47" t="s">
        <v>403</v>
      </c>
      <c r="C18" s="47"/>
      <c r="D18" s="47"/>
      <c r="E18" s="47"/>
    </row>
    <row r="19" spans="2:5" x14ac:dyDescent="0.2">
      <c r="B19" s="47" t="s">
        <v>404</v>
      </c>
      <c r="C19" s="47"/>
      <c r="D19" s="47"/>
      <c r="E19" s="47"/>
    </row>
    <row r="20" spans="2:5" x14ac:dyDescent="0.2">
      <c r="B20" s="47" t="s">
        <v>405</v>
      </c>
      <c r="C20" s="47"/>
      <c r="D20" s="47"/>
      <c r="E20" s="47"/>
    </row>
  </sheetData>
  <sheetProtection algorithmName="SHA-512" hashValue="h5aGATLxsY9hAZXWPssKqzTZsogMwhya/hCj9SC+yrEO4EPuo7nlTaGKzmRfvuUNcT15LDwX/MGAmVjOB3PXxQ==" saltValue="x+CyVh+Civ+2lwrcYUZnKQ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485</vt:i4>
      </vt:variant>
    </vt:vector>
  </HeadingPairs>
  <TitlesOfParts>
    <vt:vector size="487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ProductId12</vt:lpstr>
      <vt:lpstr>ProductId13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SalesQty12</vt:lpstr>
      <vt:lpstr>SalesQty13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SalesRoundBox12</vt:lpstr>
      <vt:lpstr>SalesRoundBox13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UnitOfMeasure12</vt:lpstr>
      <vt:lpstr>UnitOfMeasure13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2024-05-03T08:14:33Z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