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заказа'!$B$18:$Y$18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6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7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6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375" fillId="0" borderId="15" applyAlignment="1" pivotButton="0" quotePrefix="0" xfId="0">
      <alignment horizontal="left" vertical="center" wrapText="1"/>
    </xf>
    <xf numFmtId="0" fontId="60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205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75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6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69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67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365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7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85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8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631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37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93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617" fillId="0" borderId="15" applyAlignment="1" pivotButton="0" quotePrefix="0" xfId="0">
      <alignment horizontal="left" vertical="center" wrapText="1"/>
    </xf>
    <xf numFmtId="0" fontId="611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371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59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63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425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577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487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7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581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87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9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7" fillId="0" borderId="15" applyAlignment="1" pivotButton="0" quotePrefix="0" xfId="0">
      <alignment horizontal="left" vertical="center" wrapText="1"/>
    </xf>
    <xf numFmtId="0" fontId="6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33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3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7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321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13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601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33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579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63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60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61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355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295" fillId="0" borderId="15" applyAlignment="1" pivotButton="0" quotePrefix="0" xfId="0">
      <alignment horizontal="left" vertical="center" wrapText="1"/>
    </xf>
    <xf numFmtId="0" fontId="58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0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89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605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291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3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627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37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453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621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625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14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69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583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38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169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567" fillId="0" borderId="15" applyAlignment="1" pivotButton="0" quotePrefix="0" xfId="0">
      <alignment horizontal="left" vertical="center" wrapText="1"/>
    </xf>
    <xf numFmtId="0" fontId="639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585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71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59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60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285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5" fillId="0" borderId="15" applyAlignment="1" pivotButton="0" quotePrefix="0" xfId="0">
      <alignment horizontal="left" vertical="center" wrapText="1"/>
    </xf>
    <xf numFmtId="0" fontId="59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9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45" fillId="0" borderId="15" applyAlignment="1" pivotButton="0" quotePrefix="0" xfId="0">
      <alignment horizontal="left" vertical="center" wrapText="1"/>
    </xf>
    <xf numFmtId="0" fontId="59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29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619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447" fillId="0" borderId="15" applyAlignment="1" pivotButton="0" quotePrefix="0" xfId="0">
      <alignment horizontal="left" vertical="center" wrapText="1"/>
    </xf>
    <xf numFmtId="0" fontId="62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615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B539"/>
  <sheetViews>
    <sheetView showGridLines="0" tabSelected="1" topLeftCell="A519" zoomScaleNormal="100" zoomScaleSheetLayoutView="100" workbookViewId="0">
      <selection activeCell="AA533" sqref="AA533"/>
    </sheetView>
  </sheetViews>
  <sheetFormatPr baseColWidth="8" defaultColWidth="9.140625" defaultRowHeight="12.75"/>
  <cols>
    <col width="9.140625" customWidth="1" style="376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hidden="1" width="15.85546875" customWidth="1" style="4" min="13" max="13"/>
    <col width="10.42578125" customWidth="1" style="3" min="14" max="14"/>
    <col width="7.42578125" customWidth="1" style="1" min="15" max="15"/>
    <col width="15.5703125" customWidth="1" style="1" min="16" max="16"/>
    <col width="8.140625" customWidth="1" style="376" min="17" max="17"/>
    <col width="6.140625" customWidth="1" style="376" min="18" max="18"/>
    <col width="10.85546875" customWidth="1" style="384" min="19" max="19"/>
    <col width="10.42578125" customWidth="1" style="384" min="20" max="20"/>
    <col width="9.42578125" customWidth="1" style="384" min="21" max="21"/>
    <col width="8.42578125" customWidth="1" style="384" min="22" max="22"/>
    <col width="10" customWidth="1" style="376" min="23" max="23"/>
    <col width="11" customWidth="1" style="376" min="24" max="24"/>
    <col width="10" customWidth="1" style="376" min="25" max="25"/>
    <col width="11.5703125" customWidth="1" style="376" min="26" max="26"/>
    <col width="10.42578125" customWidth="1" style="376" min="27" max="27"/>
    <col width="11.42578125" bestFit="1" customWidth="1" style="52" min="28" max="28"/>
    <col width="9.140625" customWidth="1" style="52" min="29" max="29"/>
    <col width="8.85546875" customWidth="1" style="52" min="30" max="30"/>
    <col width="13.5703125" customWidth="1" style="376" min="31" max="31"/>
    <col width="9.140625" customWidth="1" style="376" min="32" max="32"/>
    <col width="9.140625" customWidth="1" style="376" min="33" max="16384"/>
  </cols>
  <sheetData>
    <row r="1" ht="45" customFormat="1" customHeight="1" s="489">
      <c r="A1" s="41" t="n"/>
      <c r="B1" s="41" t="n"/>
      <c r="C1" s="41" t="n"/>
      <c r="D1" s="488" t="inlineStr">
        <is>
          <t xml:space="preserve">  БЛАНК ЗАКАЗА </t>
        </is>
      </c>
      <c r="G1" s="12" t="inlineStr">
        <is>
          <t>КИ</t>
        </is>
      </c>
      <c r="H1" s="488" t="inlineStr">
        <is>
          <t>на отгрузку продукции с ООО Трейд-Сервис с</t>
        </is>
      </c>
      <c r="Q1" s="738" t="inlineStr">
        <is>
          <t>18.04.2024</t>
        </is>
      </c>
      <c r="T1" s="13" t="n"/>
      <c r="U1" s="13" t="n"/>
      <c r="V1" s="13" t="n"/>
      <c r="W1" s="13" t="n"/>
      <c r="X1" s="13" t="n"/>
      <c r="Y1" s="13" t="n"/>
      <c r="Z1" s="13" t="n"/>
      <c r="AA1" s="53" t="n"/>
      <c r="AB1" s="53" t="n"/>
      <c r="AC1" s="53" t="n"/>
      <c r="AD1" s="53" t="n"/>
    </row>
    <row r="2" ht="16.5" customFormat="1" customHeight="1" s="489">
      <c r="A2" s="29" t="inlineStr">
        <is>
          <t>бланк создан</t>
        </is>
      </c>
      <c r="B2" s="30" t="inlineStr">
        <is>
          <t>18.04.2024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4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 t="n"/>
      <c r="Q2" s="376" t="n"/>
      <c r="R2" s="376" t="n"/>
      <c r="S2" s="376" t="n"/>
      <c r="T2" s="376" t="n"/>
      <c r="U2" s="376" t="n"/>
      <c r="V2" s="376" t="n"/>
      <c r="W2" s="16" t="n"/>
      <c r="X2" s="16" t="n"/>
      <c r="Y2" s="16" t="n"/>
      <c r="Z2" s="16" t="n"/>
      <c r="AA2" s="51" t="n"/>
      <c r="AB2" s="51" t="n"/>
      <c r="AC2" s="51" t="n"/>
    </row>
    <row r="3" ht="11.25" customFormat="1" customHeight="1" s="48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15" t="n"/>
      <c r="O3" s="376" t="n"/>
      <c r="P3" s="376" t="n"/>
      <c r="Q3" s="376" t="n"/>
      <c r="R3" s="376" t="n"/>
      <c r="S3" s="376" t="n"/>
      <c r="T3" s="376" t="n"/>
      <c r="U3" s="376" t="n"/>
      <c r="V3" s="376" t="n"/>
      <c r="W3" s="16" t="n"/>
      <c r="X3" s="16" t="n"/>
      <c r="Y3" s="16" t="n"/>
      <c r="Z3" s="16" t="n"/>
      <c r="AA3" s="51" t="n"/>
      <c r="AB3" s="51" t="n"/>
      <c r="AC3" s="51" t="n"/>
    </row>
    <row r="4" ht="9" customFormat="1" customHeight="1" s="48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20" t="n"/>
      <c r="Q4" s="20" t="n"/>
      <c r="R4" s="20" t="n"/>
      <c r="S4" s="20" t="n"/>
      <c r="T4" s="20" t="n"/>
      <c r="U4" s="21" t="n"/>
      <c r="V4" s="22" t="n"/>
      <c r="W4" s="22" t="n"/>
      <c r="X4" s="22" t="n"/>
      <c r="Y4" s="22" t="n"/>
      <c r="Z4" s="22" t="n"/>
      <c r="AA4" s="51" t="n"/>
      <c r="AB4" s="51" t="n"/>
      <c r="AC4" s="51" t="n"/>
    </row>
    <row r="5" ht="23.45" customFormat="1" customHeight="1" s="489">
      <c r="A5" s="521" t="inlineStr">
        <is>
          <t xml:space="preserve">Ваш контактный телефон и имя: </t>
        </is>
      </c>
      <c r="B5" s="482" t="n"/>
      <c r="C5" s="483" t="n"/>
      <c r="D5" s="411" t="n"/>
      <c r="E5" s="413" t="n"/>
      <c r="F5" s="700" t="inlineStr">
        <is>
          <t>Комментарий к заказу:</t>
        </is>
      </c>
      <c r="G5" s="483" t="n"/>
      <c r="H5" s="411" t="n"/>
      <c r="I5" s="412" t="n"/>
      <c r="J5" s="412" t="n"/>
      <c r="K5" s="412" t="n"/>
      <c r="L5" s="413" t="n"/>
      <c r="M5" s="59" t="n"/>
      <c r="O5" s="24" t="inlineStr">
        <is>
          <t>Дата загрузки</t>
        </is>
      </c>
      <c r="P5" s="735" t="n">
        <v>45403</v>
      </c>
      <c r="Q5" s="535" t="n"/>
      <c r="S5" s="602" t="inlineStr">
        <is>
          <t>Способ доставки (доставка/самовывоз)</t>
        </is>
      </c>
      <c r="T5" s="424" t="n"/>
      <c r="U5" s="604" t="inlineStr">
        <is>
          <t>Самовывоз</t>
        </is>
      </c>
      <c r="V5" s="535" t="n"/>
      <c r="AA5" s="51" t="n"/>
      <c r="AB5" s="51" t="n"/>
      <c r="AC5" s="51" t="n"/>
    </row>
    <row r="6" ht="24" customFormat="1" customHeight="1" s="489">
      <c r="A6" s="521" t="inlineStr">
        <is>
          <t>Адрес доставки:</t>
        </is>
      </c>
      <c r="B6" s="482" t="n"/>
      <c r="C6" s="483" t="n"/>
      <c r="D6" s="668" t="inlineStr">
        <is>
          <t>ЛП, ООО, Краснодарский край, Сочи г, Строительный пер, д. 10А,</t>
        </is>
      </c>
      <c r="E6" s="669" t="n"/>
      <c r="F6" s="669" t="n"/>
      <c r="G6" s="669" t="n"/>
      <c r="H6" s="669" t="n"/>
      <c r="I6" s="669" t="n"/>
      <c r="J6" s="669" t="n"/>
      <c r="K6" s="669" t="n"/>
      <c r="L6" s="535" t="n"/>
      <c r="M6" s="60" t="n"/>
      <c r="O6" s="24" t="inlineStr">
        <is>
          <t>День недели</t>
        </is>
      </c>
      <c r="P6" s="389">
        <f>IF(P5=0," ",CHOOSE(WEEKDAY(P5,2),"Понедельник","Вторник","Среда","Четверг","Пятница","Суббота","Воскресенье"))</f>
        <v/>
      </c>
      <c r="Q6" s="370" t="n"/>
      <c r="S6" s="423" t="inlineStr">
        <is>
          <t>Наименование клиента</t>
        </is>
      </c>
      <c r="T6" s="424" t="n"/>
      <c r="U6" s="661" t="inlineStr">
        <is>
          <t>ОБЩЕСТВО С ОГРАНИЧЕННОЙ ОТВЕТСТВЕННОСТЬЮ "ЛОГИСТИЧЕСКИЙ ПАРТНЕР"</t>
        </is>
      </c>
      <c r="V6" s="442" t="n"/>
      <c r="AA6" s="51" t="n"/>
      <c r="AB6" s="51" t="n"/>
      <c r="AC6" s="51" t="n"/>
    </row>
    <row r="7" hidden="1" ht="21.75" customFormat="1" customHeight="1" s="489">
      <c r="A7" s="55" t="n"/>
      <c r="B7" s="55" t="n"/>
      <c r="C7" s="55" t="n"/>
      <c r="D7" s="592">
        <f>IFERROR(VLOOKUP(DeliveryAddress,Table,3,0),1)</f>
        <v/>
      </c>
      <c r="E7" s="593" t="n"/>
      <c r="F7" s="593" t="n"/>
      <c r="G7" s="593" t="n"/>
      <c r="H7" s="593" t="n"/>
      <c r="I7" s="593" t="n"/>
      <c r="J7" s="593" t="n"/>
      <c r="K7" s="593" t="n"/>
      <c r="L7" s="562" t="n"/>
      <c r="M7" s="61" t="n"/>
      <c r="O7" s="24" t="n"/>
      <c r="P7" s="42" t="n"/>
      <c r="Q7" s="42" t="n"/>
      <c r="S7" s="376" t="n"/>
      <c r="T7" s="424" t="n"/>
      <c r="U7" s="662" t="n"/>
      <c r="V7" s="663" t="n"/>
      <c r="AA7" s="51" t="n"/>
      <c r="AB7" s="51" t="n"/>
      <c r="AC7" s="51" t="n"/>
    </row>
    <row r="8" ht="25.5" customFormat="1" customHeight="1" s="489">
      <c r="A8" s="742" t="inlineStr">
        <is>
          <t>Адрес сдачи груза:</t>
        </is>
      </c>
      <c r="B8" s="392" t="n"/>
      <c r="C8" s="393" t="n"/>
      <c r="D8" s="478" t="n"/>
      <c r="E8" s="479" t="n"/>
      <c r="F8" s="479" t="n"/>
      <c r="G8" s="479" t="n"/>
      <c r="H8" s="479" t="n"/>
      <c r="I8" s="479" t="n"/>
      <c r="J8" s="479" t="n"/>
      <c r="K8" s="479" t="n"/>
      <c r="L8" s="480" t="n"/>
      <c r="M8" s="62" t="n"/>
      <c r="O8" s="24" t="inlineStr">
        <is>
          <t>Время загрузки</t>
        </is>
      </c>
      <c r="P8" s="561" t="n">
        <v>0.4166666666666667</v>
      </c>
      <c r="Q8" s="562" t="n"/>
      <c r="S8" s="376" t="n"/>
      <c r="T8" s="424" t="n"/>
      <c r="U8" s="662" t="n"/>
      <c r="V8" s="663" t="n"/>
      <c r="AA8" s="51" t="n"/>
      <c r="AB8" s="51" t="n"/>
      <c r="AC8" s="51" t="n"/>
    </row>
    <row r="9" ht="39.95" customFormat="1" customHeight="1" s="489">
      <c r="A9" s="5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 t="n"/>
      <c r="C9" s="376" t="n"/>
      <c r="D9" s="543" t="n"/>
      <c r="E9" s="384" t="n"/>
      <c r="F9" s="5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 t="n"/>
      <c r="H9" s="383">
        <f>IF(AND($A$9="Тип доверенности/получателя при получении в адресе перегруза:",$D$9="Разовая доверенность"),"Введите ФИО","")</f>
        <v/>
      </c>
      <c r="I9" s="384" t="n"/>
      <c r="J9" s="38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 t="n"/>
      <c r="L9" s="384" t="n"/>
      <c r="M9" s="383" t="n"/>
      <c r="O9" s="26" t="inlineStr">
        <is>
          <t>Дата доставки</t>
        </is>
      </c>
      <c r="P9" s="527" t="n"/>
      <c r="Q9" s="528" t="n"/>
      <c r="S9" s="376" t="n"/>
      <c r="T9" s="424" t="n"/>
      <c r="U9" s="664" t="n"/>
      <c r="V9" s="665" t="n"/>
      <c r="W9" s="43" t="n"/>
      <c r="X9" s="43" t="n"/>
      <c r="Y9" s="43" t="n"/>
      <c r="Z9" s="43" t="n"/>
      <c r="AA9" s="51" t="n"/>
      <c r="AB9" s="51" t="n"/>
      <c r="AC9" s="51" t="n"/>
    </row>
    <row r="10" ht="26.45" customFormat="1" customHeight="1" s="489">
      <c r="A10" s="5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 t="n"/>
      <c r="C10" s="376" t="n"/>
      <c r="D10" s="543" t="n"/>
      <c r="E10" s="384" t="n"/>
      <c r="F10" s="5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 t="n"/>
      <c r="H10" s="645">
        <f>IFERROR(VLOOKUP($D$10,Proxy,2,FALSE),"")</f>
        <v/>
      </c>
      <c r="I10" s="376" t="n"/>
      <c r="J10" s="376" t="n"/>
      <c r="K10" s="376" t="n"/>
      <c r="L10" s="376" t="n"/>
      <c r="M10" s="645" t="n"/>
      <c r="O10" s="26" t="inlineStr">
        <is>
          <t>Время доставки</t>
        </is>
      </c>
      <c r="P10" s="613" t="n"/>
      <c r="Q10" s="614" t="n"/>
      <c r="T10" s="24" t="inlineStr">
        <is>
          <t>КОД Аксапты Клиента</t>
        </is>
      </c>
      <c r="U10" s="441" t="inlineStr">
        <is>
          <t>590704</t>
        </is>
      </c>
      <c r="V10" s="442" t="n"/>
      <c r="W10" s="44" t="n"/>
      <c r="X10" s="44" t="n"/>
      <c r="Y10" s="44" t="n"/>
      <c r="Z10" s="44" t="n"/>
      <c r="AA10" s="51" t="n"/>
      <c r="AB10" s="51" t="n"/>
      <c r="AC10" s="51" t="n"/>
    </row>
    <row r="11" ht="15.95" customFormat="1" customHeight="1" s="48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O11" s="26" t="inlineStr">
        <is>
          <t>Время доставки 2 машины</t>
        </is>
      </c>
      <c r="P11" s="534" t="n"/>
      <c r="Q11" s="535" t="n"/>
      <c r="T11" s="24" t="inlineStr">
        <is>
          <t>Тип заказа</t>
        </is>
      </c>
      <c r="U11" s="600" t="inlineStr">
        <is>
          <t>Основной заказ</t>
        </is>
      </c>
      <c r="V11" s="528" t="n"/>
      <c r="W11" s="45" t="n"/>
      <c r="X11" s="45" t="n"/>
      <c r="Y11" s="45" t="n"/>
      <c r="Z11" s="45" t="n"/>
      <c r="AA11" s="51" t="n"/>
      <c r="AB11" s="51" t="n"/>
      <c r="AC11" s="51" t="n"/>
    </row>
    <row r="12" ht="18.6" customFormat="1" customHeight="1" s="489">
      <c r="A12" s="695" t="inlineStr">
        <is>
          <t>Телефоны для заказов: 8(919)002-63-01  E-mail: kolbasa@abiproduct.ru  Телефон сотрудников склада: 8 (910) 775-52-91</t>
        </is>
      </c>
      <c r="B12" s="482" t="n"/>
      <c r="C12" s="482" t="n"/>
      <c r="D12" s="482" t="n"/>
      <c r="E12" s="482" t="n"/>
      <c r="F12" s="482" t="n"/>
      <c r="G12" s="482" t="n"/>
      <c r="H12" s="482" t="n"/>
      <c r="I12" s="482" t="n"/>
      <c r="J12" s="482" t="n"/>
      <c r="K12" s="482" t="n"/>
      <c r="L12" s="483" t="n"/>
      <c r="M12" s="63" t="n"/>
      <c r="O12" s="24" t="inlineStr">
        <is>
          <t>Время доставки 3 машины</t>
        </is>
      </c>
      <c r="P12" s="561" t="n"/>
      <c r="Q12" s="562" t="n"/>
      <c r="R12" s="23" t="n"/>
      <c r="T12" s="24" t="n"/>
      <c r="U12" s="489" t="n"/>
      <c r="V12" s="376" t="n"/>
      <c r="AA12" s="51" t="n"/>
      <c r="AB12" s="51" t="n"/>
      <c r="AC12" s="51" t="n"/>
    </row>
    <row r="13" ht="23.25" customFormat="1" customHeight="1" s="489">
      <c r="A13" s="695" t="inlineStr">
        <is>
          <t>График приема заказов: Заказы принимаются за ДВА дня до отгрузки Пн-Пт: с 9:00 до 14:00, Суб., Вс. - до 12:00</t>
        </is>
      </c>
      <c r="B13" s="482" t="n"/>
      <c r="C13" s="482" t="n"/>
      <c r="D13" s="482" t="n"/>
      <c r="E13" s="482" t="n"/>
      <c r="F13" s="482" t="n"/>
      <c r="G13" s="482" t="n"/>
      <c r="H13" s="482" t="n"/>
      <c r="I13" s="482" t="n"/>
      <c r="J13" s="482" t="n"/>
      <c r="K13" s="482" t="n"/>
      <c r="L13" s="483" t="n"/>
      <c r="M13" s="63" t="n"/>
      <c r="N13" s="26" t="n"/>
      <c r="O13" s="26" t="inlineStr">
        <is>
          <t>Время доставки 4 машины</t>
        </is>
      </c>
      <c r="P13" s="600" t="n"/>
      <c r="Q13" s="528" t="n"/>
      <c r="R13" s="23" t="n"/>
      <c r="W13" s="49" t="n"/>
      <c r="X13" s="49" t="n"/>
      <c r="Y13" s="49" t="n"/>
      <c r="Z13" s="49" t="n"/>
      <c r="AA13" s="51" t="n"/>
      <c r="AB13" s="51" t="n"/>
      <c r="AC13" s="51" t="n"/>
    </row>
    <row r="14" ht="18.6" customFormat="1" customHeight="1" s="489">
      <c r="A14" s="695" t="inlineStr">
        <is>
          <t>Телефон менеджера по логистике: 8 (919) 012-30-55 - по вопросам доставки продукции</t>
        </is>
      </c>
      <c r="B14" s="482" t="n"/>
      <c r="C14" s="482" t="n"/>
      <c r="D14" s="482" t="n"/>
      <c r="E14" s="482" t="n"/>
      <c r="F14" s="482" t="n"/>
      <c r="G14" s="482" t="n"/>
      <c r="H14" s="482" t="n"/>
      <c r="I14" s="482" t="n"/>
      <c r="J14" s="482" t="n"/>
      <c r="K14" s="482" t="n"/>
      <c r="L14" s="483" t="n"/>
      <c r="M14" s="63" t="n"/>
      <c r="W14" s="50" t="n"/>
      <c r="X14" s="50" t="n"/>
      <c r="Y14" s="50" t="n"/>
      <c r="Z14" s="50" t="n"/>
      <c r="AA14" s="51" t="n"/>
      <c r="AB14" s="51" t="n"/>
      <c r="AC14" s="51" t="n"/>
    </row>
    <row r="15" ht="22.5" customFormat="1" customHeight="1" s="489">
      <c r="A15" s="730" t="inlineStr">
        <is>
          <t>Телефон по работе с претензиями/жалобами (WhatSapp): 8 (980) 757-69-93       E-mail: Claims@abiproduct.ru</t>
        </is>
      </c>
      <c r="B15" s="482" t="n"/>
      <c r="C15" s="482" t="n"/>
      <c r="D15" s="482" t="n"/>
      <c r="E15" s="482" t="n"/>
      <c r="F15" s="482" t="n"/>
      <c r="G15" s="482" t="n"/>
      <c r="H15" s="482" t="n"/>
      <c r="I15" s="482" t="n"/>
      <c r="J15" s="482" t="n"/>
      <c r="K15" s="482" t="n"/>
      <c r="L15" s="483" t="n"/>
      <c r="M15" s="64" t="n"/>
      <c r="O15" s="517" t="inlineStr">
        <is>
          <t>Кликните на продукт, чтобы просмотреть изображение</t>
        </is>
      </c>
      <c r="AA15" s="51" t="n"/>
      <c r="AB15" s="51" t="n"/>
      <c r="AC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518" t="n"/>
      <c r="P16" s="518" t="n"/>
      <c r="Q16" s="518" t="n"/>
      <c r="R16" s="518" t="n"/>
      <c r="S16" s="518" t="n"/>
      <c r="T16" s="7" t="n"/>
      <c r="U16" s="7" t="n"/>
      <c r="V16" s="8" t="n"/>
      <c r="W16" s="9" t="n"/>
      <c r="X16" s="9" t="n"/>
      <c r="Y16" s="9" t="n"/>
      <c r="Z16" s="9" t="n"/>
      <c r="AA16" s="9" t="n"/>
    </row>
    <row r="17" ht="27.75" customHeight="1">
      <c r="A17" s="419" t="inlineStr">
        <is>
          <t>Код единицы продаж</t>
        </is>
      </c>
      <c r="B17" s="419" t="inlineStr">
        <is>
          <t>Код продукта</t>
        </is>
      </c>
      <c r="C17" s="541" t="inlineStr">
        <is>
          <t>Номер варианта</t>
        </is>
      </c>
      <c r="D17" s="419" t="inlineStr">
        <is>
          <t xml:space="preserve">Штрих-код </t>
        </is>
      </c>
      <c r="E17" s="449" t="n"/>
      <c r="F17" s="419" t="inlineStr">
        <is>
          <t>Вес нетто штуки, кг</t>
        </is>
      </c>
      <c r="G17" s="419" t="inlineStr">
        <is>
          <t>Кол-во штук в коробе, шт</t>
        </is>
      </c>
      <c r="H17" s="419" t="inlineStr">
        <is>
          <t>Вес нетто короба, кг</t>
        </is>
      </c>
      <c r="I17" s="419" t="inlineStr">
        <is>
          <t>Вес брутто короба, кг</t>
        </is>
      </c>
      <c r="J17" s="419" t="inlineStr">
        <is>
          <t>Кол-во кор. на паллте, шт</t>
        </is>
      </c>
      <c r="K17" s="419" t="inlineStr">
        <is>
          <t>Коробок в слое</t>
        </is>
      </c>
      <c r="L17" s="419" t="inlineStr">
        <is>
          <t>Завод</t>
        </is>
      </c>
      <c r="M17" s="419" t="inlineStr">
        <is>
          <t>Внешний код номенклатуры</t>
        </is>
      </c>
      <c r="N17" s="419" t="inlineStr">
        <is>
          <t>Срок годности, сут.</t>
        </is>
      </c>
      <c r="O17" s="419" t="inlineStr">
        <is>
          <t>Наименование</t>
        </is>
      </c>
      <c r="P17" s="448" t="n"/>
      <c r="Q17" s="448" t="n"/>
      <c r="R17" s="448" t="n"/>
      <c r="S17" s="449" t="n"/>
      <c r="T17" s="727" t="inlineStr">
        <is>
          <t>Доступно к отгрузке</t>
        </is>
      </c>
      <c r="U17" s="483" t="n"/>
      <c r="V17" s="419" t="inlineStr">
        <is>
          <t>Ед. изм.</t>
        </is>
      </c>
      <c r="W17" s="419" t="inlineStr">
        <is>
          <t>Заказ</t>
        </is>
      </c>
      <c r="X17" s="749" t="inlineStr">
        <is>
          <t>Заказ с округлением до короба</t>
        </is>
      </c>
      <c r="Y17" s="419" t="inlineStr">
        <is>
          <t>Объём заказа, м3</t>
        </is>
      </c>
      <c r="Z17" s="460" t="inlineStr">
        <is>
          <t>Примечание по продуктку</t>
        </is>
      </c>
      <c r="AA17" s="460" t="inlineStr">
        <is>
          <t>Признак "НОВИНКА"</t>
        </is>
      </c>
      <c r="AB17" s="460" t="inlineStr">
        <is>
          <t>Для формул</t>
        </is>
      </c>
      <c r="AC17" s="461" t="n"/>
      <c r="AD17" s="462" t="n"/>
      <c r="AE17" s="474" t="n"/>
      <c r="BB17" s="724" t="inlineStr">
        <is>
          <t>Вид продукции</t>
        </is>
      </c>
    </row>
    <row r="18" ht="14.25" customHeight="1">
      <c r="A18" s="420" t="n"/>
      <c r="B18" s="420" t="n"/>
      <c r="C18" s="420" t="n"/>
      <c r="D18" s="450" t="n"/>
      <c r="E18" s="452" t="n"/>
      <c r="F18" s="420" t="n"/>
      <c r="G18" s="420" t="n"/>
      <c r="H18" s="420" t="n"/>
      <c r="I18" s="420" t="n"/>
      <c r="J18" s="420" t="n"/>
      <c r="K18" s="420" t="n"/>
      <c r="L18" s="420" t="n"/>
      <c r="M18" s="420" t="n"/>
      <c r="N18" s="420" t="n"/>
      <c r="O18" s="450" t="n"/>
      <c r="P18" s="451" t="n"/>
      <c r="Q18" s="451" t="n"/>
      <c r="R18" s="451" t="n"/>
      <c r="S18" s="452" t="n"/>
      <c r="T18" s="727" t="inlineStr">
        <is>
          <t>начиная с</t>
        </is>
      </c>
      <c r="U18" s="727" t="inlineStr">
        <is>
          <t>до</t>
        </is>
      </c>
      <c r="V18" s="420" t="n"/>
      <c r="W18" s="420" t="n"/>
      <c r="X18" s="750" t="n"/>
      <c r="Y18" s="420" t="n"/>
      <c r="Z18" s="629" t="n"/>
      <c r="AA18" s="629" t="n"/>
      <c r="AB18" s="463" t="n"/>
      <c r="AC18" s="464" t="n"/>
      <c r="AD18" s="465" t="n"/>
      <c r="AE18" s="475" t="n"/>
      <c r="BB18" s="376" t="n"/>
    </row>
    <row r="19" ht="27.75" customHeight="1">
      <c r="A19" s="386" t="inlineStr">
        <is>
          <t>Ядрена копоть</t>
        </is>
      </c>
      <c r="B19" s="387" t="n"/>
      <c r="C19" s="387" t="n"/>
      <c r="D19" s="387" t="n"/>
      <c r="E19" s="387" t="n"/>
      <c r="F19" s="387" t="n"/>
      <c r="G19" s="387" t="n"/>
      <c r="H19" s="387" t="n"/>
      <c r="I19" s="387" t="n"/>
      <c r="J19" s="387" t="n"/>
      <c r="K19" s="387" t="n"/>
      <c r="L19" s="387" t="n"/>
      <c r="M19" s="387" t="n"/>
      <c r="N19" s="387" t="n"/>
      <c r="O19" s="387" t="n"/>
      <c r="P19" s="387" t="n"/>
      <c r="Q19" s="387" t="n"/>
      <c r="R19" s="387" t="n"/>
      <c r="S19" s="387" t="n"/>
      <c r="T19" s="387" t="n"/>
      <c r="U19" s="387" t="n"/>
      <c r="V19" s="387" t="n"/>
      <c r="W19" s="387" t="n"/>
      <c r="X19" s="387" t="n"/>
      <c r="Y19" s="387" t="n"/>
      <c r="Z19" s="48" t="n"/>
      <c r="AA19" s="48" t="n"/>
    </row>
    <row r="20" ht="16.5" customHeight="1">
      <c r="A20" s="378" t="inlineStr">
        <is>
          <t>Ядрена копоть</t>
        </is>
      </c>
      <c r="B20" s="376" t="n"/>
      <c r="C20" s="376" t="n"/>
      <c r="D20" s="376" t="n"/>
      <c r="E20" s="376" t="n"/>
      <c r="F20" s="376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376" t="n"/>
      <c r="Q20" s="376" t="n"/>
      <c r="R20" s="376" t="n"/>
      <c r="S20" s="376" t="n"/>
      <c r="T20" s="376" t="n"/>
      <c r="U20" s="376" t="n"/>
      <c r="V20" s="376" t="n"/>
      <c r="W20" s="376" t="n"/>
      <c r="X20" s="376" t="n"/>
      <c r="Y20" s="376" t="n"/>
      <c r="Z20" s="378" t="n"/>
      <c r="AA20" s="378" t="n"/>
    </row>
    <row r="21" ht="14.25" customHeight="1">
      <c r="A21" s="375" t="inlineStr">
        <is>
          <t>Копченые колбасы</t>
        </is>
      </c>
      <c r="B21" s="376" t="n"/>
      <c r="C21" s="376" t="n"/>
      <c r="D21" s="376" t="n"/>
      <c r="E21" s="376" t="n"/>
      <c r="F21" s="376" t="n"/>
      <c r="G21" s="376" t="n"/>
      <c r="H21" s="376" t="n"/>
      <c r="I21" s="376" t="n"/>
      <c r="J21" s="376" t="n"/>
      <c r="K21" s="376" t="n"/>
      <c r="L21" s="376" t="n"/>
      <c r="M21" s="376" t="n"/>
      <c r="N21" s="376" t="n"/>
      <c r="O21" s="376" t="n"/>
      <c r="P21" s="376" t="n"/>
      <c r="Q21" s="376" t="n"/>
      <c r="R21" s="376" t="n"/>
      <c r="S21" s="376" t="n"/>
      <c r="T21" s="376" t="n"/>
      <c r="U21" s="376" t="n"/>
      <c r="V21" s="376" t="n"/>
      <c r="W21" s="376" t="n"/>
      <c r="X21" s="376" t="n"/>
      <c r="Y21" s="376" t="n"/>
      <c r="Z21" s="375" t="n"/>
      <c r="AA21" s="375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69" t="n">
        <v>4607091389258</v>
      </c>
      <c r="E22" s="370" t="n"/>
      <c r="F22" s="752" t="n">
        <v>0.3</v>
      </c>
      <c r="G22" s="32" t="n">
        <v>6</v>
      </c>
      <c r="H22" s="752" t="n">
        <v>1.8</v>
      </c>
      <c r="I22" s="752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3" t="n"/>
      <c r="N22" s="32" t="n">
        <v>35</v>
      </c>
      <c r="O22" s="59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372" t="n"/>
      <c r="Q22" s="372" t="n"/>
      <c r="R22" s="372" t="n"/>
      <c r="S22" s="370" t="n"/>
      <c r="T22" s="34" t="n"/>
      <c r="U22" s="34" t="n"/>
      <c r="V22" s="35" t="inlineStr">
        <is>
          <t>кг</t>
        </is>
      </c>
      <c r="W22" s="753" t="n">
        <v>0</v>
      </c>
      <c r="X22" s="754">
        <f>IFERROR(IF(W22="",0,CEILING((W22/$H22),1)*$H22),"")</f>
        <v/>
      </c>
      <c r="Y22" s="36">
        <f>IFERROR(IF(X22=0,"",ROUNDUP(X22/H22,0)*0.00753),"")</f>
        <v/>
      </c>
      <c r="Z22" s="56" t="n"/>
      <c r="AA22" s="57" t="n"/>
      <c r="AE22" s="58" t="n"/>
      <c r="BB22" s="65" t="inlineStr">
        <is>
          <t>КИ</t>
        </is>
      </c>
    </row>
    <row r="23">
      <c r="A23" s="396" t="n"/>
      <c r="B23" s="376" t="n"/>
      <c r="C23" s="376" t="n"/>
      <c r="D23" s="376" t="n"/>
      <c r="E23" s="376" t="n"/>
      <c r="F23" s="376" t="n"/>
      <c r="G23" s="376" t="n"/>
      <c r="H23" s="376" t="n"/>
      <c r="I23" s="376" t="n"/>
      <c r="J23" s="376" t="n"/>
      <c r="K23" s="376" t="n"/>
      <c r="L23" s="376" t="n"/>
      <c r="M23" s="376" t="n"/>
      <c r="N23" s="397" t="n"/>
      <c r="O23" s="391" t="inlineStr">
        <is>
          <t>Итого</t>
        </is>
      </c>
      <c r="P23" s="392" t="n"/>
      <c r="Q23" s="392" t="n"/>
      <c r="R23" s="392" t="n"/>
      <c r="S23" s="392" t="n"/>
      <c r="T23" s="392" t="n"/>
      <c r="U23" s="393" t="n"/>
      <c r="V23" s="37" t="inlineStr">
        <is>
          <t>кор</t>
        </is>
      </c>
      <c r="W23" s="755">
        <f>IFERROR(W22/H22,"0")</f>
        <v/>
      </c>
      <c r="X23" s="755">
        <f>IFERROR(X22/H22,"0")</f>
        <v/>
      </c>
      <c r="Y23" s="755">
        <f>IFERROR(IF(Y22="",0,Y22),"0")</f>
        <v/>
      </c>
      <c r="Z23" s="756" t="n"/>
      <c r="AA23" s="756" t="n"/>
    </row>
    <row r="24">
      <c r="A24" s="376" t="n"/>
      <c r="B24" s="376" t="n"/>
      <c r="C24" s="376" t="n"/>
      <c r="D24" s="376" t="n"/>
      <c r="E24" s="376" t="n"/>
      <c r="F24" s="376" t="n"/>
      <c r="G24" s="376" t="n"/>
      <c r="H24" s="376" t="n"/>
      <c r="I24" s="376" t="n"/>
      <c r="J24" s="376" t="n"/>
      <c r="K24" s="376" t="n"/>
      <c r="L24" s="376" t="n"/>
      <c r="M24" s="376" t="n"/>
      <c r="N24" s="397" t="n"/>
      <c r="O24" s="391" t="inlineStr">
        <is>
          <t>Итого</t>
        </is>
      </c>
      <c r="P24" s="392" t="n"/>
      <c r="Q24" s="392" t="n"/>
      <c r="R24" s="392" t="n"/>
      <c r="S24" s="392" t="n"/>
      <c r="T24" s="392" t="n"/>
      <c r="U24" s="393" t="n"/>
      <c r="V24" s="37" t="inlineStr">
        <is>
          <t>кг</t>
        </is>
      </c>
      <c r="W24" s="755">
        <f>IFERROR(SUM(W22:W22),"0")</f>
        <v/>
      </c>
      <c r="X24" s="755">
        <f>IFERROR(SUM(X22:X22),"0")</f>
        <v/>
      </c>
      <c r="Y24" s="37" t="n"/>
      <c r="Z24" s="756" t="n"/>
      <c r="AA24" s="756" t="n"/>
    </row>
    <row r="25" ht="14.25" customHeight="1">
      <c r="A25" s="375" t="inlineStr">
        <is>
          <t>Сосиски</t>
        </is>
      </c>
      <c r="B25" s="376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376" t="n"/>
      <c r="R25" s="376" t="n"/>
      <c r="S25" s="376" t="n"/>
      <c r="T25" s="376" t="n"/>
      <c r="U25" s="376" t="n"/>
      <c r="V25" s="376" t="n"/>
      <c r="W25" s="376" t="n"/>
      <c r="X25" s="376" t="n"/>
      <c r="Y25" s="376" t="n"/>
      <c r="Z25" s="375" t="n"/>
      <c r="AA25" s="375" t="n"/>
    </row>
    <row r="26" ht="27" customHeight="1">
      <c r="A26" s="54" t="inlineStr">
        <is>
          <t>SU002155</t>
        </is>
      </c>
      <c r="B26" s="54" t="inlineStr">
        <is>
          <t>P003751</t>
        </is>
      </c>
      <c r="C26" s="31" t="n">
        <v>4301051551</v>
      </c>
      <c r="D26" s="369" t="n">
        <v>4607091383881</v>
      </c>
      <c r="E26" s="370" t="n"/>
      <c r="F26" s="752" t="n">
        <v>0.33</v>
      </c>
      <c r="G26" s="32" t="n">
        <v>6</v>
      </c>
      <c r="H26" s="752" t="n">
        <v>1.98</v>
      </c>
      <c r="I26" s="752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3" t="n"/>
      <c r="N26" s="32" t="n">
        <v>40</v>
      </c>
      <c r="O26" s="574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6" s="372" t="n"/>
      <c r="Q26" s="372" t="n"/>
      <c r="R26" s="372" t="n"/>
      <c r="S26" s="370" t="n"/>
      <c r="T26" s="34" t="n"/>
      <c r="U26" s="34" t="n"/>
      <c r="V26" s="35" t="inlineStr">
        <is>
          <t>кг</t>
        </is>
      </c>
      <c r="W26" s="753" t="n">
        <v>0</v>
      </c>
      <c r="X26" s="754">
        <f>IFERROR(IF(W26="",0,CEILING((W26/$H26),1)*$H26),"")</f>
        <v/>
      </c>
      <c r="Y26" s="36">
        <f>IFERROR(IF(X26=0,"",ROUNDUP(X26/H26,0)*0.00753),"")</f>
        <v/>
      </c>
      <c r="Z26" s="56" t="n"/>
      <c r="AA26" s="57" t="n"/>
      <c r="AE26" s="58" t="n"/>
      <c r="BB26" s="66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P003752</t>
        </is>
      </c>
      <c r="C27" s="31" t="n">
        <v>4301051552</v>
      </c>
      <c r="D27" s="369" t="n">
        <v>4607091388237</v>
      </c>
      <c r="E27" s="370" t="n"/>
      <c r="F27" s="752" t="n">
        <v>0.42</v>
      </c>
      <c r="G27" s="32" t="n">
        <v>6</v>
      </c>
      <c r="H27" s="752" t="n">
        <v>2.52</v>
      </c>
      <c r="I27" s="752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3" t="n"/>
      <c r="N27" s="32" t="n">
        <v>40</v>
      </c>
      <c r="O27" s="58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7" s="372" t="n"/>
      <c r="Q27" s="372" t="n"/>
      <c r="R27" s="372" t="n"/>
      <c r="S27" s="370" t="n"/>
      <c r="T27" s="34" t="n"/>
      <c r="U27" s="34" t="n"/>
      <c r="V27" s="35" t="inlineStr">
        <is>
          <t>кг</t>
        </is>
      </c>
      <c r="W27" s="753" t="n">
        <v>0</v>
      </c>
      <c r="X27" s="754">
        <f>IFERROR(IF(W27="",0,CEILING((W27/$H27),1)*$H27),"")</f>
        <v/>
      </c>
      <c r="Y27" s="36">
        <f>IFERROR(IF(X27=0,"",ROUNDUP(X27/H27,0)*0.00753),"")</f>
        <v/>
      </c>
      <c r="Z27" s="56" t="n"/>
      <c r="AA27" s="57" t="n"/>
      <c r="AE27" s="58" t="n"/>
      <c r="BB27" s="67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69" t="n">
        <v>4607091383935</v>
      </c>
      <c r="E28" s="370" t="n"/>
      <c r="F28" s="752" t="n">
        <v>0.33</v>
      </c>
      <c r="G28" s="32" t="n">
        <v>6</v>
      </c>
      <c r="H28" s="752" t="n">
        <v>1.98</v>
      </c>
      <c r="I28" s="752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3" t="n"/>
      <c r="N28" s="32" t="n">
        <v>30</v>
      </c>
      <c r="O28" s="37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8" s="372" t="n"/>
      <c r="Q28" s="372" t="n"/>
      <c r="R28" s="372" t="n"/>
      <c r="S28" s="370" t="n"/>
      <c r="T28" s="34" t="n"/>
      <c r="U28" s="34" t="n"/>
      <c r="V28" s="35" t="inlineStr">
        <is>
          <t>кг</t>
        </is>
      </c>
      <c r="W28" s="753" t="n">
        <v>0</v>
      </c>
      <c r="X28" s="754">
        <f>IFERROR(IF(W28="",0,CEILING((W28/$H28),1)*$H28),"")</f>
        <v/>
      </c>
      <c r="Y28" s="36">
        <f>IFERROR(IF(X28=0,"",ROUNDUP(X28/H28,0)*0.00753),"")</f>
        <v/>
      </c>
      <c r="Z28" s="56" t="n"/>
      <c r="AA28" s="57" t="n"/>
      <c r="AE28" s="58" t="n"/>
      <c r="BB28" s="68" t="inlineStr">
        <is>
          <t>КИ</t>
        </is>
      </c>
    </row>
    <row r="29" ht="27" customHeight="1">
      <c r="A29" s="54" t="inlineStr">
        <is>
          <t>SU002230</t>
        </is>
      </c>
      <c r="B29" s="54" t="inlineStr">
        <is>
          <t>P004016</t>
        </is>
      </c>
      <c r="C29" s="31" t="n">
        <v>4301051692</v>
      </c>
      <c r="D29" s="369" t="n">
        <v>4607091383935</v>
      </c>
      <c r="E29" s="370" t="n"/>
      <c r="F29" s="752" t="n">
        <v>0.33</v>
      </c>
      <c r="G29" s="32" t="n">
        <v>6</v>
      </c>
      <c r="H29" s="752" t="n">
        <v>1.98</v>
      </c>
      <c r="I29" s="752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3" t="n"/>
      <c r="N29" s="32" t="n">
        <v>35</v>
      </c>
      <c r="O29" s="390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372" t="n"/>
      <c r="Q29" s="372" t="n"/>
      <c r="R29" s="372" t="n"/>
      <c r="S29" s="370" t="n"/>
      <c r="T29" s="34" t="n"/>
      <c r="U29" s="34" t="n"/>
      <c r="V29" s="35" t="inlineStr">
        <is>
          <t>кг</t>
        </is>
      </c>
      <c r="W29" s="753" t="n">
        <v>0</v>
      </c>
      <c r="X29" s="754">
        <f>IFERROR(IF(W29="",0,CEILING((W29/$H29),1)*$H29),"")</f>
        <v/>
      </c>
      <c r="Y29" s="36">
        <f>IFERROR(IF(X29=0,"",ROUNDUP(X29/H29,0)*0.00753),"")</f>
        <v/>
      </c>
      <c r="Z29" s="56" t="n"/>
      <c r="AA29" s="57" t="n"/>
      <c r="AE29" s="58" t="n"/>
      <c r="BB29" s="69" t="inlineStr">
        <is>
          <t>КИ</t>
        </is>
      </c>
    </row>
    <row r="30" ht="27" customHeight="1">
      <c r="A30" s="54" t="inlineStr">
        <is>
          <t>SU002893</t>
        </is>
      </c>
      <c r="B30" s="54" t="inlineStr">
        <is>
          <t>P003317</t>
        </is>
      </c>
      <c r="C30" s="31" t="n">
        <v>4301051426</v>
      </c>
      <c r="D30" s="369" t="n">
        <v>4680115881853</v>
      </c>
      <c r="E30" s="370" t="n"/>
      <c r="F30" s="752" t="n">
        <v>0.33</v>
      </c>
      <c r="G30" s="32" t="n">
        <v>6</v>
      </c>
      <c r="H30" s="752" t="n">
        <v>1.98</v>
      </c>
      <c r="I30" s="752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3" t="n"/>
      <c r="N30" s="32" t="n">
        <v>30</v>
      </c>
      <c r="O30" s="3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0" s="372" t="n"/>
      <c r="Q30" s="372" t="n"/>
      <c r="R30" s="372" t="n"/>
      <c r="S30" s="370" t="n"/>
      <c r="T30" s="34" t="n"/>
      <c r="U30" s="34" t="n"/>
      <c r="V30" s="35" t="inlineStr">
        <is>
          <t>кг</t>
        </is>
      </c>
      <c r="W30" s="753" t="n">
        <v>0</v>
      </c>
      <c r="X30" s="754">
        <f>IFERROR(IF(W30="",0,CEILING((W30/$H30),1)*$H30),"")</f>
        <v/>
      </c>
      <c r="Y30" s="36">
        <f>IFERROR(IF(X30=0,"",ROUNDUP(X30/H30,0)*0.00753),"")</f>
        <v/>
      </c>
      <c r="Z30" s="56" t="n"/>
      <c r="AA30" s="57" t="n"/>
      <c r="AE30" s="58" t="n"/>
      <c r="BB30" s="70" t="inlineStr">
        <is>
          <t>КИ</t>
        </is>
      </c>
    </row>
    <row r="31" ht="27" customHeight="1">
      <c r="A31" s="54" t="inlineStr">
        <is>
          <t>SU002154</t>
        </is>
      </c>
      <c r="B31" s="54" t="inlineStr">
        <is>
          <t>P003879</t>
        </is>
      </c>
      <c r="C31" s="31" t="n">
        <v>4301051593</v>
      </c>
      <c r="D31" s="369" t="n">
        <v>4607091383911</v>
      </c>
      <c r="E31" s="370" t="n"/>
      <c r="F31" s="752" t="n">
        <v>0.33</v>
      </c>
      <c r="G31" s="32" t="n">
        <v>6</v>
      </c>
      <c r="H31" s="752" t="n">
        <v>1.98</v>
      </c>
      <c r="I31" s="752" t="n">
        <v>2.246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3" t="n"/>
      <c r="N31" s="32" t="n">
        <v>40</v>
      </c>
      <c r="O31" s="399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1" s="372" t="n"/>
      <c r="Q31" s="372" t="n"/>
      <c r="R31" s="372" t="n"/>
      <c r="S31" s="370" t="n"/>
      <c r="T31" s="34" t="n"/>
      <c r="U31" s="34" t="n"/>
      <c r="V31" s="35" t="inlineStr">
        <is>
          <t>кг</t>
        </is>
      </c>
      <c r="W31" s="753" t="n">
        <v>0</v>
      </c>
      <c r="X31" s="754">
        <f>IFERROR(IF(W31="",0,CEILING((W31/$H31),1)*$H31),"")</f>
        <v/>
      </c>
      <c r="Y31" s="36">
        <f>IFERROR(IF(X31=0,"",ROUNDUP(X31/H31,0)*0.00753),"")</f>
        <v/>
      </c>
      <c r="Z31" s="56" t="n"/>
      <c r="AA31" s="57" t="n"/>
      <c r="AE31" s="58" t="n"/>
      <c r="BB31" s="71" t="inlineStr">
        <is>
          <t>КИ</t>
        </is>
      </c>
    </row>
    <row r="32" ht="27" customHeight="1">
      <c r="A32" s="54" t="inlineStr">
        <is>
          <t>SU000152</t>
        </is>
      </c>
      <c r="B32" s="54" t="inlineStr">
        <is>
          <t>P003878</t>
        </is>
      </c>
      <c r="C32" s="31" t="n">
        <v>4301051592</v>
      </c>
      <c r="D32" s="369" t="n">
        <v>4607091388244</v>
      </c>
      <c r="E32" s="370" t="n"/>
      <c r="F32" s="752" t="n">
        <v>0.42</v>
      </c>
      <c r="G32" s="32" t="n">
        <v>6</v>
      </c>
      <c r="H32" s="752" t="n">
        <v>2.52</v>
      </c>
      <c r="I32" s="752" t="n">
        <v>2.786</v>
      </c>
      <c r="J32" s="32" t="n">
        <v>156</v>
      </c>
      <c r="K32" s="32" t="inlineStr">
        <is>
          <t>12</t>
        </is>
      </c>
      <c r="L32" s="33" t="inlineStr">
        <is>
          <t>СК2</t>
        </is>
      </c>
      <c r="M32" s="33" t="n"/>
      <c r="N32" s="32" t="n">
        <v>40</v>
      </c>
      <c r="O32" s="57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2" s="372" t="n"/>
      <c r="Q32" s="372" t="n"/>
      <c r="R32" s="372" t="n"/>
      <c r="S32" s="370" t="n"/>
      <c r="T32" s="34" t="n"/>
      <c r="U32" s="34" t="n"/>
      <c r="V32" s="35" t="inlineStr">
        <is>
          <t>кг</t>
        </is>
      </c>
      <c r="W32" s="753" t="n">
        <v>0</v>
      </c>
      <c r="X32" s="754">
        <f>IFERROR(IF(W32="",0,CEILING((W32/$H32),1)*$H32),"")</f>
        <v/>
      </c>
      <c r="Y32" s="36">
        <f>IFERROR(IF(X32=0,"",ROUNDUP(X32/H32,0)*0.00753),"")</f>
        <v/>
      </c>
      <c r="Z32" s="56" t="n"/>
      <c r="AA32" s="57" t="n"/>
      <c r="AE32" s="58" t="n"/>
      <c r="BB32" s="72" t="inlineStr">
        <is>
          <t>КИ</t>
        </is>
      </c>
    </row>
    <row r="33">
      <c r="A33" s="396" t="n"/>
      <c r="B33" s="376" t="n"/>
      <c r="C33" s="376" t="n"/>
      <c r="D33" s="376" t="n"/>
      <c r="E33" s="376" t="n"/>
      <c r="F33" s="376" t="n"/>
      <c r="G33" s="376" t="n"/>
      <c r="H33" s="376" t="n"/>
      <c r="I33" s="376" t="n"/>
      <c r="J33" s="376" t="n"/>
      <c r="K33" s="376" t="n"/>
      <c r="L33" s="376" t="n"/>
      <c r="M33" s="376" t="n"/>
      <c r="N33" s="397" t="n"/>
      <c r="O33" s="391" t="inlineStr">
        <is>
          <t>Итого</t>
        </is>
      </c>
      <c r="P33" s="392" t="n"/>
      <c r="Q33" s="392" t="n"/>
      <c r="R33" s="392" t="n"/>
      <c r="S33" s="392" t="n"/>
      <c r="T33" s="392" t="n"/>
      <c r="U33" s="393" t="n"/>
      <c r="V33" s="37" t="inlineStr">
        <is>
          <t>кор</t>
        </is>
      </c>
      <c r="W33" s="755">
        <f>IFERROR(W26/H26,"0")+IFERROR(W27/H27,"0")+IFERROR(W28/H28,"0")+IFERROR(W29/H29,"0")+IFERROR(W30/H30,"0")+IFERROR(W31/H31,"0")+IFERROR(W32/H32,"0")</f>
        <v/>
      </c>
      <c r="X33" s="755">
        <f>IFERROR(X26/H26,"0")+IFERROR(X27/H27,"0")+IFERROR(X28/H28,"0")+IFERROR(X29/H29,"0")+IFERROR(X30/H30,"0")+IFERROR(X31/H31,"0")+IFERROR(X32/H32,"0")</f>
        <v/>
      </c>
      <c r="Y33" s="755">
        <f>IFERROR(IF(Y26="",0,Y26),"0")+IFERROR(IF(Y27="",0,Y27),"0")+IFERROR(IF(Y28="",0,Y28),"0")+IFERROR(IF(Y29="",0,Y29),"0")+IFERROR(IF(Y30="",0,Y30),"0")+IFERROR(IF(Y31="",0,Y31),"0")+IFERROR(IF(Y32="",0,Y32),"0")</f>
        <v/>
      </c>
      <c r="Z33" s="756" t="n"/>
      <c r="AA33" s="756" t="n"/>
    </row>
    <row r="34">
      <c r="A34" s="376" t="n"/>
      <c r="B34" s="376" t="n"/>
      <c r="C34" s="376" t="n"/>
      <c r="D34" s="376" t="n"/>
      <c r="E34" s="376" t="n"/>
      <c r="F34" s="376" t="n"/>
      <c r="G34" s="376" t="n"/>
      <c r="H34" s="376" t="n"/>
      <c r="I34" s="376" t="n"/>
      <c r="J34" s="376" t="n"/>
      <c r="K34" s="376" t="n"/>
      <c r="L34" s="376" t="n"/>
      <c r="M34" s="376" t="n"/>
      <c r="N34" s="397" t="n"/>
      <c r="O34" s="391" t="inlineStr">
        <is>
          <t>Итого</t>
        </is>
      </c>
      <c r="P34" s="392" t="n"/>
      <c r="Q34" s="392" t="n"/>
      <c r="R34" s="392" t="n"/>
      <c r="S34" s="392" t="n"/>
      <c r="T34" s="392" t="n"/>
      <c r="U34" s="393" t="n"/>
      <c r="V34" s="37" t="inlineStr">
        <is>
          <t>кг</t>
        </is>
      </c>
      <c r="W34" s="755">
        <f>IFERROR(SUM(W26:W32),"0")</f>
        <v/>
      </c>
      <c r="X34" s="755">
        <f>IFERROR(SUM(X26:X32),"0")</f>
        <v/>
      </c>
      <c r="Y34" s="37" t="n"/>
      <c r="Z34" s="756" t="n"/>
      <c r="AA34" s="756" t="n"/>
    </row>
    <row r="35" ht="14.25" customHeight="1">
      <c r="A35" s="375" t="inlineStr">
        <is>
          <t>Сырокопченые колбасы</t>
        </is>
      </c>
      <c r="B35" s="376" t="n"/>
      <c r="C35" s="376" t="n"/>
      <c r="D35" s="376" t="n"/>
      <c r="E35" s="376" t="n"/>
      <c r="F35" s="376" t="n"/>
      <c r="G35" s="376" t="n"/>
      <c r="H35" s="376" t="n"/>
      <c r="I35" s="376" t="n"/>
      <c r="J35" s="376" t="n"/>
      <c r="K35" s="376" t="n"/>
      <c r="L35" s="376" t="n"/>
      <c r="M35" s="376" t="n"/>
      <c r="N35" s="376" t="n"/>
      <c r="O35" s="376" t="n"/>
      <c r="P35" s="376" t="n"/>
      <c r="Q35" s="376" t="n"/>
      <c r="R35" s="376" t="n"/>
      <c r="S35" s="376" t="n"/>
      <c r="T35" s="376" t="n"/>
      <c r="U35" s="376" t="n"/>
      <c r="V35" s="376" t="n"/>
      <c r="W35" s="376" t="n"/>
      <c r="X35" s="376" t="n"/>
      <c r="Y35" s="376" t="n"/>
      <c r="Z35" s="375" t="n"/>
      <c r="AA35" s="375" t="n"/>
    </row>
    <row r="36" ht="27" customHeight="1">
      <c r="A36" s="54" t="inlineStr">
        <is>
          <t>SU002050</t>
        </is>
      </c>
      <c r="B36" s="54" t="inlineStr">
        <is>
          <t>P002188</t>
        </is>
      </c>
      <c r="C36" s="31" t="n">
        <v>4301032013</v>
      </c>
      <c r="D36" s="369" t="n">
        <v>4607091388503</v>
      </c>
      <c r="E36" s="370" t="n"/>
      <c r="F36" s="752" t="n">
        <v>0.05</v>
      </c>
      <c r="G36" s="32" t="n">
        <v>12</v>
      </c>
      <c r="H36" s="752" t="n">
        <v>0.6</v>
      </c>
      <c r="I36" s="752" t="n">
        <v>0.842</v>
      </c>
      <c r="J36" s="32" t="n">
        <v>156</v>
      </c>
      <c r="K36" s="32" t="inlineStr">
        <is>
          <t>12</t>
        </is>
      </c>
      <c r="L36" s="33" t="inlineStr">
        <is>
          <t>АК</t>
        </is>
      </c>
      <c r="M36" s="33" t="n"/>
      <c r="N36" s="32" t="n">
        <v>120</v>
      </c>
      <c r="O36" s="3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6" s="372" t="n"/>
      <c r="Q36" s="372" t="n"/>
      <c r="R36" s="372" t="n"/>
      <c r="S36" s="370" t="n"/>
      <c r="T36" s="34" t="n"/>
      <c r="U36" s="34" t="n"/>
      <c r="V36" s="35" t="inlineStr">
        <is>
          <t>кг</t>
        </is>
      </c>
      <c r="W36" s="753" t="n">
        <v>0</v>
      </c>
      <c r="X36" s="754">
        <f>IFERROR(IF(W36="",0,CEILING((W36/$H36),1)*$H36),"")</f>
        <v/>
      </c>
      <c r="Y36" s="36">
        <f>IFERROR(IF(X36=0,"",ROUNDUP(X36/H36,0)*0.00753),"")</f>
        <v/>
      </c>
      <c r="Z36" s="56" t="n"/>
      <c r="AA36" s="57" t="n"/>
      <c r="AE36" s="58" t="n"/>
      <c r="BB36" s="73" t="inlineStr">
        <is>
          <t>СНК</t>
        </is>
      </c>
    </row>
    <row r="37">
      <c r="A37" s="396" t="n"/>
      <c r="B37" s="376" t="n"/>
      <c r="C37" s="376" t="n"/>
      <c r="D37" s="376" t="n"/>
      <c r="E37" s="376" t="n"/>
      <c r="F37" s="376" t="n"/>
      <c r="G37" s="376" t="n"/>
      <c r="H37" s="376" t="n"/>
      <c r="I37" s="376" t="n"/>
      <c r="J37" s="376" t="n"/>
      <c r="K37" s="376" t="n"/>
      <c r="L37" s="376" t="n"/>
      <c r="M37" s="376" t="n"/>
      <c r="N37" s="397" t="n"/>
      <c r="O37" s="391" t="inlineStr">
        <is>
          <t>Итого</t>
        </is>
      </c>
      <c r="P37" s="392" t="n"/>
      <c r="Q37" s="392" t="n"/>
      <c r="R37" s="392" t="n"/>
      <c r="S37" s="392" t="n"/>
      <c r="T37" s="392" t="n"/>
      <c r="U37" s="393" t="n"/>
      <c r="V37" s="37" t="inlineStr">
        <is>
          <t>кор</t>
        </is>
      </c>
      <c r="W37" s="755">
        <f>IFERROR(W36/H36,"0")</f>
        <v/>
      </c>
      <c r="X37" s="755">
        <f>IFERROR(X36/H36,"0")</f>
        <v/>
      </c>
      <c r="Y37" s="755">
        <f>IFERROR(IF(Y36="",0,Y36),"0")</f>
        <v/>
      </c>
      <c r="Z37" s="756" t="n"/>
      <c r="AA37" s="756" t="n"/>
    </row>
    <row r="38">
      <c r="A38" s="376" t="n"/>
      <c r="B38" s="376" t="n"/>
      <c r="C38" s="376" t="n"/>
      <c r="D38" s="376" t="n"/>
      <c r="E38" s="376" t="n"/>
      <c r="F38" s="376" t="n"/>
      <c r="G38" s="376" t="n"/>
      <c r="H38" s="376" t="n"/>
      <c r="I38" s="376" t="n"/>
      <c r="J38" s="376" t="n"/>
      <c r="K38" s="376" t="n"/>
      <c r="L38" s="376" t="n"/>
      <c r="M38" s="376" t="n"/>
      <c r="N38" s="397" t="n"/>
      <c r="O38" s="391" t="inlineStr">
        <is>
          <t>Итого</t>
        </is>
      </c>
      <c r="P38" s="392" t="n"/>
      <c r="Q38" s="392" t="n"/>
      <c r="R38" s="392" t="n"/>
      <c r="S38" s="392" t="n"/>
      <c r="T38" s="392" t="n"/>
      <c r="U38" s="393" t="n"/>
      <c r="V38" s="37" t="inlineStr">
        <is>
          <t>кг</t>
        </is>
      </c>
      <c r="W38" s="755">
        <f>IFERROR(SUM(W36:W36),"0")</f>
        <v/>
      </c>
      <c r="X38" s="755">
        <f>IFERROR(SUM(X36:X36),"0")</f>
        <v/>
      </c>
      <c r="Y38" s="37" t="n"/>
      <c r="Z38" s="756" t="n"/>
      <c r="AA38" s="756" t="n"/>
    </row>
    <row r="39" ht="14.25" customHeight="1">
      <c r="A39" s="375" t="inlineStr">
        <is>
          <t>Продукты из мяса птицы копчено-вареные</t>
        </is>
      </c>
      <c r="B39" s="376" t="n"/>
      <c r="C39" s="376" t="n"/>
      <c r="D39" s="376" t="n"/>
      <c r="E39" s="376" t="n"/>
      <c r="F39" s="376" t="n"/>
      <c r="G39" s="376" t="n"/>
      <c r="H39" s="376" t="n"/>
      <c r="I39" s="376" t="n"/>
      <c r="J39" s="376" t="n"/>
      <c r="K39" s="376" t="n"/>
      <c r="L39" s="376" t="n"/>
      <c r="M39" s="376" t="n"/>
      <c r="N39" s="376" t="n"/>
      <c r="O39" s="376" t="n"/>
      <c r="P39" s="376" t="n"/>
      <c r="Q39" s="376" t="n"/>
      <c r="R39" s="376" t="n"/>
      <c r="S39" s="376" t="n"/>
      <c r="T39" s="376" t="n"/>
      <c r="U39" s="376" t="n"/>
      <c r="V39" s="376" t="n"/>
      <c r="W39" s="376" t="n"/>
      <c r="X39" s="376" t="n"/>
      <c r="Y39" s="376" t="n"/>
      <c r="Z39" s="375" t="n"/>
      <c r="AA39" s="375" t="n"/>
    </row>
    <row r="40" ht="80.25" customHeight="1">
      <c r="A40" s="54" t="inlineStr">
        <is>
          <t>SU001872</t>
        </is>
      </c>
      <c r="B40" s="54" t="inlineStr">
        <is>
          <t>P001933</t>
        </is>
      </c>
      <c r="C40" s="31" t="n">
        <v>4301160001</v>
      </c>
      <c r="D40" s="369" t="n">
        <v>4607091388282</v>
      </c>
      <c r="E40" s="370" t="n"/>
      <c r="F40" s="752" t="n">
        <v>0.3</v>
      </c>
      <c r="G40" s="32" t="n">
        <v>6</v>
      </c>
      <c r="H40" s="752" t="n">
        <v>1.8</v>
      </c>
      <c r="I40" s="752" t="n">
        <v>2.084</v>
      </c>
      <c r="J40" s="32" t="n">
        <v>156</v>
      </c>
      <c r="K40" s="32" t="inlineStr">
        <is>
          <t>12</t>
        </is>
      </c>
      <c r="L40" s="33" t="inlineStr">
        <is>
          <t>АК</t>
        </is>
      </c>
      <c r="M40" s="33" t="n"/>
      <c r="N40" s="32" t="n">
        <v>30</v>
      </c>
      <c r="O40" s="5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0" s="372" t="n"/>
      <c r="Q40" s="372" t="n"/>
      <c r="R40" s="372" t="n"/>
      <c r="S40" s="370" t="n"/>
      <c r="T40" s="34" t="n"/>
      <c r="U40" s="34" t="n"/>
      <c r="V40" s="35" t="inlineStr">
        <is>
          <t>кг</t>
        </is>
      </c>
      <c r="W40" s="753" t="n">
        <v>0</v>
      </c>
      <c r="X40" s="754">
        <f>IFERROR(IF(W40="",0,CEILING((W40/$H40),1)*$H40),"")</f>
        <v/>
      </c>
      <c r="Y40" s="36">
        <f>IFERROR(IF(X40=0,"",ROUNDUP(X40/H40,0)*0.00753),"")</f>
        <v/>
      </c>
      <c r="Z40" s="56" t="inlineStr">
        <is>
          <t>Предзаказ по четвергам до 12:00 на отгрузку со вторника следующей недели</t>
        </is>
      </c>
      <c r="AA40" s="57" t="n"/>
      <c r="AE40" s="58" t="n"/>
      <c r="BB40" s="74" t="inlineStr">
        <is>
          <t>КИ</t>
        </is>
      </c>
    </row>
    <row r="41">
      <c r="A41" s="396" t="n"/>
      <c r="B41" s="376" t="n"/>
      <c r="C41" s="376" t="n"/>
      <c r="D41" s="376" t="n"/>
      <c r="E41" s="376" t="n"/>
      <c r="F41" s="376" t="n"/>
      <c r="G41" s="376" t="n"/>
      <c r="H41" s="376" t="n"/>
      <c r="I41" s="376" t="n"/>
      <c r="J41" s="376" t="n"/>
      <c r="K41" s="376" t="n"/>
      <c r="L41" s="376" t="n"/>
      <c r="M41" s="376" t="n"/>
      <c r="N41" s="397" t="n"/>
      <c r="O41" s="391" t="inlineStr">
        <is>
          <t>Итого</t>
        </is>
      </c>
      <c r="P41" s="392" t="n"/>
      <c r="Q41" s="392" t="n"/>
      <c r="R41" s="392" t="n"/>
      <c r="S41" s="392" t="n"/>
      <c r="T41" s="392" t="n"/>
      <c r="U41" s="393" t="n"/>
      <c r="V41" s="37" t="inlineStr">
        <is>
          <t>кор</t>
        </is>
      </c>
      <c r="W41" s="755">
        <f>IFERROR(W40/H40,"0")</f>
        <v/>
      </c>
      <c r="X41" s="755">
        <f>IFERROR(X40/H40,"0")</f>
        <v/>
      </c>
      <c r="Y41" s="755">
        <f>IFERROR(IF(Y40="",0,Y40),"0")</f>
        <v/>
      </c>
      <c r="Z41" s="756" t="n"/>
      <c r="AA41" s="756" t="n"/>
    </row>
    <row r="42">
      <c r="A42" s="376" t="n"/>
      <c r="B42" s="376" t="n"/>
      <c r="C42" s="376" t="n"/>
      <c r="D42" s="376" t="n"/>
      <c r="E42" s="376" t="n"/>
      <c r="F42" s="376" t="n"/>
      <c r="G42" s="376" t="n"/>
      <c r="H42" s="376" t="n"/>
      <c r="I42" s="376" t="n"/>
      <c r="J42" s="376" t="n"/>
      <c r="K42" s="376" t="n"/>
      <c r="L42" s="376" t="n"/>
      <c r="M42" s="376" t="n"/>
      <c r="N42" s="397" t="n"/>
      <c r="O42" s="391" t="inlineStr">
        <is>
          <t>Итого</t>
        </is>
      </c>
      <c r="P42" s="392" t="n"/>
      <c r="Q42" s="392" t="n"/>
      <c r="R42" s="392" t="n"/>
      <c r="S42" s="392" t="n"/>
      <c r="T42" s="392" t="n"/>
      <c r="U42" s="393" t="n"/>
      <c r="V42" s="37" t="inlineStr">
        <is>
          <t>кг</t>
        </is>
      </c>
      <c r="W42" s="755">
        <f>IFERROR(SUM(W40:W40),"0")</f>
        <v/>
      </c>
      <c r="X42" s="755">
        <f>IFERROR(SUM(X40:X40),"0")</f>
        <v/>
      </c>
      <c r="Y42" s="37" t="n"/>
      <c r="Z42" s="756" t="n"/>
      <c r="AA42" s="756" t="n"/>
    </row>
    <row r="43" ht="14.25" customHeight="1">
      <c r="A43" s="375" t="inlineStr">
        <is>
          <t>Сыровяленые колбасы</t>
        </is>
      </c>
      <c r="B43" s="376" t="n"/>
      <c r="C43" s="376" t="n"/>
      <c r="D43" s="376" t="n"/>
      <c r="E43" s="376" t="n"/>
      <c r="F43" s="376" t="n"/>
      <c r="G43" s="376" t="n"/>
      <c r="H43" s="376" t="n"/>
      <c r="I43" s="376" t="n"/>
      <c r="J43" s="376" t="n"/>
      <c r="K43" s="376" t="n"/>
      <c r="L43" s="376" t="n"/>
      <c r="M43" s="376" t="n"/>
      <c r="N43" s="376" t="n"/>
      <c r="O43" s="376" t="n"/>
      <c r="P43" s="376" t="n"/>
      <c r="Q43" s="376" t="n"/>
      <c r="R43" s="376" t="n"/>
      <c r="S43" s="376" t="n"/>
      <c r="T43" s="376" t="n"/>
      <c r="U43" s="376" t="n"/>
      <c r="V43" s="376" t="n"/>
      <c r="W43" s="376" t="n"/>
      <c r="X43" s="376" t="n"/>
      <c r="Y43" s="376" t="n"/>
      <c r="Z43" s="375" t="n"/>
      <c r="AA43" s="375" t="n"/>
    </row>
    <row r="44" ht="27" customHeight="1">
      <c r="A44" s="54" t="inlineStr">
        <is>
          <t>SU002049</t>
        </is>
      </c>
      <c r="B44" s="54" t="inlineStr">
        <is>
          <t>P002191</t>
        </is>
      </c>
      <c r="C44" s="31" t="n">
        <v>4301170002</v>
      </c>
      <c r="D44" s="369" t="n">
        <v>4607091389111</v>
      </c>
      <c r="E44" s="370" t="n"/>
      <c r="F44" s="752" t="n">
        <v>0.025</v>
      </c>
      <c r="G44" s="32" t="n">
        <v>10</v>
      </c>
      <c r="H44" s="752" t="n">
        <v>0.25</v>
      </c>
      <c r="I44" s="752" t="n">
        <v>0.492</v>
      </c>
      <c r="J44" s="32" t="n">
        <v>156</v>
      </c>
      <c r="K44" s="32" t="inlineStr">
        <is>
          <t>12</t>
        </is>
      </c>
      <c r="L44" s="33" t="inlineStr">
        <is>
          <t>АК</t>
        </is>
      </c>
      <c r="M44" s="33" t="n"/>
      <c r="N44" s="32" t="n">
        <v>120</v>
      </c>
      <c r="O44" s="39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4" s="372" t="n"/>
      <c r="Q44" s="372" t="n"/>
      <c r="R44" s="372" t="n"/>
      <c r="S44" s="370" t="n"/>
      <c r="T44" s="34" t="n"/>
      <c r="U44" s="34" t="n"/>
      <c r="V44" s="35" t="inlineStr">
        <is>
          <t>кг</t>
        </is>
      </c>
      <c r="W44" s="753" t="n">
        <v>0</v>
      </c>
      <c r="X44" s="754">
        <f>IFERROR(IF(W44="",0,CEILING((W44/$H44),1)*$H44),"")</f>
        <v/>
      </c>
      <c r="Y44" s="36">
        <f>IFERROR(IF(X44=0,"",ROUNDUP(X44/H44,0)*0.00753),"")</f>
        <v/>
      </c>
      <c r="Z44" s="56" t="n"/>
      <c r="AA44" s="57" t="n"/>
      <c r="AE44" s="58" t="n"/>
      <c r="BB44" s="75" t="inlineStr">
        <is>
          <t>СНК</t>
        </is>
      </c>
    </row>
    <row r="45">
      <c r="A45" s="396" t="n"/>
      <c r="B45" s="376" t="n"/>
      <c r="C45" s="376" t="n"/>
      <c r="D45" s="376" t="n"/>
      <c r="E45" s="376" t="n"/>
      <c r="F45" s="376" t="n"/>
      <c r="G45" s="376" t="n"/>
      <c r="H45" s="376" t="n"/>
      <c r="I45" s="376" t="n"/>
      <c r="J45" s="376" t="n"/>
      <c r="K45" s="376" t="n"/>
      <c r="L45" s="376" t="n"/>
      <c r="M45" s="376" t="n"/>
      <c r="N45" s="397" t="n"/>
      <c r="O45" s="391" t="inlineStr">
        <is>
          <t>Итого</t>
        </is>
      </c>
      <c r="P45" s="392" t="n"/>
      <c r="Q45" s="392" t="n"/>
      <c r="R45" s="392" t="n"/>
      <c r="S45" s="392" t="n"/>
      <c r="T45" s="392" t="n"/>
      <c r="U45" s="393" t="n"/>
      <c r="V45" s="37" t="inlineStr">
        <is>
          <t>кор</t>
        </is>
      </c>
      <c r="W45" s="755">
        <f>IFERROR(W44/H44,"0")</f>
        <v/>
      </c>
      <c r="X45" s="755">
        <f>IFERROR(X44/H44,"0")</f>
        <v/>
      </c>
      <c r="Y45" s="755">
        <f>IFERROR(IF(Y44="",0,Y44),"0")</f>
        <v/>
      </c>
      <c r="Z45" s="756" t="n"/>
      <c r="AA45" s="756" t="n"/>
    </row>
    <row r="46">
      <c r="A46" s="376" t="n"/>
      <c r="B46" s="376" t="n"/>
      <c r="C46" s="376" t="n"/>
      <c r="D46" s="376" t="n"/>
      <c r="E46" s="376" t="n"/>
      <c r="F46" s="376" t="n"/>
      <c r="G46" s="376" t="n"/>
      <c r="H46" s="376" t="n"/>
      <c r="I46" s="376" t="n"/>
      <c r="J46" s="376" t="n"/>
      <c r="K46" s="376" t="n"/>
      <c r="L46" s="376" t="n"/>
      <c r="M46" s="376" t="n"/>
      <c r="N46" s="397" t="n"/>
      <c r="O46" s="391" t="inlineStr">
        <is>
          <t>Итого</t>
        </is>
      </c>
      <c r="P46" s="392" t="n"/>
      <c r="Q46" s="392" t="n"/>
      <c r="R46" s="392" t="n"/>
      <c r="S46" s="392" t="n"/>
      <c r="T46" s="392" t="n"/>
      <c r="U46" s="393" t="n"/>
      <c r="V46" s="37" t="inlineStr">
        <is>
          <t>кг</t>
        </is>
      </c>
      <c r="W46" s="755">
        <f>IFERROR(SUM(W44:W44),"0")</f>
        <v/>
      </c>
      <c r="X46" s="755">
        <f>IFERROR(SUM(X44:X44),"0")</f>
        <v/>
      </c>
      <c r="Y46" s="37" t="n"/>
      <c r="Z46" s="756" t="n"/>
      <c r="AA46" s="756" t="n"/>
    </row>
    <row r="47" ht="27.75" customHeight="1">
      <c r="A47" s="386" t="inlineStr">
        <is>
          <t>Вязанка</t>
        </is>
      </c>
      <c r="B47" s="387" t="n"/>
      <c r="C47" s="387" t="n"/>
      <c r="D47" s="387" t="n"/>
      <c r="E47" s="387" t="n"/>
      <c r="F47" s="387" t="n"/>
      <c r="G47" s="387" t="n"/>
      <c r="H47" s="387" t="n"/>
      <c r="I47" s="387" t="n"/>
      <c r="J47" s="387" t="n"/>
      <c r="K47" s="387" t="n"/>
      <c r="L47" s="387" t="n"/>
      <c r="M47" s="387" t="n"/>
      <c r="N47" s="387" t="n"/>
      <c r="O47" s="387" t="n"/>
      <c r="P47" s="387" t="n"/>
      <c r="Q47" s="387" t="n"/>
      <c r="R47" s="387" t="n"/>
      <c r="S47" s="387" t="n"/>
      <c r="T47" s="387" t="n"/>
      <c r="U47" s="387" t="n"/>
      <c r="V47" s="387" t="n"/>
      <c r="W47" s="387" t="n"/>
      <c r="X47" s="387" t="n"/>
      <c r="Y47" s="387" t="n"/>
      <c r="Z47" s="48" t="n"/>
      <c r="AA47" s="48" t="n"/>
    </row>
    <row r="48" ht="16.5" customHeight="1">
      <c r="A48" s="378" t="inlineStr">
        <is>
          <t>Столичная</t>
        </is>
      </c>
      <c r="B48" s="376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376" t="n"/>
      <c r="R48" s="376" t="n"/>
      <c r="S48" s="376" t="n"/>
      <c r="T48" s="376" t="n"/>
      <c r="U48" s="376" t="n"/>
      <c r="V48" s="376" t="n"/>
      <c r="W48" s="376" t="n"/>
      <c r="X48" s="376" t="n"/>
      <c r="Y48" s="376" t="n"/>
      <c r="Z48" s="378" t="n"/>
      <c r="AA48" s="378" t="n"/>
    </row>
    <row r="49" ht="14.25" customHeight="1">
      <c r="A49" s="375" t="inlineStr">
        <is>
          <t>Ветчины</t>
        </is>
      </c>
      <c r="B49" s="376" t="n"/>
      <c r="C49" s="376" t="n"/>
      <c r="D49" s="376" t="n"/>
      <c r="E49" s="376" t="n"/>
      <c r="F49" s="376" t="n"/>
      <c r="G49" s="376" t="n"/>
      <c r="H49" s="376" t="n"/>
      <c r="I49" s="376" t="n"/>
      <c r="J49" s="376" t="n"/>
      <c r="K49" s="376" t="n"/>
      <c r="L49" s="376" t="n"/>
      <c r="M49" s="376" t="n"/>
      <c r="N49" s="376" t="n"/>
      <c r="O49" s="376" t="n"/>
      <c r="P49" s="376" t="n"/>
      <c r="Q49" s="376" t="n"/>
      <c r="R49" s="376" t="n"/>
      <c r="S49" s="376" t="n"/>
      <c r="T49" s="376" t="n"/>
      <c r="U49" s="376" t="n"/>
      <c r="V49" s="376" t="n"/>
      <c r="W49" s="376" t="n"/>
      <c r="X49" s="376" t="n"/>
      <c r="Y49" s="376" t="n"/>
      <c r="Z49" s="375" t="n"/>
      <c r="AA49" s="375" t="n"/>
    </row>
    <row r="50" ht="27" customHeight="1">
      <c r="A50" s="54" t="inlineStr">
        <is>
          <t>SU002828</t>
        </is>
      </c>
      <c r="B50" s="54" t="inlineStr">
        <is>
          <t>P003234</t>
        </is>
      </c>
      <c r="C50" s="31" t="n">
        <v>4301020234</v>
      </c>
      <c r="D50" s="369" t="n">
        <v>4680115881440</v>
      </c>
      <c r="E50" s="370" t="n"/>
      <c r="F50" s="752" t="n">
        <v>1.35</v>
      </c>
      <c r="G50" s="32" t="n">
        <v>8</v>
      </c>
      <c r="H50" s="752" t="n">
        <v>10.8</v>
      </c>
      <c r="I50" s="752" t="n">
        <v>11.28</v>
      </c>
      <c r="J50" s="32" t="n">
        <v>56</v>
      </c>
      <c r="K50" s="32" t="inlineStr">
        <is>
          <t>8</t>
        </is>
      </c>
      <c r="L50" s="33" t="inlineStr">
        <is>
          <t>СК1</t>
        </is>
      </c>
      <c r="M50" s="33" t="n"/>
      <c r="N50" s="32" t="n">
        <v>50</v>
      </c>
      <c r="O50" s="431">
        <f>HYPERLINK("https://abi.ru/products/Охлажденные/Вязанка/Столичная/Ветчины/P003234/","Ветчины «Филейская» Весовые Вектор ТМ «Вязанка»")</f>
        <v/>
      </c>
      <c r="P50" s="372" t="n"/>
      <c r="Q50" s="372" t="n"/>
      <c r="R50" s="372" t="n"/>
      <c r="S50" s="370" t="n"/>
      <c r="T50" s="34" t="n"/>
      <c r="U50" s="34" t="n"/>
      <c r="V50" s="35" t="inlineStr">
        <is>
          <t>кг</t>
        </is>
      </c>
      <c r="W50" s="753" t="n">
        <v>0</v>
      </c>
      <c r="X50" s="754">
        <f>IFERROR(IF(W50="",0,CEILING((W50/$H50),1)*$H50),"")</f>
        <v/>
      </c>
      <c r="Y50" s="36">
        <f>IFERROR(IF(X50=0,"",ROUNDUP(X50/H50,0)*0.02175),"")</f>
        <v/>
      </c>
      <c r="Z50" s="56" t="n"/>
      <c r="AA50" s="57" t="n"/>
      <c r="AE50" s="58" t="n"/>
      <c r="BB50" s="76" t="inlineStr">
        <is>
          <t>КИ</t>
        </is>
      </c>
    </row>
    <row r="51" ht="27" customHeight="1">
      <c r="A51" s="54" t="inlineStr">
        <is>
          <t>SU002814</t>
        </is>
      </c>
      <c r="B51" s="54" t="inlineStr">
        <is>
          <t>P003226</t>
        </is>
      </c>
      <c r="C51" s="31" t="n">
        <v>4301020232</v>
      </c>
      <c r="D51" s="369" t="n">
        <v>4680115881433</v>
      </c>
      <c r="E51" s="370" t="n"/>
      <c r="F51" s="752" t="n">
        <v>0.45</v>
      </c>
      <c r="G51" s="32" t="n">
        <v>6</v>
      </c>
      <c r="H51" s="752" t="n">
        <v>2.7</v>
      </c>
      <c r="I51" s="752" t="n">
        <v>2.9</v>
      </c>
      <c r="J51" s="32" t="n">
        <v>156</v>
      </c>
      <c r="K51" s="32" t="inlineStr">
        <is>
          <t>12</t>
        </is>
      </c>
      <c r="L51" s="33" t="inlineStr">
        <is>
          <t>СК1</t>
        </is>
      </c>
      <c r="M51" s="33" t="n"/>
      <c r="N51" s="32" t="n">
        <v>50</v>
      </c>
      <c r="O51" s="598">
        <f>HYPERLINK("https://abi.ru/products/Охлажденные/Вязанка/Столичная/Ветчины/P003226/","Ветчины «Филейская» Фикс.вес 0,45 Вектор ТМ «Вязанка»")</f>
        <v/>
      </c>
      <c r="P51" s="372" t="n"/>
      <c r="Q51" s="372" t="n"/>
      <c r="R51" s="372" t="n"/>
      <c r="S51" s="370" t="n"/>
      <c r="T51" s="34" t="n"/>
      <c r="U51" s="34" t="n"/>
      <c r="V51" s="35" t="inlineStr">
        <is>
          <t>кг</t>
        </is>
      </c>
      <c r="W51" s="753" t="n">
        <v>0</v>
      </c>
      <c r="X51" s="754">
        <f>IFERROR(IF(W51="",0,CEILING((W51/$H51),1)*$H51),"")</f>
        <v/>
      </c>
      <c r="Y51" s="36">
        <f>IFERROR(IF(X51=0,"",ROUNDUP(X51/H51,0)*0.00753),"")</f>
        <v/>
      </c>
      <c r="Z51" s="56" t="n"/>
      <c r="AA51" s="57" t="n"/>
      <c r="AE51" s="58" t="n"/>
      <c r="BB51" s="77" t="inlineStr">
        <is>
          <t>КИ</t>
        </is>
      </c>
    </row>
    <row r="52">
      <c r="A52" s="396" t="n"/>
      <c r="B52" s="376" t="n"/>
      <c r="C52" s="376" t="n"/>
      <c r="D52" s="376" t="n"/>
      <c r="E52" s="376" t="n"/>
      <c r="F52" s="376" t="n"/>
      <c r="G52" s="376" t="n"/>
      <c r="H52" s="376" t="n"/>
      <c r="I52" s="376" t="n"/>
      <c r="J52" s="376" t="n"/>
      <c r="K52" s="376" t="n"/>
      <c r="L52" s="376" t="n"/>
      <c r="M52" s="376" t="n"/>
      <c r="N52" s="397" t="n"/>
      <c r="O52" s="391" t="inlineStr">
        <is>
          <t>Итого</t>
        </is>
      </c>
      <c r="P52" s="392" t="n"/>
      <c r="Q52" s="392" t="n"/>
      <c r="R52" s="392" t="n"/>
      <c r="S52" s="392" t="n"/>
      <c r="T52" s="392" t="n"/>
      <c r="U52" s="393" t="n"/>
      <c r="V52" s="37" t="inlineStr">
        <is>
          <t>кор</t>
        </is>
      </c>
      <c r="W52" s="755">
        <f>IFERROR(W50/H50,"0")+IFERROR(W51/H51,"0")</f>
        <v/>
      </c>
      <c r="X52" s="755">
        <f>IFERROR(X50/H50,"0")+IFERROR(X51/H51,"0")</f>
        <v/>
      </c>
      <c r="Y52" s="755">
        <f>IFERROR(IF(Y50="",0,Y50),"0")+IFERROR(IF(Y51="",0,Y51),"0")</f>
        <v/>
      </c>
      <c r="Z52" s="756" t="n"/>
      <c r="AA52" s="756" t="n"/>
    </row>
    <row r="53">
      <c r="A53" s="376" t="n"/>
      <c r="B53" s="376" t="n"/>
      <c r="C53" s="376" t="n"/>
      <c r="D53" s="376" t="n"/>
      <c r="E53" s="376" t="n"/>
      <c r="F53" s="376" t="n"/>
      <c r="G53" s="376" t="n"/>
      <c r="H53" s="376" t="n"/>
      <c r="I53" s="376" t="n"/>
      <c r="J53" s="376" t="n"/>
      <c r="K53" s="376" t="n"/>
      <c r="L53" s="376" t="n"/>
      <c r="M53" s="376" t="n"/>
      <c r="N53" s="397" t="n"/>
      <c r="O53" s="391" t="inlineStr">
        <is>
          <t>Итого</t>
        </is>
      </c>
      <c r="P53" s="392" t="n"/>
      <c r="Q53" s="392" t="n"/>
      <c r="R53" s="392" t="n"/>
      <c r="S53" s="392" t="n"/>
      <c r="T53" s="392" t="n"/>
      <c r="U53" s="393" t="n"/>
      <c r="V53" s="37" t="inlineStr">
        <is>
          <t>кг</t>
        </is>
      </c>
      <c r="W53" s="755">
        <f>IFERROR(SUM(W50:W51),"0")</f>
        <v/>
      </c>
      <c r="X53" s="755">
        <f>IFERROR(SUM(X50:X51),"0")</f>
        <v/>
      </c>
      <c r="Y53" s="37" t="n"/>
      <c r="Z53" s="756" t="n"/>
      <c r="AA53" s="756" t="n"/>
    </row>
    <row r="54" ht="16.5" customHeight="1">
      <c r="A54" s="378" t="inlineStr">
        <is>
          <t>Классическая</t>
        </is>
      </c>
      <c r="B54" s="376" t="n"/>
      <c r="C54" s="376" t="n"/>
      <c r="D54" s="376" t="n"/>
      <c r="E54" s="376" t="n"/>
      <c r="F54" s="376" t="n"/>
      <c r="G54" s="376" t="n"/>
      <c r="H54" s="376" t="n"/>
      <c r="I54" s="376" t="n"/>
      <c r="J54" s="376" t="n"/>
      <c r="K54" s="376" t="n"/>
      <c r="L54" s="376" t="n"/>
      <c r="M54" s="376" t="n"/>
      <c r="N54" s="376" t="n"/>
      <c r="O54" s="376" t="n"/>
      <c r="P54" s="376" t="n"/>
      <c r="Q54" s="376" t="n"/>
      <c r="R54" s="376" t="n"/>
      <c r="S54" s="376" t="n"/>
      <c r="T54" s="376" t="n"/>
      <c r="U54" s="376" t="n"/>
      <c r="V54" s="376" t="n"/>
      <c r="W54" s="376" t="n"/>
      <c r="X54" s="376" t="n"/>
      <c r="Y54" s="376" t="n"/>
      <c r="Z54" s="378" t="n"/>
      <c r="AA54" s="378" t="n"/>
    </row>
    <row r="55" ht="14.25" customHeight="1">
      <c r="A55" s="375" t="inlineStr">
        <is>
          <t>Вареные колбасы</t>
        </is>
      </c>
      <c r="B55" s="376" t="n"/>
      <c r="C55" s="376" t="n"/>
      <c r="D55" s="376" t="n"/>
      <c r="E55" s="376" t="n"/>
      <c r="F55" s="376" t="n"/>
      <c r="G55" s="376" t="n"/>
      <c r="H55" s="376" t="n"/>
      <c r="I55" s="376" t="n"/>
      <c r="J55" s="376" t="n"/>
      <c r="K55" s="376" t="n"/>
      <c r="L55" s="376" t="n"/>
      <c r="M55" s="376" t="n"/>
      <c r="N55" s="376" t="n"/>
      <c r="O55" s="376" t="n"/>
      <c r="P55" s="376" t="n"/>
      <c r="Q55" s="376" t="n"/>
      <c r="R55" s="376" t="n"/>
      <c r="S55" s="376" t="n"/>
      <c r="T55" s="376" t="n"/>
      <c r="U55" s="376" t="n"/>
      <c r="V55" s="376" t="n"/>
      <c r="W55" s="376" t="n"/>
      <c r="X55" s="376" t="n"/>
      <c r="Y55" s="376" t="n"/>
      <c r="Z55" s="375" t="n"/>
      <c r="AA55" s="375" t="n"/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69" t="n">
        <v>4680115881426</v>
      </c>
      <c r="E56" s="370" t="n"/>
      <c r="F56" s="752" t="n">
        <v>1.35</v>
      </c>
      <c r="G56" s="32" t="n">
        <v>8</v>
      </c>
      <c r="H56" s="752" t="n">
        <v>10.8</v>
      </c>
      <c r="I56" s="752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3" t="n"/>
      <c r="N56" s="32" t="n">
        <v>50</v>
      </c>
      <c r="O56" s="4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6" s="372" t="n"/>
      <c r="Q56" s="372" t="n"/>
      <c r="R56" s="372" t="n"/>
      <c r="S56" s="370" t="n"/>
      <c r="T56" s="34" t="n"/>
      <c r="U56" s="34" t="n"/>
      <c r="V56" s="35" t="inlineStr">
        <is>
          <t>кг</t>
        </is>
      </c>
      <c r="W56" s="753" t="n">
        <v>0</v>
      </c>
      <c r="X56" s="754">
        <f>IFERROR(IF(W56="",0,CEILING((W56/$H56),1)*$H56),"")</f>
        <v/>
      </c>
      <c r="Y56" s="36">
        <f>IFERROR(IF(X56=0,"",ROUNDUP(X56/H56,0)*0.02175),"")</f>
        <v/>
      </c>
      <c r="Z56" s="56" t="n"/>
      <c r="AA56" s="57" t="n"/>
      <c r="AE56" s="58" t="n"/>
      <c r="BB56" s="78" t="inlineStr">
        <is>
          <t>КИ</t>
        </is>
      </c>
    </row>
    <row r="57" ht="27" customHeight="1">
      <c r="A57" s="54" t="inlineStr">
        <is>
          <t>SU002829</t>
        </is>
      </c>
      <c r="B57" s="54" t="inlineStr">
        <is>
          <t>P003298</t>
        </is>
      </c>
      <c r="C57" s="31" t="n">
        <v>4301011481</v>
      </c>
      <c r="D57" s="369" t="n">
        <v>4680115881426</v>
      </c>
      <c r="E57" s="370" t="n"/>
      <c r="F57" s="752" t="n">
        <v>1.35</v>
      </c>
      <c r="G57" s="32" t="n">
        <v>8</v>
      </c>
      <c r="H57" s="752" t="n">
        <v>10.8</v>
      </c>
      <c r="I57" s="752" t="n">
        <v>11.28</v>
      </c>
      <c r="J57" s="32" t="n">
        <v>48</v>
      </c>
      <c r="K57" s="32" t="inlineStr">
        <is>
          <t>8</t>
        </is>
      </c>
      <c r="L57" s="33" t="inlineStr">
        <is>
          <t>ВЗ</t>
        </is>
      </c>
      <c r="M57" s="33" t="n"/>
      <c r="N57" s="32" t="n">
        <v>55</v>
      </c>
      <c r="O57" s="41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7" s="372" t="n"/>
      <c r="Q57" s="372" t="n"/>
      <c r="R57" s="372" t="n"/>
      <c r="S57" s="370" t="n"/>
      <c r="T57" s="34" t="n"/>
      <c r="U57" s="34" t="n"/>
      <c r="V57" s="35" t="inlineStr">
        <is>
          <t>кг</t>
        </is>
      </c>
      <c r="W57" s="753" t="n">
        <v>0</v>
      </c>
      <c r="X57" s="754">
        <f>IFERROR(IF(W57="",0,CEILING((W57/$H57),1)*$H57),"")</f>
        <v/>
      </c>
      <c r="Y57" s="36">
        <f>IFERROR(IF(X57=0,"",ROUNDUP(X57/H57,0)*0.02039),"")</f>
        <v/>
      </c>
      <c r="Z57" s="56" t="n"/>
      <c r="AA57" s="57" t="n"/>
      <c r="AE57" s="58" t="n"/>
      <c r="BB57" s="79" t="inlineStr">
        <is>
          <t>КИ</t>
        </is>
      </c>
    </row>
    <row r="58" ht="27" customHeight="1">
      <c r="A58" s="54" t="inlineStr">
        <is>
          <t>SU002815</t>
        </is>
      </c>
      <c r="B58" s="54" t="inlineStr">
        <is>
          <t>P003227</t>
        </is>
      </c>
      <c r="C58" s="31" t="n">
        <v>4301011437</v>
      </c>
      <c r="D58" s="369" t="n">
        <v>4680115881419</v>
      </c>
      <c r="E58" s="370" t="n"/>
      <c r="F58" s="752" t="n">
        <v>0.45</v>
      </c>
      <c r="G58" s="32" t="n">
        <v>10</v>
      </c>
      <c r="H58" s="752" t="n">
        <v>4.5</v>
      </c>
      <c r="I58" s="752" t="n">
        <v>4.74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3" t="n"/>
      <c r="N58" s="32" t="n">
        <v>50</v>
      </c>
      <c r="O58" s="4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8" s="372" t="n"/>
      <c r="Q58" s="372" t="n"/>
      <c r="R58" s="372" t="n"/>
      <c r="S58" s="370" t="n"/>
      <c r="T58" s="34" t="n"/>
      <c r="U58" s="34" t="n"/>
      <c r="V58" s="35" t="inlineStr">
        <is>
          <t>кг</t>
        </is>
      </c>
      <c r="W58" s="753" t="n">
        <v>0</v>
      </c>
      <c r="X58" s="754">
        <f>IFERROR(IF(W58="",0,CEILING((W58/$H58),1)*$H58),"")</f>
        <v/>
      </c>
      <c r="Y58" s="36">
        <f>IFERROR(IF(X58=0,"",ROUNDUP(X58/H58,0)*0.00937),"")</f>
        <v/>
      </c>
      <c r="Z58" s="56" t="n"/>
      <c r="AA58" s="57" t="n"/>
      <c r="AE58" s="58" t="n"/>
      <c r="BB58" s="80" t="inlineStr">
        <is>
          <t>КИ</t>
        </is>
      </c>
    </row>
    <row r="59" ht="27" customHeight="1">
      <c r="A59" s="54" t="inlineStr">
        <is>
          <t>SU002831</t>
        </is>
      </c>
      <c r="B59" s="54" t="inlineStr">
        <is>
          <t>P003243</t>
        </is>
      </c>
      <c r="C59" s="31" t="n">
        <v>4301011458</v>
      </c>
      <c r="D59" s="369" t="n">
        <v>4680115881525</v>
      </c>
      <c r="E59" s="370" t="n"/>
      <c r="F59" s="752" t="n">
        <v>0.4</v>
      </c>
      <c r="G59" s="32" t="n">
        <v>10</v>
      </c>
      <c r="H59" s="752" t="n">
        <v>4</v>
      </c>
      <c r="I59" s="752" t="n">
        <v>4.24</v>
      </c>
      <c r="J59" s="32" t="n">
        <v>120</v>
      </c>
      <c r="K59" s="32" t="inlineStr">
        <is>
          <t>12</t>
        </is>
      </c>
      <c r="L59" s="33" t="inlineStr">
        <is>
          <t>СК1</t>
        </is>
      </c>
      <c r="M59" s="33" t="n"/>
      <c r="N59" s="32" t="n">
        <v>50</v>
      </c>
      <c r="O59" s="624" t="inlineStr">
        <is>
          <t>Колбаса вареная Филейская ТМ Вязанка ТС Классическая полиамид ф/в 0,4 кг</t>
        </is>
      </c>
      <c r="P59" s="372" t="n"/>
      <c r="Q59" s="372" t="n"/>
      <c r="R59" s="372" t="n"/>
      <c r="S59" s="370" t="n"/>
      <c r="T59" s="34" t="n"/>
      <c r="U59" s="34" t="n"/>
      <c r="V59" s="35" t="inlineStr">
        <is>
          <t>кг</t>
        </is>
      </c>
      <c r="W59" s="753" t="n">
        <v>0</v>
      </c>
      <c r="X59" s="754">
        <f>IFERROR(IF(W59="",0,CEILING((W59/$H59),1)*$H59),"")</f>
        <v/>
      </c>
      <c r="Y59" s="36">
        <f>IFERROR(IF(X59=0,"",ROUNDUP(X59/H59,0)*0.00937),"")</f>
        <v/>
      </c>
      <c r="Z59" s="56" t="n"/>
      <c r="AA59" s="57" t="n"/>
      <c r="AE59" s="58" t="n"/>
      <c r="BB59" s="81" t="inlineStr">
        <is>
          <t>КИ</t>
        </is>
      </c>
    </row>
    <row r="60">
      <c r="A60" s="396" t="n"/>
      <c r="B60" s="376" t="n"/>
      <c r="C60" s="376" t="n"/>
      <c r="D60" s="376" t="n"/>
      <c r="E60" s="376" t="n"/>
      <c r="F60" s="376" t="n"/>
      <c r="G60" s="376" t="n"/>
      <c r="H60" s="376" t="n"/>
      <c r="I60" s="376" t="n"/>
      <c r="J60" s="376" t="n"/>
      <c r="K60" s="376" t="n"/>
      <c r="L60" s="376" t="n"/>
      <c r="M60" s="376" t="n"/>
      <c r="N60" s="397" t="n"/>
      <c r="O60" s="391" t="inlineStr">
        <is>
          <t>Итого</t>
        </is>
      </c>
      <c r="P60" s="392" t="n"/>
      <c r="Q60" s="392" t="n"/>
      <c r="R60" s="392" t="n"/>
      <c r="S60" s="392" t="n"/>
      <c r="T60" s="392" t="n"/>
      <c r="U60" s="393" t="n"/>
      <c r="V60" s="37" t="inlineStr">
        <is>
          <t>кор</t>
        </is>
      </c>
      <c r="W60" s="755">
        <f>IFERROR(W56/H56,"0")+IFERROR(W57/H57,"0")+IFERROR(W58/H58,"0")+IFERROR(W59/H59,"0")</f>
        <v/>
      </c>
      <c r="X60" s="755">
        <f>IFERROR(X56/H56,"0")+IFERROR(X57/H57,"0")+IFERROR(X58/H58,"0")+IFERROR(X59/H59,"0")</f>
        <v/>
      </c>
      <c r="Y60" s="755">
        <f>IFERROR(IF(Y56="",0,Y56),"0")+IFERROR(IF(Y57="",0,Y57),"0")+IFERROR(IF(Y58="",0,Y58),"0")+IFERROR(IF(Y59="",0,Y59),"0")</f>
        <v/>
      </c>
      <c r="Z60" s="756" t="n"/>
      <c r="AA60" s="756" t="n"/>
    </row>
    <row r="61">
      <c r="A61" s="376" t="n"/>
      <c r="B61" s="376" t="n"/>
      <c r="C61" s="376" t="n"/>
      <c r="D61" s="376" t="n"/>
      <c r="E61" s="376" t="n"/>
      <c r="F61" s="376" t="n"/>
      <c r="G61" s="376" t="n"/>
      <c r="H61" s="376" t="n"/>
      <c r="I61" s="376" t="n"/>
      <c r="J61" s="376" t="n"/>
      <c r="K61" s="376" t="n"/>
      <c r="L61" s="376" t="n"/>
      <c r="M61" s="376" t="n"/>
      <c r="N61" s="397" t="n"/>
      <c r="O61" s="391" t="inlineStr">
        <is>
          <t>Итого</t>
        </is>
      </c>
      <c r="P61" s="392" t="n"/>
      <c r="Q61" s="392" t="n"/>
      <c r="R61" s="392" t="n"/>
      <c r="S61" s="392" t="n"/>
      <c r="T61" s="392" t="n"/>
      <c r="U61" s="393" t="n"/>
      <c r="V61" s="37" t="inlineStr">
        <is>
          <t>кг</t>
        </is>
      </c>
      <c r="W61" s="755">
        <f>IFERROR(SUM(W56:W59),"0")</f>
        <v/>
      </c>
      <c r="X61" s="755">
        <f>IFERROR(SUM(X56:X59),"0")</f>
        <v/>
      </c>
      <c r="Y61" s="37" t="n"/>
      <c r="Z61" s="756" t="n"/>
      <c r="AA61" s="756" t="n"/>
    </row>
    <row r="62" ht="16.5" customHeight="1">
      <c r="A62" s="378" t="inlineStr">
        <is>
          <t>Вязанка</t>
        </is>
      </c>
      <c r="B62" s="376" t="n"/>
      <c r="C62" s="376" t="n"/>
      <c r="D62" s="376" t="n"/>
      <c r="E62" s="376" t="n"/>
      <c r="F62" s="376" t="n"/>
      <c r="G62" s="376" t="n"/>
      <c r="H62" s="376" t="n"/>
      <c r="I62" s="376" t="n"/>
      <c r="J62" s="376" t="n"/>
      <c r="K62" s="376" t="n"/>
      <c r="L62" s="376" t="n"/>
      <c r="M62" s="376" t="n"/>
      <c r="N62" s="376" t="n"/>
      <c r="O62" s="376" t="n"/>
      <c r="P62" s="376" t="n"/>
      <c r="Q62" s="376" t="n"/>
      <c r="R62" s="376" t="n"/>
      <c r="S62" s="376" t="n"/>
      <c r="T62" s="376" t="n"/>
      <c r="U62" s="376" t="n"/>
      <c r="V62" s="376" t="n"/>
      <c r="W62" s="376" t="n"/>
      <c r="X62" s="376" t="n"/>
      <c r="Y62" s="376" t="n"/>
      <c r="Z62" s="378" t="n"/>
      <c r="AA62" s="378" t="n"/>
    </row>
    <row r="63" ht="14.25" customHeight="1">
      <c r="A63" s="375" t="inlineStr">
        <is>
          <t>Вареные колбасы</t>
        </is>
      </c>
      <c r="B63" s="376" t="n"/>
      <c r="C63" s="376" t="n"/>
      <c r="D63" s="376" t="n"/>
      <c r="E63" s="376" t="n"/>
      <c r="F63" s="376" t="n"/>
      <c r="G63" s="376" t="n"/>
      <c r="H63" s="376" t="n"/>
      <c r="I63" s="376" t="n"/>
      <c r="J63" s="376" t="n"/>
      <c r="K63" s="376" t="n"/>
      <c r="L63" s="376" t="n"/>
      <c r="M63" s="376" t="n"/>
      <c r="N63" s="376" t="n"/>
      <c r="O63" s="376" t="n"/>
      <c r="P63" s="376" t="n"/>
      <c r="Q63" s="376" t="n"/>
      <c r="R63" s="376" t="n"/>
      <c r="S63" s="376" t="n"/>
      <c r="T63" s="376" t="n"/>
      <c r="U63" s="376" t="n"/>
      <c r="V63" s="376" t="n"/>
      <c r="W63" s="376" t="n"/>
      <c r="X63" s="376" t="n"/>
      <c r="Y63" s="376" t="n"/>
      <c r="Z63" s="375" t="n"/>
      <c r="AA63" s="375" t="n"/>
    </row>
    <row r="64" ht="27" customHeight="1">
      <c r="A64" s="54" t="inlineStr">
        <is>
          <t>SU000124</t>
        </is>
      </c>
      <c r="B64" s="54" t="inlineStr">
        <is>
          <t>P003690</t>
        </is>
      </c>
      <c r="C64" s="31" t="n">
        <v>4301011623</v>
      </c>
      <c r="D64" s="369" t="n">
        <v>4607091382945</v>
      </c>
      <c r="E64" s="370" t="n"/>
      <c r="F64" s="752" t="n">
        <v>1.4</v>
      </c>
      <c r="G64" s="32" t="n">
        <v>8</v>
      </c>
      <c r="H64" s="752" t="n">
        <v>11.2</v>
      </c>
      <c r="I64" s="752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3" t="n"/>
      <c r="N64" s="32" t="n">
        <v>50</v>
      </c>
      <c r="O64" s="73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4" s="372" t="n"/>
      <c r="Q64" s="372" t="n"/>
      <c r="R64" s="372" t="n"/>
      <c r="S64" s="370" t="n"/>
      <c r="T64" s="34" t="n"/>
      <c r="U64" s="34" t="n"/>
      <c r="V64" s="35" t="inlineStr">
        <is>
          <t>кг</t>
        </is>
      </c>
      <c r="W64" s="753" t="n">
        <v>0</v>
      </c>
      <c r="X64" s="754">
        <f>IFERROR(IF(W64="",0,CEILING((W64/$H64),1)*$H64),"")</f>
        <v/>
      </c>
      <c r="Y64" s="36">
        <f>IFERROR(IF(X64=0,"",ROUNDUP(X64/H64,0)*0.02175),"")</f>
        <v/>
      </c>
      <c r="Z64" s="56" t="n"/>
      <c r="AA64" s="57" t="n"/>
      <c r="AE64" s="58" t="n"/>
      <c r="BB64" s="82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P003011</t>
        </is>
      </c>
      <c r="C65" s="31" t="n">
        <v>4301011380</v>
      </c>
      <c r="D65" s="369" t="n">
        <v>4607091385670</v>
      </c>
      <c r="E65" s="370" t="n"/>
      <c r="F65" s="752" t="n">
        <v>1.35</v>
      </c>
      <c r="G65" s="32" t="n">
        <v>8</v>
      </c>
      <c r="H65" s="752" t="n">
        <v>10.8</v>
      </c>
      <c r="I65" s="752" t="n">
        <v>11.28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3" t="n"/>
      <c r="N65" s="32" t="n">
        <v>50</v>
      </c>
      <c r="O65" s="3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5" s="372" t="n"/>
      <c r="Q65" s="372" t="n"/>
      <c r="R65" s="372" t="n"/>
      <c r="S65" s="370" t="n"/>
      <c r="T65" s="34" t="n"/>
      <c r="U65" s="34" t="n"/>
      <c r="V65" s="35" t="inlineStr">
        <is>
          <t>кг</t>
        </is>
      </c>
      <c r="W65" s="753" t="n">
        <v>0</v>
      </c>
      <c r="X65" s="754">
        <f>IFERROR(IF(W65="",0,CEILING((W65/$H65),1)*$H65),"")</f>
        <v/>
      </c>
      <c r="Y65" s="36">
        <f>IFERROR(IF(X65=0,"",ROUNDUP(X65/H65,0)*0.02175),"")</f>
        <v/>
      </c>
      <c r="Z65" s="56" t="n"/>
      <c r="AA65" s="57" t="n"/>
      <c r="AE65" s="58" t="n"/>
      <c r="BB65" s="83" t="inlineStr">
        <is>
          <t>КИ</t>
        </is>
      </c>
    </row>
    <row r="66" ht="27" customHeight="1">
      <c r="A66" s="54" t="inlineStr">
        <is>
          <t>SU000722</t>
        </is>
      </c>
      <c r="B66" s="54" t="inlineStr">
        <is>
          <t>P003369</t>
        </is>
      </c>
      <c r="C66" s="31" t="n">
        <v>4301011540</v>
      </c>
      <c r="D66" s="369" t="n">
        <v>4607091385670</v>
      </c>
      <c r="E66" s="370" t="n"/>
      <c r="F66" s="752" t="n">
        <v>1.4</v>
      </c>
      <c r="G66" s="32" t="n">
        <v>8</v>
      </c>
      <c r="H66" s="752" t="n">
        <v>11.2</v>
      </c>
      <c r="I66" s="752" t="n">
        <v>11.68</v>
      </c>
      <c r="J66" s="32" t="n">
        <v>56</v>
      </c>
      <c r="K66" s="32" t="inlineStr">
        <is>
          <t>8</t>
        </is>
      </c>
      <c r="L66" s="33" t="inlineStr">
        <is>
          <t>СК3</t>
        </is>
      </c>
      <c r="M66" s="33" t="n"/>
      <c r="N66" s="32" t="n">
        <v>50</v>
      </c>
      <c r="O66" s="497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372" t="n"/>
      <c r="Q66" s="372" t="n"/>
      <c r="R66" s="372" t="n"/>
      <c r="S66" s="370" t="n"/>
      <c r="T66" s="34" t="n"/>
      <c r="U66" s="34" t="n"/>
      <c r="V66" s="35" t="inlineStr">
        <is>
          <t>кг</t>
        </is>
      </c>
      <c r="W66" s="753" t="n">
        <v>0</v>
      </c>
      <c r="X66" s="754">
        <f>IFERROR(IF(W66="",0,CEILING((W66/$H66),1)*$H66),"")</f>
        <v/>
      </c>
      <c r="Y66" s="36">
        <f>IFERROR(IF(X66=0,"",ROUNDUP(X66/H66,0)*0.02175),"")</f>
        <v/>
      </c>
      <c r="Z66" s="56" t="n"/>
      <c r="AA66" s="57" t="n"/>
      <c r="AE66" s="58" t="n"/>
      <c r="BB66" s="84" t="inlineStr">
        <is>
          <t>КИ</t>
        </is>
      </c>
    </row>
    <row r="67" ht="27" customHeight="1">
      <c r="A67" s="54" t="inlineStr">
        <is>
          <t>SU003111</t>
        </is>
      </c>
      <c r="B67" s="54" t="inlineStr">
        <is>
          <t>P003694</t>
        </is>
      </c>
      <c r="C67" s="31" t="n">
        <v>4301011625</v>
      </c>
      <c r="D67" s="369" t="n">
        <v>4680115883956</v>
      </c>
      <c r="E67" s="370" t="n"/>
      <c r="F67" s="752" t="n">
        <v>1.4</v>
      </c>
      <c r="G67" s="32" t="n">
        <v>8</v>
      </c>
      <c r="H67" s="752" t="n">
        <v>11.2</v>
      </c>
      <c r="I67" s="752" t="n">
        <v>11.68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3" t="n"/>
      <c r="N67" s="32" t="n">
        <v>50</v>
      </c>
      <c r="O67" s="638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7" s="372" t="n"/>
      <c r="Q67" s="372" t="n"/>
      <c r="R67" s="372" t="n"/>
      <c r="S67" s="370" t="n"/>
      <c r="T67" s="34" t="n"/>
      <c r="U67" s="34" t="n"/>
      <c r="V67" s="35" t="inlineStr">
        <is>
          <t>кг</t>
        </is>
      </c>
      <c r="W67" s="753" t="n">
        <v>0</v>
      </c>
      <c r="X67" s="754">
        <f>IFERROR(IF(W67="",0,CEILING((W67/$H67),1)*$H67),"")</f>
        <v/>
      </c>
      <c r="Y67" s="36">
        <f>IFERROR(IF(X67=0,"",ROUNDUP(X67/H67,0)*0.02175),"")</f>
        <v/>
      </c>
      <c r="Z67" s="56" t="n"/>
      <c r="AA67" s="57" t="n"/>
      <c r="AE67" s="58" t="n"/>
      <c r="BB67" s="85" t="inlineStr">
        <is>
          <t>КИ</t>
        </is>
      </c>
    </row>
    <row r="68" ht="27" customHeight="1">
      <c r="A68" s="54" t="inlineStr">
        <is>
          <t>SU002830</t>
        </is>
      </c>
      <c r="B68" s="54" t="inlineStr">
        <is>
          <t>P003239</t>
        </is>
      </c>
      <c r="C68" s="31" t="n">
        <v>4301011468</v>
      </c>
      <c r="D68" s="369" t="n">
        <v>4680115881327</v>
      </c>
      <c r="E68" s="370" t="n"/>
      <c r="F68" s="752" t="n">
        <v>1.35</v>
      </c>
      <c r="G68" s="32" t="n">
        <v>8</v>
      </c>
      <c r="H68" s="752" t="n">
        <v>10.8</v>
      </c>
      <c r="I68" s="752" t="n">
        <v>11.28</v>
      </c>
      <c r="J68" s="32" t="n">
        <v>56</v>
      </c>
      <c r="K68" s="32" t="inlineStr">
        <is>
          <t>8</t>
        </is>
      </c>
      <c r="L68" s="33" t="inlineStr">
        <is>
          <t>СК4</t>
        </is>
      </c>
      <c r="M68" s="33" t="n"/>
      <c r="N68" s="32" t="n">
        <v>50</v>
      </c>
      <c r="O68" s="504">
        <f>HYPERLINK("https://abi.ru/products/Охлажденные/Вязанка/Вязанка/Вареные колбасы/P003239/","Вареные колбасы Молокуша Вязанка Вес п/а Вязанка")</f>
        <v/>
      </c>
      <c r="P68" s="372" t="n"/>
      <c r="Q68" s="372" t="n"/>
      <c r="R68" s="372" t="n"/>
      <c r="S68" s="370" t="n"/>
      <c r="T68" s="34" t="n"/>
      <c r="U68" s="34" t="n"/>
      <c r="V68" s="35" t="inlineStr">
        <is>
          <t>кг</t>
        </is>
      </c>
      <c r="W68" s="753" t="n">
        <v>0</v>
      </c>
      <c r="X68" s="754">
        <f>IFERROR(IF(W68="",0,CEILING((W68/$H68),1)*$H68),"")</f>
        <v/>
      </c>
      <c r="Y68" s="36">
        <f>IFERROR(IF(X68=0,"",ROUNDUP(X68/H68,0)*0.02175),"")</f>
        <v/>
      </c>
      <c r="Z68" s="56" t="n"/>
      <c r="AA68" s="57" t="n"/>
      <c r="AE68" s="58" t="n"/>
      <c r="BB68" s="86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69" t="n">
        <v>4680115882133</v>
      </c>
      <c r="E69" s="370" t="n"/>
      <c r="F69" s="752" t="n">
        <v>1.4</v>
      </c>
      <c r="G69" s="32" t="n">
        <v>8</v>
      </c>
      <c r="H69" s="752" t="n">
        <v>11.2</v>
      </c>
      <c r="I69" s="752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3" t="n"/>
      <c r="N69" s="32" t="n">
        <v>50</v>
      </c>
      <c r="O69" s="719">
        <f>HYPERLINK("https://abi.ru/products/Охлажденные/Вязанка/Вязанка/Вареные колбасы/P003902/","Вареные колбасы «Сливушка» Вес П/а ТМ «Вязанка»")</f>
        <v/>
      </c>
      <c r="P69" s="372" t="n"/>
      <c r="Q69" s="372" t="n"/>
      <c r="R69" s="372" t="n"/>
      <c r="S69" s="370" t="n"/>
      <c r="T69" s="34" t="n"/>
      <c r="U69" s="34" t="n"/>
      <c r="V69" s="35" t="inlineStr">
        <is>
          <t>кг</t>
        </is>
      </c>
      <c r="W69" s="753" t="n">
        <v>0</v>
      </c>
      <c r="X69" s="754">
        <f>IFERROR(IF(W69="",0,CEILING((W69/$H69),1)*$H69),"")</f>
        <v/>
      </c>
      <c r="Y69" s="36">
        <f>IFERROR(IF(X69=0,"",ROUNDUP(X69/H69,0)*0.02175),"")</f>
        <v/>
      </c>
      <c r="Z69" s="56" t="n"/>
      <c r="AA69" s="57" t="n"/>
      <c r="AE69" s="58" t="n"/>
      <c r="BB69" s="87" t="inlineStr">
        <is>
          <t>КИ</t>
        </is>
      </c>
    </row>
    <row r="70" ht="16.5" customHeight="1">
      <c r="A70" s="54" t="inlineStr">
        <is>
          <t>SU002928</t>
        </is>
      </c>
      <c r="B70" s="54" t="inlineStr">
        <is>
          <t>P003357</t>
        </is>
      </c>
      <c r="C70" s="31" t="n">
        <v>4301011514</v>
      </c>
      <c r="D70" s="369" t="n">
        <v>4680115882133</v>
      </c>
      <c r="E70" s="370" t="n"/>
      <c r="F70" s="752" t="n">
        <v>1.35</v>
      </c>
      <c r="G70" s="32" t="n">
        <v>8</v>
      </c>
      <c r="H70" s="752" t="n">
        <v>10.8</v>
      </c>
      <c r="I70" s="752" t="n">
        <v>11.28</v>
      </c>
      <c r="J70" s="32" t="n">
        <v>56</v>
      </c>
      <c r="K70" s="32" t="inlineStr">
        <is>
          <t>8</t>
        </is>
      </c>
      <c r="L70" s="33" t="inlineStr">
        <is>
          <t>СК1</t>
        </is>
      </c>
      <c r="M70" s="33" t="n"/>
      <c r="N70" s="32" t="n">
        <v>50</v>
      </c>
      <c r="O70" s="684">
        <f>HYPERLINK("https://abi.ru/products/Охлажденные/Вязанка/Вязанка/Вареные колбасы/P003357/","Вареные колбасы «Сливушка» Вес П/а ТМ «Вязанка»")</f>
        <v/>
      </c>
      <c r="P70" s="372" t="n"/>
      <c r="Q70" s="372" t="n"/>
      <c r="R70" s="372" t="n"/>
      <c r="S70" s="370" t="n"/>
      <c r="T70" s="34" t="n"/>
      <c r="U70" s="34" t="n"/>
      <c r="V70" s="35" t="inlineStr">
        <is>
          <t>кг</t>
        </is>
      </c>
      <c r="W70" s="753" t="n">
        <v>0</v>
      </c>
      <c r="X70" s="754">
        <f>IFERROR(IF(W70="",0,CEILING((W70/$H70),1)*$H70),"")</f>
        <v/>
      </c>
      <c r="Y70" s="36">
        <f>IFERROR(IF(X70=0,"",ROUNDUP(X70/H70,0)*0.02175),"")</f>
        <v/>
      </c>
      <c r="Z70" s="56" t="n"/>
      <c r="AA70" s="57" t="n"/>
      <c r="AE70" s="58" t="n"/>
      <c r="BB70" s="88" t="inlineStr">
        <is>
          <t>КИ</t>
        </is>
      </c>
    </row>
    <row r="71" ht="27" customHeight="1">
      <c r="A71" s="54" t="inlineStr">
        <is>
          <t>SU000125</t>
        </is>
      </c>
      <c r="B71" s="54" t="inlineStr">
        <is>
          <t>P002479</t>
        </is>
      </c>
      <c r="C71" s="31" t="n">
        <v>4301011192</v>
      </c>
      <c r="D71" s="369" t="n">
        <v>4607091382952</v>
      </c>
      <c r="E71" s="370" t="n"/>
      <c r="F71" s="752" t="n">
        <v>0.5</v>
      </c>
      <c r="G71" s="32" t="n">
        <v>6</v>
      </c>
      <c r="H71" s="752" t="n">
        <v>3</v>
      </c>
      <c r="I71" s="752" t="n">
        <v>3.2</v>
      </c>
      <c r="J71" s="32" t="n">
        <v>156</v>
      </c>
      <c r="K71" s="32" t="inlineStr">
        <is>
          <t>12</t>
        </is>
      </c>
      <c r="L71" s="33" t="inlineStr">
        <is>
          <t>СК1</t>
        </is>
      </c>
      <c r="M71" s="33" t="n"/>
      <c r="N71" s="32" t="n">
        <v>50</v>
      </c>
      <c r="O71" s="48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1" s="372" t="n"/>
      <c r="Q71" s="372" t="n"/>
      <c r="R71" s="372" t="n"/>
      <c r="S71" s="370" t="n"/>
      <c r="T71" s="34" t="n"/>
      <c r="U71" s="34" t="n"/>
      <c r="V71" s="35" t="inlineStr">
        <is>
          <t>кг</t>
        </is>
      </c>
      <c r="W71" s="753" t="n">
        <v>0</v>
      </c>
      <c r="X71" s="754">
        <f>IFERROR(IF(W71="",0,CEILING((W71/$H71),1)*$H71),"")</f>
        <v/>
      </c>
      <c r="Y71" s="36">
        <f>IFERROR(IF(X71=0,"",ROUNDUP(X71/H71,0)*0.00753),"")</f>
        <v/>
      </c>
      <c r="Z71" s="56" t="n"/>
      <c r="AA71" s="57" t="n"/>
      <c r="AE71" s="58" t="n"/>
      <c r="BB71" s="89" t="inlineStr">
        <is>
          <t>КИ</t>
        </is>
      </c>
    </row>
    <row r="72" ht="27" customHeight="1">
      <c r="A72" s="54" t="inlineStr">
        <is>
          <t>SU001485</t>
        </is>
      </c>
      <c r="B72" s="54" t="inlineStr">
        <is>
          <t>P003008</t>
        </is>
      </c>
      <c r="C72" s="31" t="n">
        <v>4301011382</v>
      </c>
      <c r="D72" s="369" t="n">
        <v>4607091385687</v>
      </c>
      <c r="E72" s="370" t="n"/>
      <c r="F72" s="752" t="n">
        <v>0.4</v>
      </c>
      <c r="G72" s="32" t="n">
        <v>10</v>
      </c>
      <c r="H72" s="752" t="n">
        <v>4</v>
      </c>
      <c r="I72" s="752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3" t="n"/>
      <c r="N72" s="32" t="n">
        <v>50</v>
      </c>
      <c r="O72" s="73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2" s="372" t="n"/>
      <c r="Q72" s="372" t="n"/>
      <c r="R72" s="372" t="n"/>
      <c r="S72" s="370" t="n"/>
      <c r="T72" s="34" t="n"/>
      <c r="U72" s="34" t="n"/>
      <c r="V72" s="35" t="inlineStr">
        <is>
          <t>кг</t>
        </is>
      </c>
      <c r="W72" s="753" t="n">
        <v>0</v>
      </c>
      <c r="X72" s="754">
        <f>IFERROR(IF(W72="",0,CEILING((W72/$H72),1)*$H72),"")</f>
        <v/>
      </c>
      <c r="Y72" s="36">
        <f>IFERROR(IF(X72=0,"",ROUNDUP(X72/H72,0)*0.00937),"")</f>
        <v/>
      </c>
      <c r="Z72" s="56" t="n"/>
      <c r="AA72" s="57" t="n"/>
      <c r="AE72" s="58" t="n"/>
      <c r="BB72" s="90" t="inlineStr">
        <is>
          <t>КИ</t>
        </is>
      </c>
    </row>
    <row r="73" ht="27" customHeight="1">
      <c r="A73" s="54" t="inlineStr">
        <is>
          <t>SU002986</t>
        </is>
      </c>
      <c r="B73" s="54" t="inlineStr">
        <is>
          <t>P003429</t>
        </is>
      </c>
      <c r="C73" s="31" t="n">
        <v>4301011565</v>
      </c>
      <c r="D73" s="369" t="n">
        <v>4680115882539</v>
      </c>
      <c r="E73" s="370" t="n"/>
      <c r="F73" s="752" t="n">
        <v>0.37</v>
      </c>
      <c r="G73" s="32" t="n">
        <v>10</v>
      </c>
      <c r="H73" s="752" t="n">
        <v>3.7</v>
      </c>
      <c r="I73" s="752" t="n">
        <v>3.94</v>
      </c>
      <c r="J73" s="32" t="n">
        <v>120</v>
      </c>
      <c r="K73" s="32" t="inlineStr">
        <is>
          <t>12</t>
        </is>
      </c>
      <c r="L73" s="33" t="inlineStr">
        <is>
          <t>СК3</t>
        </is>
      </c>
      <c r="M73" s="33" t="n"/>
      <c r="N73" s="32" t="n">
        <v>50</v>
      </c>
      <c r="O73" s="49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372" t="n"/>
      <c r="Q73" s="372" t="n"/>
      <c r="R73" s="372" t="n"/>
      <c r="S73" s="370" t="n"/>
      <c r="T73" s="34" t="n"/>
      <c r="U73" s="34" t="n"/>
      <c r="V73" s="35" t="inlineStr">
        <is>
          <t>кг</t>
        </is>
      </c>
      <c r="W73" s="753" t="n">
        <v>0</v>
      </c>
      <c r="X73" s="754">
        <f>IFERROR(IF(W73="",0,CEILING((W73/$H73),1)*$H73),"")</f>
        <v/>
      </c>
      <c r="Y73" s="36">
        <f>IFERROR(IF(X73=0,"",ROUNDUP(X73/H73,0)*0.00937),"")</f>
        <v/>
      </c>
      <c r="Z73" s="56" t="n"/>
      <c r="AA73" s="57" t="n"/>
      <c r="AE73" s="58" t="n"/>
      <c r="BB73" s="91" t="inlineStr">
        <is>
          <t>КИ</t>
        </is>
      </c>
    </row>
    <row r="74" ht="27" customHeight="1">
      <c r="A74" s="54" t="inlineStr">
        <is>
          <t>SU002312</t>
        </is>
      </c>
      <c r="B74" s="54" t="inlineStr">
        <is>
          <t>P002577</t>
        </is>
      </c>
      <c r="C74" s="31" t="n">
        <v>4301011344</v>
      </c>
      <c r="D74" s="369" t="n">
        <v>4607091384604</v>
      </c>
      <c r="E74" s="370" t="n"/>
      <c r="F74" s="752" t="n">
        <v>0.4</v>
      </c>
      <c r="G74" s="32" t="n">
        <v>10</v>
      </c>
      <c r="H74" s="752" t="n">
        <v>4</v>
      </c>
      <c r="I74" s="752" t="n">
        <v>4.24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3" t="n"/>
      <c r="N74" s="32" t="n">
        <v>50</v>
      </c>
      <c r="O74" s="5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P74" s="372" t="n"/>
      <c r="Q74" s="372" t="n"/>
      <c r="R74" s="372" t="n"/>
      <c r="S74" s="370" t="n"/>
      <c r="T74" s="34" t="n"/>
      <c r="U74" s="34" t="n"/>
      <c r="V74" s="35" t="inlineStr">
        <is>
          <t>кг</t>
        </is>
      </c>
      <c r="W74" s="753" t="n">
        <v>0</v>
      </c>
      <c r="X74" s="754">
        <f>IFERROR(IF(W74="",0,CEILING((W74/$H74),1)*$H74),"")</f>
        <v/>
      </c>
      <c r="Y74" s="36">
        <f>IFERROR(IF(X74=0,"",ROUNDUP(X74/H74,0)*0.00937),"")</f>
        <v/>
      </c>
      <c r="Z74" s="56" t="n"/>
      <c r="AA74" s="57" t="n"/>
      <c r="AE74" s="58" t="n"/>
      <c r="BB74" s="92" t="inlineStr">
        <is>
          <t>КИ</t>
        </is>
      </c>
    </row>
    <row r="75" ht="27" customHeight="1">
      <c r="A75" s="54" t="inlineStr">
        <is>
          <t>SU002312</t>
        </is>
      </c>
      <c r="B75" s="54" t="inlineStr">
        <is>
          <t>P003913</t>
        </is>
      </c>
      <c r="C75" s="31" t="n">
        <v>4301011705</v>
      </c>
      <c r="D75" s="369" t="n">
        <v>4607091384604</v>
      </c>
      <c r="E75" s="370" t="n"/>
      <c r="F75" s="752" t="n">
        <v>0.4</v>
      </c>
      <c r="G75" s="32" t="n">
        <v>10</v>
      </c>
      <c r="H75" s="752" t="n">
        <v>4</v>
      </c>
      <c r="I75" s="752" t="n">
        <v>4.24</v>
      </c>
      <c r="J75" s="32" t="n">
        <v>120</v>
      </c>
      <c r="K75" s="32" t="inlineStr">
        <is>
          <t>12</t>
        </is>
      </c>
      <c r="L75" s="33" t="inlineStr">
        <is>
          <t>СК1</t>
        </is>
      </c>
      <c r="M75" s="33" t="n"/>
      <c r="N75" s="32" t="n">
        <v>50</v>
      </c>
      <c r="O75" s="430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372" t="n"/>
      <c r="Q75" s="372" t="n"/>
      <c r="R75" s="372" t="n"/>
      <c r="S75" s="370" t="n"/>
      <c r="T75" s="34" t="n"/>
      <c r="U75" s="34" t="n"/>
      <c r="V75" s="35" t="inlineStr">
        <is>
          <t>кг</t>
        </is>
      </c>
      <c r="W75" s="753" t="n">
        <v>0</v>
      </c>
      <c r="X75" s="754">
        <f>IFERROR(IF(W75="",0,CEILING((W75/$H75),1)*$H75),"")</f>
        <v/>
      </c>
      <c r="Y75" s="36">
        <f>IFERROR(IF(X75=0,"",ROUNDUP(X75/H75,0)*0.00937),"")</f>
        <v/>
      </c>
      <c r="Z75" s="56" t="n"/>
      <c r="AA75" s="57" t="n"/>
      <c r="AE75" s="58" t="n"/>
      <c r="BB75" s="93" t="inlineStr">
        <is>
          <t>КИ</t>
        </is>
      </c>
    </row>
    <row r="76" ht="27" customHeight="1">
      <c r="A76" s="54" t="inlineStr">
        <is>
          <t>SU002674</t>
        </is>
      </c>
      <c r="B76" s="54" t="inlineStr">
        <is>
          <t>P003045</t>
        </is>
      </c>
      <c r="C76" s="31" t="n">
        <v>4301011386</v>
      </c>
      <c r="D76" s="369" t="n">
        <v>4680115880283</v>
      </c>
      <c r="E76" s="370" t="n"/>
      <c r="F76" s="752" t="n">
        <v>0.6</v>
      </c>
      <c r="G76" s="32" t="n">
        <v>8</v>
      </c>
      <c r="H76" s="752" t="n">
        <v>4.8</v>
      </c>
      <c r="I76" s="752" t="n">
        <v>5.04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3" t="n"/>
      <c r="N76" s="32" t="n">
        <v>45</v>
      </c>
      <c r="O76" s="6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372" t="n"/>
      <c r="Q76" s="372" t="n"/>
      <c r="R76" s="372" t="n"/>
      <c r="S76" s="370" t="n"/>
      <c r="T76" s="34" t="n"/>
      <c r="U76" s="34" t="n"/>
      <c r="V76" s="35" t="inlineStr">
        <is>
          <t>кг</t>
        </is>
      </c>
      <c r="W76" s="753" t="n">
        <v>0</v>
      </c>
      <c r="X76" s="754">
        <f>IFERROR(IF(W76="",0,CEILING((W76/$H76),1)*$H76),"")</f>
        <v/>
      </c>
      <c r="Y76" s="36">
        <f>IFERROR(IF(X76=0,"",ROUNDUP(X76/H76,0)*0.00937),"")</f>
        <v/>
      </c>
      <c r="Z76" s="56" t="n"/>
      <c r="AA76" s="57" t="n"/>
      <c r="AE76" s="58" t="n"/>
      <c r="BB76" s="94" t="inlineStr">
        <is>
          <t>КИ</t>
        </is>
      </c>
    </row>
    <row r="77" ht="27" customHeight="1">
      <c r="A77" s="54" t="inlineStr">
        <is>
          <t>SU003112</t>
        </is>
      </c>
      <c r="B77" s="54" t="inlineStr">
        <is>
          <t>P003695</t>
        </is>
      </c>
      <c r="C77" s="31" t="n">
        <v>4301011624</v>
      </c>
      <c r="D77" s="369" t="n">
        <v>4680115883949</v>
      </c>
      <c r="E77" s="370" t="n"/>
      <c r="F77" s="752" t="n">
        <v>0.37</v>
      </c>
      <c r="G77" s="32" t="n">
        <v>10</v>
      </c>
      <c r="H77" s="752" t="n">
        <v>3.7</v>
      </c>
      <c r="I77" s="752" t="n">
        <v>3.94</v>
      </c>
      <c r="J77" s="32" t="n">
        <v>120</v>
      </c>
      <c r="K77" s="32" t="inlineStr">
        <is>
          <t>12</t>
        </is>
      </c>
      <c r="L77" s="33" t="inlineStr">
        <is>
          <t>СК1</t>
        </is>
      </c>
      <c r="M77" s="33" t="n"/>
      <c r="N77" s="32" t="n">
        <v>50</v>
      </c>
      <c r="O77" s="612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372" t="n"/>
      <c r="Q77" s="372" t="n"/>
      <c r="R77" s="372" t="n"/>
      <c r="S77" s="370" t="n"/>
      <c r="T77" s="34" t="n"/>
      <c r="U77" s="34" t="n"/>
      <c r="V77" s="35" t="inlineStr">
        <is>
          <t>кг</t>
        </is>
      </c>
      <c r="W77" s="753" t="n">
        <v>0</v>
      </c>
      <c r="X77" s="754">
        <f>IFERROR(IF(W77="",0,CEILING((W77/$H77),1)*$H77),"")</f>
        <v/>
      </c>
      <c r="Y77" s="36">
        <f>IFERROR(IF(X77=0,"",ROUNDUP(X77/H77,0)*0.00937),"")</f>
        <v/>
      </c>
      <c r="Z77" s="56" t="n"/>
      <c r="AA77" s="57" t="n"/>
      <c r="AE77" s="58" t="n"/>
      <c r="BB77" s="95" t="inlineStr">
        <is>
          <t>КИ</t>
        </is>
      </c>
    </row>
    <row r="78" ht="16.5" customHeight="1">
      <c r="A78" s="54" t="inlineStr">
        <is>
          <t>SU002832</t>
        </is>
      </c>
      <c r="B78" s="54" t="inlineStr">
        <is>
          <t>P003245</t>
        </is>
      </c>
      <c r="C78" s="31" t="n">
        <v>4301011476</v>
      </c>
      <c r="D78" s="369" t="n">
        <v>4680115881518</v>
      </c>
      <c r="E78" s="370" t="n"/>
      <c r="F78" s="752" t="n">
        <v>0.4</v>
      </c>
      <c r="G78" s="32" t="n">
        <v>10</v>
      </c>
      <c r="H78" s="752" t="n">
        <v>4</v>
      </c>
      <c r="I78" s="752" t="n">
        <v>4.24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3" t="n"/>
      <c r="N78" s="32" t="n">
        <v>50</v>
      </c>
      <c r="O78" s="46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372" t="n"/>
      <c r="Q78" s="372" t="n"/>
      <c r="R78" s="372" t="n"/>
      <c r="S78" s="370" t="n"/>
      <c r="T78" s="34" t="n"/>
      <c r="U78" s="34" t="n"/>
      <c r="V78" s="35" t="inlineStr">
        <is>
          <t>кг</t>
        </is>
      </c>
      <c r="W78" s="753" t="n">
        <v>0</v>
      </c>
      <c r="X78" s="754">
        <f>IFERROR(IF(W78="",0,CEILING((W78/$H78),1)*$H78),"")</f>
        <v/>
      </c>
      <c r="Y78" s="36">
        <f>IFERROR(IF(X78=0,"",ROUNDUP(X78/H78,0)*0.00937),"")</f>
        <v/>
      </c>
      <c r="Z78" s="56" t="n"/>
      <c r="AA78" s="57" t="n"/>
      <c r="AE78" s="58" t="n"/>
      <c r="BB78" s="96" t="inlineStr">
        <is>
          <t>КИ</t>
        </is>
      </c>
    </row>
    <row r="79" ht="27" customHeight="1">
      <c r="A79" s="54" t="inlineStr">
        <is>
          <t>SU002816</t>
        </is>
      </c>
      <c r="B79" s="54" t="inlineStr">
        <is>
          <t>P003228</t>
        </is>
      </c>
      <c r="C79" s="31" t="n">
        <v>4301011443</v>
      </c>
      <c r="D79" s="369" t="n">
        <v>4680115881303</v>
      </c>
      <c r="E79" s="370" t="n"/>
      <c r="F79" s="752" t="n">
        <v>0.45</v>
      </c>
      <c r="G79" s="32" t="n">
        <v>10</v>
      </c>
      <c r="H79" s="752" t="n">
        <v>4.5</v>
      </c>
      <c r="I79" s="752" t="n">
        <v>4.71</v>
      </c>
      <c r="J79" s="32" t="n">
        <v>120</v>
      </c>
      <c r="K79" s="32" t="inlineStr">
        <is>
          <t>12</t>
        </is>
      </c>
      <c r="L79" s="33" t="inlineStr">
        <is>
          <t>СК4</t>
        </is>
      </c>
      <c r="M79" s="33" t="n"/>
      <c r="N79" s="32" t="n">
        <v>50</v>
      </c>
      <c r="O79" s="4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372" t="n"/>
      <c r="Q79" s="372" t="n"/>
      <c r="R79" s="372" t="n"/>
      <c r="S79" s="370" t="n"/>
      <c r="T79" s="34" t="n"/>
      <c r="U79" s="34" t="n"/>
      <c r="V79" s="35" t="inlineStr">
        <is>
          <t>кг</t>
        </is>
      </c>
      <c r="W79" s="753" t="n">
        <v>0</v>
      </c>
      <c r="X79" s="754">
        <f>IFERROR(IF(W79="",0,CEILING((W79/$H79),1)*$H79),"")</f>
        <v/>
      </c>
      <c r="Y79" s="36">
        <f>IFERROR(IF(X79=0,"",ROUNDUP(X79/H79,0)*0.00937),"")</f>
        <v/>
      </c>
      <c r="Z79" s="56" t="n"/>
      <c r="AA79" s="57" t="n"/>
      <c r="AE79" s="58" t="n"/>
      <c r="BB79" s="97" t="inlineStr">
        <is>
          <t>КИ</t>
        </is>
      </c>
    </row>
    <row r="80" ht="27" customHeight="1">
      <c r="A80" s="54" t="inlineStr">
        <is>
          <t>SU002983</t>
        </is>
      </c>
      <c r="B80" s="54" t="inlineStr">
        <is>
          <t>P003437</t>
        </is>
      </c>
      <c r="C80" s="31" t="n">
        <v>4301011562</v>
      </c>
      <c r="D80" s="369" t="n">
        <v>4680115882577</v>
      </c>
      <c r="E80" s="370" t="n"/>
      <c r="F80" s="752" t="n">
        <v>0.4</v>
      </c>
      <c r="G80" s="32" t="n">
        <v>8</v>
      </c>
      <c r="H80" s="752" t="n">
        <v>3.2</v>
      </c>
      <c r="I80" s="752" t="n">
        <v>3.4</v>
      </c>
      <c r="J80" s="32" t="n">
        <v>156</v>
      </c>
      <c r="K80" s="32" t="inlineStr">
        <is>
          <t>12</t>
        </is>
      </c>
      <c r="L80" s="33" t="inlineStr">
        <is>
          <t>АК</t>
        </is>
      </c>
      <c r="M80" s="33" t="n"/>
      <c r="N80" s="32" t="n">
        <v>90</v>
      </c>
      <c r="O80" s="43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372" t="n"/>
      <c r="Q80" s="372" t="n"/>
      <c r="R80" s="372" t="n"/>
      <c r="S80" s="370" t="n"/>
      <c r="T80" s="34" t="n"/>
      <c r="U80" s="34" t="n"/>
      <c r="V80" s="35" t="inlineStr">
        <is>
          <t>кг</t>
        </is>
      </c>
      <c r="W80" s="753" t="n">
        <v>0</v>
      </c>
      <c r="X80" s="754">
        <f>IFERROR(IF(W80="",0,CEILING((W80/$H80),1)*$H80),"")</f>
        <v/>
      </c>
      <c r="Y80" s="36">
        <f>IFERROR(IF(X80=0,"",ROUNDUP(X80/H80,0)*0.00753),"")</f>
        <v/>
      </c>
      <c r="Z80" s="56" t="n"/>
      <c r="AA80" s="57" t="n"/>
      <c r="AE80" s="58" t="n"/>
      <c r="BB80" s="98" t="inlineStr">
        <is>
          <t>КИ</t>
        </is>
      </c>
    </row>
    <row r="81" ht="27" customHeight="1">
      <c r="A81" s="54" t="inlineStr">
        <is>
          <t>SU002983</t>
        </is>
      </c>
      <c r="B81" s="54" t="inlineStr">
        <is>
          <t>P003441</t>
        </is>
      </c>
      <c r="C81" s="31" t="n">
        <v>4301011564</v>
      </c>
      <c r="D81" s="369" t="n">
        <v>4680115882577</v>
      </c>
      <c r="E81" s="370" t="n"/>
      <c r="F81" s="752" t="n">
        <v>0.4</v>
      </c>
      <c r="G81" s="32" t="n">
        <v>8</v>
      </c>
      <c r="H81" s="752" t="n">
        <v>3.2</v>
      </c>
      <c r="I81" s="752" t="n">
        <v>3.4</v>
      </c>
      <c r="J81" s="32" t="n">
        <v>156</v>
      </c>
      <c r="K81" s="32" t="inlineStr">
        <is>
          <t>12</t>
        </is>
      </c>
      <c r="L81" s="33" t="inlineStr">
        <is>
          <t>АК</t>
        </is>
      </c>
      <c r="M81" s="33" t="n"/>
      <c r="N81" s="32" t="n">
        <v>90</v>
      </c>
      <c r="O81" s="440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372" t="n"/>
      <c r="Q81" s="372" t="n"/>
      <c r="R81" s="372" t="n"/>
      <c r="S81" s="370" t="n"/>
      <c r="T81" s="34" t="n"/>
      <c r="U81" s="34" t="n"/>
      <c r="V81" s="35" t="inlineStr">
        <is>
          <t>кг</t>
        </is>
      </c>
      <c r="W81" s="753" t="n">
        <v>0</v>
      </c>
      <c r="X81" s="754">
        <f>IFERROR(IF(W81="",0,CEILING((W81/$H81),1)*$H81),"")</f>
        <v/>
      </c>
      <c r="Y81" s="36">
        <f>IFERROR(IF(X81=0,"",ROUNDUP(X81/H81,0)*0.00753),"")</f>
        <v/>
      </c>
      <c r="Z81" s="56" t="n"/>
      <c r="AA81" s="57" t="n"/>
      <c r="AE81" s="58" t="n"/>
      <c r="BB81" s="99" t="inlineStr">
        <is>
          <t>КИ</t>
        </is>
      </c>
    </row>
    <row r="82" ht="27" customHeight="1">
      <c r="A82" s="54" t="inlineStr">
        <is>
          <t>SU002785</t>
        </is>
      </c>
      <c r="B82" s="54" t="inlineStr">
        <is>
          <t>P003187</t>
        </is>
      </c>
      <c r="C82" s="31" t="n">
        <v>4301011432</v>
      </c>
      <c r="D82" s="369" t="n">
        <v>4680115882720</v>
      </c>
      <c r="E82" s="370" t="n"/>
      <c r="F82" s="752" t="n">
        <v>0.45</v>
      </c>
      <c r="G82" s="32" t="n">
        <v>10</v>
      </c>
      <c r="H82" s="752" t="n">
        <v>4.5</v>
      </c>
      <c r="I82" s="752" t="n">
        <v>4.74</v>
      </c>
      <c r="J82" s="32" t="n">
        <v>120</v>
      </c>
      <c r="K82" s="32" t="inlineStr">
        <is>
          <t>12</t>
        </is>
      </c>
      <c r="L82" s="33" t="inlineStr">
        <is>
          <t>СК1</t>
        </is>
      </c>
      <c r="M82" s="33" t="n"/>
      <c r="N82" s="32" t="n">
        <v>90</v>
      </c>
      <c r="O82" s="66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372" t="n"/>
      <c r="Q82" s="372" t="n"/>
      <c r="R82" s="372" t="n"/>
      <c r="S82" s="370" t="n"/>
      <c r="T82" s="34" t="n"/>
      <c r="U82" s="34" t="n"/>
      <c r="V82" s="35" t="inlineStr">
        <is>
          <t>кг</t>
        </is>
      </c>
      <c r="W82" s="753" t="n">
        <v>0</v>
      </c>
      <c r="X82" s="754">
        <f>IFERROR(IF(W82="",0,CEILING((W82/$H82),1)*$H82),"")</f>
        <v/>
      </c>
      <c r="Y82" s="36">
        <f>IFERROR(IF(X82=0,"",ROUNDUP(X82/H82,0)*0.00937),"")</f>
        <v/>
      </c>
      <c r="Z82" s="56" t="n"/>
      <c r="AA82" s="57" t="n"/>
      <c r="AE82" s="58" t="n"/>
      <c r="BB82" s="100" t="inlineStr">
        <is>
          <t>КИ</t>
        </is>
      </c>
    </row>
    <row r="83" ht="27" customHeight="1">
      <c r="A83" s="54" t="inlineStr">
        <is>
          <t>SU002733</t>
        </is>
      </c>
      <c r="B83" s="54" t="inlineStr">
        <is>
          <t>P003102</t>
        </is>
      </c>
      <c r="C83" s="31" t="n">
        <v>4301011417</v>
      </c>
      <c r="D83" s="369" t="n">
        <v>4680115880269</v>
      </c>
      <c r="E83" s="370" t="n"/>
      <c r="F83" s="752" t="n">
        <v>0.375</v>
      </c>
      <c r="G83" s="32" t="n">
        <v>10</v>
      </c>
      <c r="H83" s="752" t="n">
        <v>3.75</v>
      </c>
      <c r="I83" s="752" t="n">
        <v>3.99</v>
      </c>
      <c r="J83" s="32" t="n">
        <v>120</v>
      </c>
      <c r="K83" s="32" t="inlineStr">
        <is>
          <t>12</t>
        </is>
      </c>
      <c r="L83" s="33" t="inlineStr">
        <is>
          <t>СК3</t>
        </is>
      </c>
      <c r="M83" s="33" t="n"/>
      <c r="N83" s="32" t="n">
        <v>50</v>
      </c>
      <c r="O83" s="69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372" t="n"/>
      <c r="Q83" s="372" t="n"/>
      <c r="R83" s="372" t="n"/>
      <c r="S83" s="370" t="n"/>
      <c r="T83" s="34" t="n"/>
      <c r="U83" s="34" t="n"/>
      <c r="V83" s="35" t="inlineStr">
        <is>
          <t>кг</t>
        </is>
      </c>
      <c r="W83" s="753" t="n">
        <v>0</v>
      </c>
      <c r="X83" s="754">
        <f>IFERROR(IF(W83="",0,CEILING((W83/$H83),1)*$H83),"")</f>
        <v/>
      </c>
      <c r="Y83" s="36">
        <f>IFERROR(IF(X83=0,"",ROUNDUP(X83/H83,0)*0.00937),"")</f>
        <v/>
      </c>
      <c r="Z83" s="56" t="n"/>
      <c r="AA83" s="57" t="n"/>
      <c r="AE83" s="58" t="n"/>
      <c r="BB83" s="101" t="inlineStr">
        <is>
          <t>КИ</t>
        </is>
      </c>
    </row>
    <row r="84" ht="16.5" customHeight="1">
      <c r="A84" s="54" t="inlineStr">
        <is>
          <t>SU002734</t>
        </is>
      </c>
      <c r="B84" s="54" t="inlineStr">
        <is>
          <t>P003103</t>
        </is>
      </c>
      <c r="C84" s="31" t="n">
        <v>4301011415</v>
      </c>
      <c r="D84" s="369" t="n">
        <v>4680115880429</v>
      </c>
      <c r="E84" s="370" t="n"/>
      <c r="F84" s="752" t="n">
        <v>0.45</v>
      </c>
      <c r="G84" s="32" t="n">
        <v>10</v>
      </c>
      <c r="H84" s="752" t="n">
        <v>4.5</v>
      </c>
      <c r="I84" s="752" t="n">
        <v>4.74</v>
      </c>
      <c r="J84" s="32" t="n">
        <v>120</v>
      </c>
      <c r="K84" s="32" t="inlineStr">
        <is>
          <t>12</t>
        </is>
      </c>
      <c r="L84" s="33" t="inlineStr">
        <is>
          <t>СК3</t>
        </is>
      </c>
      <c r="M84" s="33" t="n"/>
      <c r="N84" s="32" t="n">
        <v>50</v>
      </c>
      <c r="O84" s="42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372" t="n"/>
      <c r="Q84" s="372" t="n"/>
      <c r="R84" s="372" t="n"/>
      <c r="S84" s="370" t="n"/>
      <c r="T84" s="34" t="n"/>
      <c r="U84" s="34" t="n"/>
      <c r="V84" s="35" t="inlineStr">
        <is>
          <t>кг</t>
        </is>
      </c>
      <c r="W84" s="753" t="n">
        <v>0</v>
      </c>
      <c r="X84" s="754">
        <f>IFERROR(IF(W84="",0,CEILING((W84/$H84),1)*$H84),"")</f>
        <v/>
      </c>
      <c r="Y84" s="36">
        <f>IFERROR(IF(X84=0,"",ROUNDUP(X84/H84,0)*0.00937),"")</f>
        <v/>
      </c>
      <c r="Z84" s="56" t="n"/>
      <c r="AA84" s="57" t="n"/>
      <c r="AE84" s="58" t="n"/>
      <c r="BB84" s="102" t="inlineStr">
        <is>
          <t>КИ</t>
        </is>
      </c>
    </row>
    <row r="85" ht="16.5" customHeight="1">
      <c r="A85" s="54" t="inlineStr">
        <is>
          <t>SU002827</t>
        </is>
      </c>
      <c r="B85" s="54" t="inlineStr">
        <is>
          <t>P003233</t>
        </is>
      </c>
      <c r="C85" s="31" t="n">
        <v>4301011462</v>
      </c>
      <c r="D85" s="369" t="n">
        <v>4680115881457</v>
      </c>
      <c r="E85" s="370" t="n"/>
      <c r="F85" s="752" t="n">
        <v>0.75</v>
      </c>
      <c r="G85" s="32" t="n">
        <v>6</v>
      </c>
      <c r="H85" s="752" t="n">
        <v>4.5</v>
      </c>
      <c r="I85" s="752" t="n">
        <v>4.74</v>
      </c>
      <c r="J85" s="32" t="n">
        <v>120</v>
      </c>
      <c r="K85" s="32" t="inlineStr">
        <is>
          <t>12</t>
        </is>
      </c>
      <c r="L85" s="33" t="inlineStr">
        <is>
          <t>СК3</t>
        </is>
      </c>
      <c r="M85" s="33" t="n"/>
      <c r="N85" s="32" t="n">
        <v>50</v>
      </c>
      <c r="O85" s="4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372" t="n"/>
      <c r="Q85" s="372" t="n"/>
      <c r="R85" s="372" t="n"/>
      <c r="S85" s="370" t="n"/>
      <c r="T85" s="34" t="n"/>
      <c r="U85" s="34" t="n"/>
      <c r="V85" s="35" t="inlineStr">
        <is>
          <t>кг</t>
        </is>
      </c>
      <c r="W85" s="753" t="n">
        <v>0</v>
      </c>
      <c r="X85" s="754">
        <f>IFERROR(IF(W85="",0,CEILING((W85/$H85),1)*$H85),"")</f>
        <v/>
      </c>
      <c r="Y85" s="36">
        <f>IFERROR(IF(X85=0,"",ROUNDUP(X85/H85,0)*0.00937),"")</f>
        <v/>
      </c>
      <c r="Z85" s="56" t="n"/>
      <c r="AA85" s="57" t="n"/>
      <c r="AE85" s="58" t="n"/>
      <c r="BB85" s="103" t="inlineStr">
        <is>
          <t>КИ</t>
        </is>
      </c>
    </row>
    <row r="86">
      <c r="A86" s="396" t="n"/>
      <c r="B86" s="376" t="n"/>
      <c r="C86" s="376" t="n"/>
      <c r="D86" s="376" t="n"/>
      <c r="E86" s="376" t="n"/>
      <c r="F86" s="376" t="n"/>
      <c r="G86" s="376" t="n"/>
      <c r="H86" s="376" t="n"/>
      <c r="I86" s="376" t="n"/>
      <c r="J86" s="376" t="n"/>
      <c r="K86" s="376" t="n"/>
      <c r="L86" s="376" t="n"/>
      <c r="M86" s="376" t="n"/>
      <c r="N86" s="397" t="n"/>
      <c r="O86" s="391" t="inlineStr">
        <is>
          <t>Итого</t>
        </is>
      </c>
      <c r="P86" s="392" t="n"/>
      <c r="Q86" s="392" t="n"/>
      <c r="R86" s="392" t="n"/>
      <c r="S86" s="392" t="n"/>
      <c r="T86" s="392" t="n"/>
      <c r="U86" s="393" t="n"/>
      <c r="V86" s="37" t="inlineStr">
        <is>
          <t>кор</t>
        </is>
      </c>
      <c r="W86" s="7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5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755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756" t="n"/>
      <c r="AA86" s="756" t="n"/>
    </row>
    <row r="87">
      <c r="A87" s="376" t="n"/>
      <c r="B87" s="376" t="n"/>
      <c r="C87" s="376" t="n"/>
      <c r="D87" s="376" t="n"/>
      <c r="E87" s="376" t="n"/>
      <c r="F87" s="376" t="n"/>
      <c r="G87" s="376" t="n"/>
      <c r="H87" s="376" t="n"/>
      <c r="I87" s="376" t="n"/>
      <c r="J87" s="376" t="n"/>
      <c r="K87" s="376" t="n"/>
      <c r="L87" s="376" t="n"/>
      <c r="M87" s="376" t="n"/>
      <c r="N87" s="397" t="n"/>
      <c r="O87" s="391" t="inlineStr">
        <is>
          <t>Итого</t>
        </is>
      </c>
      <c r="P87" s="392" t="n"/>
      <c r="Q87" s="392" t="n"/>
      <c r="R87" s="392" t="n"/>
      <c r="S87" s="392" t="n"/>
      <c r="T87" s="392" t="n"/>
      <c r="U87" s="393" t="n"/>
      <c r="V87" s="37" t="inlineStr">
        <is>
          <t>кг</t>
        </is>
      </c>
      <c r="W87" s="755">
        <f>IFERROR(SUM(W64:W85),"0")</f>
        <v/>
      </c>
      <c r="X87" s="755">
        <f>IFERROR(SUM(X64:X85),"0")</f>
        <v/>
      </c>
      <c r="Y87" s="37" t="n"/>
      <c r="Z87" s="756" t="n"/>
      <c r="AA87" s="756" t="n"/>
    </row>
    <row r="88" ht="14.25" customHeight="1">
      <c r="A88" s="375" t="inlineStr">
        <is>
          <t>Ветчины</t>
        </is>
      </c>
      <c r="B88" s="376" t="n"/>
      <c r="C88" s="376" t="n"/>
      <c r="D88" s="376" t="n"/>
      <c r="E88" s="376" t="n"/>
      <c r="F88" s="376" t="n"/>
      <c r="G88" s="376" t="n"/>
      <c r="H88" s="376" t="n"/>
      <c r="I88" s="376" t="n"/>
      <c r="J88" s="376" t="n"/>
      <c r="K88" s="376" t="n"/>
      <c r="L88" s="376" t="n"/>
      <c r="M88" s="376" t="n"/>
      <c r="N88" s="376" t="n"/>
      <c r="O88" s="376" t="n"/>
      <c r="P88" s="376" t="n"/>
      <c r="Q88" s="376" t="n"/>
      <c r="R88" s="376" t="n"/>
      <c r="S88" s="376" t="n"/>
      <c r="T88" s="376" t="n"/>
      <c r="U88" s="376" t="n"/>
      <c r="V88" s="376" t="n"/>
      <c r="W88" s="376" t="n"/>
      <c r="X88" s="376" t="n"/>
      <c r="Y88" s="376" t="n"/>
      <c r="Z88" s="375" t="n"/>
      <c r="AA88" s="375" t="n"/>
    </row>
    <row r="89" ht="16.5" customHeight="1">
      <c r="A89" s="54" t="inlineStr">
        <is>
          <t>SU002833</t>
        </is>
      </c>
      <c r="B89" s="54" t="inlineStr">
        <is>
          <t>P003236</t>
        </is>
      </c>
      <c r="C89" s="31" t="n">
        <v>4301020235</v>
      </c>
      <c r="D89" s="369" t="n">
        <v>4680115881488</v>
      </c>
      <c r="E89" s="370" t="n"/>
      <c r="F89" s="752" t="n">
        <v>1.35</v>
      </c>
      <c r="G89" s="32" t="n">
        <v>8</v>
      </c>
      <c r="H89" s="752" t="n">
        <v>10.8</v>
      </c>
      <c r="I89" s="752" t="n">
        <v>11.28</v>
      </c>
      <c r="J89" s="32" t="n">
        <v>48</v>
      </c>
      <c r="K89" s="32" t="inlineStr">
        <is>
          <t>8</t>
        </is>
      </c>
      <c r="L89" s="33" t="inlineStr">
        <is>
          <t>СК1</t>
        </is>
      </c>
      <c r="M89" s="33" t="n"/>
      <c r="N89" s="32" t="n">
        <v>50</v>
      </c>
      <c r="O89" s="625">
        <f>HYPERLINK("https://abi.ru/products/Охлажденные/Вязанка/Вязанка/Ветчины/P003236/","Ветчины Сливушка с индейкой Вязанка вес П/а Вязанка")</f>
        <v/>
      </c>
      <c r="P89" s="372" t="n"/>
      <c r="Q89" s="372" t="n"/>
      <c r="R89" s="372" t="n"/>
      <c r="S89" s="370" t="n"/>
      <c r="T89" s="34" t="n"/>
      <c r="U89" s="34" t="n"/>
      <c r="V89" s="35" t="inlineStr">
        <is>
          <t>кг</t>
        </is>
      </c>
      <c r="W89" s="753" t="n">
        <v>0</v>
      </c>
      <c r="X89" s="754">
        <f>IFERROR(IF(W89="",0,CEILING((W89/$H89),1)*$H89),"")</f>
        <v/>
      </c>
      <c r="Y89" s="36">
        <f>IFERROR(IF(X89=0,"",ROUNDUP(X89/H89,0)*0.02175),"")</f>
        <v/>
      </c>
      <c r="Z89" s="56" t="n"/>
      <c r="AA89" s="57" t="n"/>
      <c r="AE89" s="58" t="n"/>
      <c r="BB89" s="104" t="inlineStr">
        <is>
          <t>КИ</t>
        </is>
      </c>
    </row>
    <row r="90" ht="27" customHeight="1">
      <c r="A90" s="54" t="inlineStr">
        <is>
          <t>SU002786</t>
        </is>
      </c>
      <c r="B90" s="54" t="inlineStr">
        <is>
          <t>P003188</t>
        </is>
      </c>
      <c r="C90" s="31" t="n">
        <v>4301020228</v>
      </c>
      <c r="D90" s="369" t="n">
        <v>4680115882751</v>
      </c>
      <c r="E90" s="370" t="n"/>
      <c r="F90" s="752" t="n">
        <v>0.45</v>
      </c>
      <c r="G90" s="32" t="n">
        <v>10</v>
      </c>
      <c r="H90" s="752" t="n">
        <v>4.5</v>
      </c>
      <c r="I90" s="752" t="n">
        <v>4.74</v>
      </c>
      <c r="J90" s="32" t="n">
        <v>120</v>
      </c>
      <c r="K90" s="32" t="inlineStr">
        <is>
          <t>12</t>
        </is>
      </c>
      <c r="L90" s="33" t="inlineStr">
        <is>
          <t>СК1</t>
        </is>
      </c>
      <c r="M90" s="33" t="n"/>
      <c r="N90" s="32" t="n">
        <v>90</v>
      </c>
      <c r="O90" s="631">
        <f>HYPERLINK("https://abi.ru/products/Охлажденные/Вязанка/Вязанка/Ветчины/P003188/","Ветчины «Филейская #Живой_пар» ф/в 0,45 п/а ТМ «Вязанка»")</f>
        <v/>
      </c>
      <c r="P90" s="372" t="n"/>
      <c r="Q90" s="372" t="n"/>
      <c r="R90" s="372" t="n"/>
      <c r="S90" s="370" t="n"/>
      <c r="T90" s="34" t="n"/>
      <c r="U90" s="34" t="n"/>
      <c r="V90" s="35" t="inlineStr">
        <is>
          <t>кг</t>
        </is>
      </c>
      <c r="W90" s="753" t="n">
        <v>0</v>
      </c>
      <c r="X90" s="754">
        <f>IFERROR(IF(W90="",0,CEILING((W90/$H90),1)*$H90),"")</f>
        <v/>
      </c>
      <c r="Y90" s="36">
        <f>IFERROR(IF(X90=0,"",ROUNDUP(X90/H90,0)*0.00937),"")</f>
        <v/>
      </c>
      <c r="Z90" s="56" t="n"/>
      <c r="AA90" s="57" t="n"/>
      <c r="AE90" s="58" t="n"/>
      <c r="BB90" s="105" t="inlineStr">
        <is>
          <t>КИ</t>
        </is>
      </c>
    </row>
    <row r="91" ht="27" customHeight="1">
      <c r="A91" s="54" t="inlineStr">
        <is>
          <t>SU003037</t>
        </is>
      </c>
      <c r="B91" s="54" t="inlineStr">
        <is>
          <t>P003575</t>
        </is>
      </c>
      <c r="C91" s="31" t="n">
        <v>4301020258</v>
      </c>
      <c r="D91" s="369" t="n">
        <v>4680115882775</v>
      </c>
      <c r="E91" s="370" t="n"/>
      <c r="F91" s="752" t="n">
        <v>0.3</v>
      </c>
      <c r="G91" s="32" t="n">
        <v>8</v>
      </c>
      <c r="H91" s="752" t="n">
        <v>2.4</v>
      </c>
      <c r="I91" s="752" t="n">
        <v>2.5</v>
      </c>
      <c r="J91" s="32" t="n">
        <v>234</v>
      </c>
      <c r="K91" s="32" t="inlineStr">
        <is>
          <t>18</t>
        </is>
      </c>
      <c r="L91" s="33" t="inlineStr">
        <is>
          <t>СК3</t>
        </is>
      </c>
      <c r="M91" s="33" t="n"/>
      <c r="N91" s="32" t="n">
        <v>50</v>
      </c>
      <c r="O91" s="406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372" t="n"/>
      <c r="Q91" s="372" t="n"/>
      <c r="R91" s="372" t="n"/>
      <c r="S91" s="370" t="n"/>
      <c r="T91" s="34" t="n"/>
      <c r="U91" s="34" t="n"/>
      <c r="V91" s="35" t="inlineStr">
        <is>
          <t>кг</t>
        </is>
      </c>
      <c r="W91" s="753" t="n">
        <v>0</v>
      </c>
      <c r="X91" s="754">
        <f>IFERROR(IF(W91="",0,CEILING((W91/$H91),1)*$H91),"")</f>
        <v/>
      </c>
      <c r="Y91" s="36">
        <f>IFERROR(IF(X91=0,"",ROUNDUP(X91/H91,0)*0.00502),"")</f>
        <v/>
      </c>
      <c r="Z91" s="56" t="n"/>
      <c r="AA91" s="57" t="n"/>
      <c r="AE91" s="58" t="n"/>
      <c r="BB91" s="106" t="inlineStr">
        <is>
          <t>КИ</t>
        </is>
      </c>
    </row>
    <row r="92" ht="27" customHeight="1">
      <c r="A92" s="54" t="inlineStr">
        <is>
          <t>SU002735</t>
        </is>
      </c>
      <c r="B92" s="54" t="inlineStr">
        <is>
          <t>P003107</t>
        </is>
      </c>
      <c r="C92" s="31" t="n">
        <v>4301020217</v>
      </c>
      <c r="D92" s="369" t="n">
        <v>4680115880658</v>
      </c>
      <c r="E92" s="370" t="n"/>
      <c r="F92" s="752" t="n">
        <v>0.4</v>
      </c>
      <c r="G92" s="32" t="n">
        <v>6</v>
      </c>
      <c r="H92" s="752" t="n">
        <v>2.4</v>
      </c>
      <c r="I92" s="752" t="n">
        <v>2.6</v>
      </c>
      <c r="J92" s="32" t="n">
        <v>156</v>
      </c>
      <c r="K92" s="32" t="inlineStr">
        <is>
          <t>12</t>
        </is>
      </c>
      <c r="L92" s="33" t="inlineStr">
        <is>
          <t>СК1</t>
        </is>
      </c>
      <c r="M92" s="33" t="n"/>
      <c r="N92" s="32" t="n">
        <v>50</v>
      </c>
      <c r="O92" s="3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372" t="n"/>
      <c r="Q92" s="372" t="n"/>
      <c r="R92" s="372" t="n"/>
      <c r="S92" s="370" t="n"/>
      <c r="T92" s="34" t="n"/>
      <c r="U92" s="34" t="n"/>
      <c r="V92" s="35" t="inlineStr">
        <is>
          <t>кг</t>
        </is>
      </c>
      <c r="W92" s="753" t="n">
        <v>0</v>
      </c>
      <c r="X92" s="754">
        <f>IFERROR(IF(W92="",0,CEILING((W92/$H92),1)*$H92),"")</f>
        <v/>
      </c>
      <c r="Y92" s="36">
        <f>IFERROR(IF(X92=0,"",ROUNDUP(X92/H92,0)*0.00753),"")</f>
        <v/>
      </c>
      <c r="Z92" s="56" t="n"/>
      <c r="AA92" s="57" t="n"/>
      <c r="AE92" s="58" t="n"/>
      <c r="BB92" s="107" t="inlineStr">
        <is>
          <t>КИ</t>
        </is>
      </c>
    </row>
    <row r="93">
      <c r="A93" s="396" t="n"/>
      <c r="B93" s="376" t="n"/>
      <c r="C93" s="376" t="n"/>
      <c r="D93" s="376" t="n"/>
      <c r="E93" s="376" t="n"/>
      <c r="F93" s="376" t="n"/>
      <c r="G93" s="376" t="n"/>
      <c r="H93" s="376" t="n"/>
      <c r="I93" s="376" t="n"/>
      <c r="J93" s="376" t="n"/>
      <c r="K93" s="376" t="n"/>
      <c r="L93" s="376" t="n"/>
      <c r="M93" s="376" t="n"/>
      <c r="N93" s="397" t="n"/>
      <c r="O93" s="391" t="inlineStr">
        <is>
          <t>Итого</t>
        </is>
      </c>
      <c r="P93" s="392" t="n"/>
      <c r="Q93" s="392" t="n"/>
      <c r="R93" s="392" t="n"/>
      <c r="S93" s="392" t="n"/>
      <c r="T93" s="392" t="n"/>
      <c r="U93" s="393" t="n"/>
      <c r="V93" s="37" t="inlineStr">
        <is>
          <t>кор</t>
        </is>
      </c>
      <c r="W93" s="755">
        <f>IFERROR(W89/H89,"0")+IFERROR(W90/H90,"0")+IFERROR(W91/H91,"0")+IFERROR(W92/H92,"0")</f>
        <v/>
      </c>
      <c r="X93" s="755">
        <f>IFERROR(X89/H89,"0")+IFERROR(X90/H90,"0")+IFERROR(X91/H91,"0")+IFERROR(X92/H92,"0")</f>
        <v/>
      </c>
      <c r="Y93" s="755">
        <f>IFERROR(IF(Y89="",0,Y89),"0")+IFERROR(IF(Y90="",0,Y90),"0")+IFERROR(IF(Y91="",0,Y91),"0")+IFERROR(IF(Y92="",0,Y92),"0")</f>
        <v/>
      </c>
      <c r="Z93" s="756" t="n"/>
      <c r="AA93" s="756" t="n"/>
    </row>
    <row r="94">
      <c r="A94" s="376" t="n"/>
      <c r="B94" s="376" t="n"/>
      <c r="C94" s="376" t="n"/>
      <c r="D94" s="376" t="n"/>
      <c r="E94" s="376" t="n"/>
      <c r="F94" s="376" t="n"/>
      <c r="G94" s="376" t="n"/>
      <c r="H94" s="376" t="n"/>
      <c r="I94" s="376" t="n"/>
      <c r="J94" s="376" t="n"/>
      <c r="K94" s="376" t="n"/>
      <c r="L94" s="376" t="n"/>
      <c r="M94" s="376" t="n"/>
      <c r="N94" s="397" t="n"/>
      <c r="O94" s="391" t="inlineStr">
        <is>
          <t>Итого</t>
        </is>
      </c>
      <c r="P94" s="392" t="n"/>
      <c r="Q94" s="392" t="n"/>
      <c r="R94" s="392" t="n"/>
      <c r="S94" s="392" t="n"/>
      <c r="T94" s="392" t="n"/>
      <c r="U94" s="393" t="n"/>
      <c r="V94" s="37" t="inlineStr">
        <is>
          <t>кг</t>
        </is>
      </c>
      <c r="W94" s="755">
        <f>IFERROR(SUM(W89:W92),"0")</f>
        <v/>
      </c>
      <c r="X94" s="755">
        <f>IFERROR(SUM(X89:X92),"0")</f>
        <v/>
      </c>
      <c r="Y94" s="37" t="n"/>
      <c r="Z94" s="756" t="n"/>
      <c r="AA94" s="756" t="n"/>
    </row>
    <row r="95" ht="14.25" customHeight="1">
      <c r="A95" s="375" t="inlineStr">
        <is>
          <t>Копченые колбасы</t>
        </is>
      </c>
      <c r="B95" s="376" t="n"/>
      <c r="C95" s="376" t="n"/>
      <c r="D95" s="376" t="n"/>
      <c r="E95" s="376" t="n"/>
      <c r="F95" s="376" t="n"/>
      <c r="G95" s="376" t="n"/>
      <c r="H95" s="376" t="n"/>
      <c r="I95" s="376" t="n"/>
      <c r="J95" s="376" t="n"/>
      <c r="K95" s="376" t="n"/>
      <c r="L95" s="376" t="n"/>
      <c r="M95" s="376" t="n"/>
      <c r="N95" s="376" t="n"/>
      <c r="O95" s="376" t="n"/>
      <c r="P95" s="376" t="n"/>
      <c r="Q95" s="376" t="n"/>
      <c r="R95" s="376" t="n"/>
      <c r="S95" s="376" t="n"/>
      <c r="T95" s="376" t="n"/>
      <c r="U95" s="376" t="n"/>
      <c r="V95" s="376" t="n"/>
      <c r="W95" s="376" t="n"/>
      <c r="X95" s="376" t="n"/>
      <c r="Y95" s="376" t="n"/>
      <c r="Z95" s="375" t="n"/>
      <c r="AA95" s="375" t="n"/>
    </row>
    <row r="96" ht="16.5" customHeight="1">
      <c r="A96" s="54" t="inlineStr">
        <is>
          <t>SU000064</t>
        </is>
      </c>
      <c r="B96" s="54" t="inlineStr">
        <is>
          <t>P001841</t>
        </is>
      </c>
      <c r="C96" s="31" t="n">
        <v>4301030895</v>
      </c>
      <c r="D96" s="369" t="n">
        <v>4607091387667</v>
      </c>
      <c r="E96" s="370" t="n"/>
      <c r="F96" s="752" t="n">
        <v>0.9</v>
      </c>
      <c r="G96" s="32" t="n">
        <v>10</v>
      </c>
      <c r="H96" s="752" t="n">
        <v>9</v>
      </c>
      <c r="I96" s="752" t="n">
        <v>9.630000000000001</v>
      </c>
      <c r="J96" s="32" t="n">
        <v>56</v>
      </c>
      <c r="K96" s="32" t="inlineStr">
        <is>
          <t>8</t>
        </is>
      </c>
      <c r="L96" s="33" t="inlineStr">
        <is>
          <t>СК1</t>
        </is>
      </c>
      <c r="M96" s="33" t="n"/>
      <c r="N96" s="32" t="n">
        <v>40</v>
      </c>
      <c r="O96" s="6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372" t="n"/>
      <c r="Q96" s="372" t="n"/>
      <c r="R96" s="372" t="n"/>
      <c r="S96" s="370" t="n"/>
      <c r="T96" s="34" t="n"/>
      <c r="U96" s="34" t="n"/>
      <c r="V96" s="35" t="inlineStr">
        <is>
          <t>кг</t>
        </is>
      </c>
      <c r="W96" s="753" t="n">
        <v>0</v>
      </c>
      <c r="X96" s="754">
        <f>IFERROR(IF(W96="",0,CEILING((W96/$H96),1)*$H96),"")</f>
        <v/>
      </c>
      <c r="Y96" s="36">
        <f>IFERROR(IF(X96=0,"",ROUNDUP(X96/H96,0)*0.02175),"")</f>
        <v/>
      </c>
      <c r="Z96" s="56" t="n"/>
      <c r="AA96" s="57" t="n"/>
      <c r="AE96" s="58" t="n"/>
      <c r="BB96" s="108" t="inlineStr">
        <is>
          <t>КИ</t>
        </is>
      </c>
    </row>
    <row r="97" ht="27" customHeight="1">
      <c r="A97" s="54" t="inlineStr">
        <is>
          <t>SU000664</t>
        </is>
      </c>
      <c r="B97" s="54" t="inlineStr">
        <is>
          <t>P002177</t>
        </is>
      </c>
      <c r="C97" s="31" t="n">
        <v>4301030961</v>
      </c>
      <c r="D97" s="369" t="n">
        <v>4607091387636</v>
      </c>
      <c r="E97" s="370" t="n"/>
      <c r="F97" s="752" t="n">
        <v>0.7</v>
      </c>
      <c r="G97" s="32" t="n">
        <v>6</v>
      </c>
      <c r="H97" s="752" t="n">
        <v>4.2</v>
      </c>
      <c r="I97" s="752" t="n">
        <v>4.5</v>
      </c>
      <c r="J97" s="32" t="n">
        <v>120</v>
      </c>
      <c r="K97" s="32" t="inlineStr">
        <is>
          <t>12</t>
        </is>
      </c>
      <c r="L97" s="33" t="inlineStr">
        <is>
          <t>СК2</t>
        </is>
      </c>
      <c r="M97" s="33" t="n"/>
      <c r="N97" s="32" t="n">
        <v>40</v>
      </c>
      <c r="O97" s="5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372" t="n"/>
      <c r="Q97" s="372" t="n"/>
      <c r="R97" s="372" t="n"/>
      <c r="S97" s="370" t="n"/>
      <c r="T97" s="34" t="n"/>
      <c r="U97" s="34" t="n"/>
      <c r="V97" s="35" t="inlineStr">
        <is>
          <t>кг</t>
        </is>
      </c>
      <c r="W97" s="753" t="n">
        <v>0</v>
      </c>
      <c r="X97" s="754">
        <f>IFERROR(IF(W97="",0,CEILING((W97/$H97),1)*$H97),"")</f>
        <v/>
      </c>
      <c r="Y97" s="36">
        <f>IFERROR(IF(X97=0,"",ROUNDUP(X97/H97,0)*0.00937),"")</f>
        <v/>
      </c>
      <c r="Z97" s="56" t="n"/>
      <c r="AA97" s="57" t="n"/>
      <c r="AE97" s="58" t="n"/>
      <c r="BB97" s="109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69" t="n">
        <v>4607091382426</v>
      </c>
      <c r="E98" s="370" t="n"/>
      <c r="F98" s="752" t="n">
        <v>0.9</v>
      </c>
      <c r="G98" s="32" t="n">
        <v>10</v>
      </c>
      <c r="H98" s="752" t="n">
        <v>9</v>
      </c>
      <c r="I98" s="752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3" t="n"/>
      <c r="N98" s="32" t="n">
        <v>40</v>
      </c>
      <c r="O98" s="64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372" t="n"/>
      <c r="Q98" s="372" t="n"/>
      <c r="R98" s="372" t="n"/>
      <c r="S98" s="370" t="n"/>
      <c r="T98" s="34" t="n"/>
      <c r="U98" s="34" t="n"/>
      <c r="V98" s="35" t="inlineStr">
        <is>
          <t>кг</t>
        </is>
      </c>
      <c r="W98" s="753" t="n">
        <v>0</v>
      </c>
      <c r="X98" s="754">
        <f>IFERROR(IF(W98="",0,CEILING((W98/$H98),1)*$H98),"")</f>
        <v/>
      </c>
      <c r="Y98" s="36">
        <f>IFERROR(IF(X98=0,"",ROUNDUP(X98/H98,0)*0.02175),"")</f>
        <v/>
      </c>
      <c r="Z98" s="56" t="n"/>
      <c r="AA98" s="57" t="n"/>
      <c r="AE98" s="58" t="n"/>
      <c r="BB98" s="110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69" t="n">
        <v>4607091386547</v>
      </c>
      <c r="E99" s="370" t="n"/>
      <c r="F99" s="752" t="n">
        <v>0.35</v>
      </c>
      <c r="G99" s="32" t="n">
        <v>8</v>
      </c>
      <c r="H99" s="752" t="n">
        <v>2.8</v>
      </c>
      <c r="I99" s="752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3" t="n"/>
      <c r="N99" s="32" t="n">
        <v>40</v>
      </c>
      <c r="O99" s="45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372" t="n"/>
      <c r="Q99" s="372" t="n"/>
      <c r="R99" s="372" t="n"/>
      <c r="S99" s="370" t="n"/>
      <c r="T99" s="34" t="n"/>
      <c r="U99" s="34" t="n"/>
      <c r="V99" s="35" t="inlineStr">
        <is>
          <t>кг</t>
        </is>
      </c>
      <c r="W99" s="753" t="n">
        <v>0</v>
      </c>
      <c r="X99" s="754">
        <f>IFERROR(IF(W99="",0,CEILING((W99/$H99),1)*$H99),"")</f>
        <v/>
      </c>
      <c r="Y99" s="36">
        <f>IFERROR(IF(X99=0,"",ROUNDUP(X99/H99,0)*0.00502),"")</f>
        <v/>
      </c>
      <c r="Z99" s="56" t="n"/>
      <c r="AA99" s="57" t="n"/>
      <c r="AE99" s="58" t="n"/>
      <c r="BB99" s="111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69" t="n">
        <v>4607091384734</v>
      </c>
      <c r="E100" s="370" t="n"/>
      <c r="F100" s="752" t="n">
        <v>0.35</v>
      </c>
      <c r="G100" s="32" t="n">
        <v>6</v>
      </c>
      <c r="H100" s="752" t="n">
        <v>2.1</v>
      </c>
      <c r="I100" s="752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3" t="n"/>
      <c r="N100" s="32" t="n">
        <v>45</v>
      </c>
      <c r="O100" s="4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P100" s="372" t="n"/>
      <c r="Q100" s="372" t="n"/>
      <c r="R100" s="372" t="n"/>
      <c r="S100" s="370" t="n"/>
      <c r="T100" s="34" t="n"/>
      <c r="U100" s="34" t="n"/>
      <c r="V100" s="35" t="inlineStr">
        <is>
          <t>кг</t>
        </is>
      </c>
      <c r="W100" s="753" t="n">
        <v>0</v>
      </c>
      <c r="X100" s="754">
        <f>IFERROR(IF(W100="",0,CEILING((W100/$H100),1)*$H100),"")</f>
        <v/>
      </c>
      <c r="Y100" s="36">
        <f>IFERROR(IF(X100=0,"",ROUNDUP(X100/H100,0)*0.00502),"")</f>
        <v/>
      </c>
      <c r="Z100" s="56" t="n"/>
      <c r="AA100" s="57" t="n"/>
      <c r="AE100" s="58" t="n"/>
      <c r="BB100" s="112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69" t="n">
        <v>4607091382464</v>
      </c>
      <c r="E101" s="370" t="n"/>
      <c r="F101" s="752" t="n">
        <v>0.35</v>
      </c>
      <c r="G101" s="32" t="n">
        <v>8</v>
      </c>
      <c r="H101" s="752" t="n">
        <v>2.8</v>
      </c>
      <c r="I101" s="752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3" t="n"/>
      <c r="N101" s="32" t="n">
        <v>40</v>
      </c>
      <c r="O101" s="68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372" t="n"/>
      <c r="Q101" s="372" t="n"/>
      <c r="R101" s="372" t="n"/>
      <c r="S101" s="370" t="n"/>
      <c r="T101" s="34" t="n"/>
      <c r="U101" s="34" t="n"/>
      <c r="V101" s="35" t="inlineStr">
        <is>
          <t>кг</t>
        </is>
      </c>
      <c r="W101" s="753" t="n">
        <v>0</v>
      </c>
      <c r="X101" s="754">
        <f>IFERROR(IF(W101="",0,CEILING((W101/$H101),1)*$H101),"")</f>
        <v/>
      </c>
      <c r="Y101" s="36">
        <f>IFERROR(IF(X101=0,"",ROUNDUP(X101/H101,0)*0.00502),"")</f>
        <v/>
      </c>
      <c r="Z101" s="56" t="n"/>
      <c r="AA101" s="57" t="n"/>
      <c r="AE101" s="58" t="n"/>
      <c r="BB101" s="113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69" t="n">
        <v>4680115883444</v>
      </c>
      <c r="E102" s="370" t="n"/>
      <c r="F102" s="752" t="n">
        <v>0.35</v>
      </c>
      <c r="G102" s="32" t="n">
        <v>8</v>
      </c>
      <c r="H102" s="752" t="n">
        <v>2.8</v>
      </c>
      <c r="I102" s="752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3" t="n"/>
      <c r="N102" s="32" t="n">
        <v>90</v>
      </c>
      <c r="O102" s="500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372" t="n"/>
      <c r="Q102" s="372" t="n"/>
      <c r="R102" s="372" t="n"/>
      <c r="S102" s="370" t="n"/>
      <c r="T102" s="34" t="n"/>
      <c r="U102" s="34" t="n"/>
      <c r="V102" s="35" t="inlineStr">
        <is>
          <t>кг</t>
        </is>
      </c>
      <c r="W102" s="753" t="n">
        <v>0</v>
      </c>
      <c r="X102" s="754">
        <f>IFERROR(IF(W102="",0,CEILING((W102/$H102),1)*$H102),"")</f>
        <v/>
      </c>
      <c r="Y102" s="36">
        <f>IFERROR(IF(X102=0,"",ROUNDUP(X102/H102,0)*0.00753),"")</f>
        <v/>
      </c>
      <c r="Z102" s="56" t="n"/>
      <c r="AA102" s="57" t="n"/>
      <c r="AE102" s="58" t="n"/>
      <c r="BB102" s="114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69" t="n">
        <v>4680115883444</v>
      </c>
      <c r="E103" s="370" t="n"/>
      <c r="F103" s="752" t="n">
        <v>0.35</v>
      </c>
      <c r="G103" s="32" t="n">
        <v>8</v>
      </c>
      <c r="H103" s="752" t="n">
        <v>2.8</v>
      </c>
      <c r="I103" s="752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3" t="n"/>
      <c r="N103" s="32" t="n">
        <v>90</v>
      </c>
      <c r="O103" s="53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372" t="n"/>
      <c r="Q103" s="372" t="n"/>
      <c r="R103" s="372" t="n"/>
      <c r="S103" s="370" t="n"/>
      <c r="T103" s="34" t="n"/>
      <c r="U103" s="34" t="n"/>
      <c r="V103" s="35" t="inlineStr">
        <is>
          <t>кг</t>
        </is>
      </c>
      <c r="W103" s="753" t="n">
        <v>0</v>
      </c>
      <c r="X103" s="754">
        <f>IFERROR(IF(W103="",0,CEILING((W103/$H103),1)*$H103),"")</f>
        <v/>
      </c>
      <c r="Y103" s="36">
        <f>IFERROR(IF(X103=0,"",ROUNDUP(X103/H103,0)*0.00753),"")</f>
        <v/>
      </c>
      <c r="Z103" s="56" t="n"/>
      <c r="AA103" s="57" t="n"/>
      <c r="AE103" s="58" t="n"/>
      <c r="BB103" s="115" t="inlineStr">
        <is>
          <t>КИ</t>
        </is>
      </c>
    </row>
    <row r="104">
      <c r="A104" s="396" t="n"/>
      <c r="B104" s="376" t="n"/>
      <c r="C104" s="376" t="n"/>
      <c r="D104" s="376" t="n"/>
      <c r="E104" s="376" t="n"/>
      <c r="F104" s="376" t="n"/>
      <c r="G104" s="376" t="n"/>
      <c r="H104" s="376" t="n"/>
      <c r="I104" s="376" t="n"/>
      <c r="J104" s="376" t="n"/>
      <c r="K104" s="376" t="n"/>
      <c r="L104" s="376" t="n"/>
      <c r="M104" s="376" t="n"/>
      <c r="N104" s="397" t="n"/>
      <c r="O104" s="391" t="inlineStr">
        <is>
          <t>Итого</t>
        </is>
      </c>
      <c r="P104" s="392" t="n"/>
      <c r="Q104" s="392" t="n"/>
      <c r="R104" s="392" t="n"/>
      <c r="S104" s="392" t="n"/>
      <c r="T104" s="392" t="n"/>
      <c r="U104" s="393" t="n"/>
      <c r="V104" s="37" t="inlineStr">
        <is>
          <t>кор</t>
        </is>
      </c>
      <c r="W104" s="755">
        <f>IFERROR(W96/H96,"0")+IFERROR(W97/H97,"0")+IFERROR(W98/H98,"0")+IFERROR(W99/H99,"0")+IFERROR(W100/H100,"0")+IFERROR(W101/H101,"0")+IFERROR(W102/H102,"0")+IFERROR(W103/H103,"0")</f>
        <v/>
      </c>
      <c r="X104" s="755">
        <f>IFERROR(X96/H96,"0")+IFERROR(X97/H97,"0")+IFERROR(X98/H98,"0")+IFERROR(X99/H99,"0")+IFERROR(X100/H100,"0")+IFERROR(X101/H101,"0")+IFERROR(X102/H102,"0")+IFERROR(X103/H103,"0")</f>
        <v/>
      </c>
      <c r="Y104" s="755">
        <f>IFERROR(IF(Y96="",0,Y96),"0")+IFERROR(IF(Y97="",0,Y97),"0")+IFERROR(IF(Y98="",0,Y98),"0")+IFERROR(IF(Y99="",0,Y99),"0")+IFERROR(IF(Y100="",0,Y100),"0")+IFERROR(IF(Y101="",0,Y101),"0")+IFERROR(IF(Y102="",0,Y102),"0")+IFERROR(IF(Y103="",0,Y103),"0")</f>
        <v/>
      </c>
      <c r="Z104" s="756" t="n"/>
      <c r="AA104" s="756" t="n"/>
    </row>
    <row r="105">
      <c r="A105" s="376" t="n"/>
      <c r="B105" s="376" t="n"/>
      <c r="C105" s="376" t="n"/>
      <c r="D105" s="376" t="n"/>
      <c r="E105" s="376" t="n"/>
      <c r="F105" s="376" t="n"/>
      <c r="G105" s="376" t="n"/>
      <c r="H105" s="376" t="n"/>
      <c r="I105" s="376" t="n"/>
      <c r="J105" s="376" t="n"/>
      <c r="K105" s="376" t="n"/>
      <c r="L105" s="376" t="n"/>
      <c r="M105" s="376" t="n"/>
      <c r="N105" s="397" t="n"/>
      <c r="O105" s="391" t="inlineStr">
        <is>
          <t>Итого</t>
        </is>
      </c>
      <c r="P105" s="392" t="n"/>
      <c r="Q105" s="392" t="n"/>
      <c r="R105" s="392" t="n"/>
      <c r="S105" s="392" t="n"/>
      <c r="T105" s="392" t="n"/>
      <c r="U105" s="393" t="n"/>
      <c r="V105" s="37" t="inlineStr">
        <is>
          <t>кг</t>
        </is>
      </c>
      <c r="W105" s="755">
        <f>IFERROR(SUM(W96:W103),"0")</f>
        <v/>
      </c>
      <c r="X105" s="755">
        <f>IFERROR(SUM(X96:X103),"0")</f>
        <v/>
      </c>
      <c r="Y105" s="37" t="n"/>
      <c r="Z105" s="756" t="n"/>
      <c r="AA105" s="756" t="n"/>
    </row>
    <row r="106" ht="14.25" customHeight="1">
      <c r="A106" s="375" t="inlineStr">
        <is>
          <t>Сосиски</t>
        </is>
      </c>
      <c r="B106" s="376" t="n"/>
      <c r="C106" s="376" t="n"/>
      <c r="D106" s="376" t="n"/>
      <c r="E106" s="376" t="n"/>
      <c r="F106" s="376" t="n"/>
      <c r="G106" s="376" t="n"/>
      <c r="H106" s="376" t="n"/>
      <c r="I106" s="376" t="n"/>
      <c r="J106" s="376" t="n"/>
      <c r="K106" s="376" t="n"/>
      <c r="L106" s="376" t="n"/>
      <c r="M106" s="376" t="n"/>
      <c r="N106" s="376" t="n"/>
      <c r="O106" s="376" t="n"/>
      <c r="P106" s="376" t="n"/>
      <c r="Q106" s="376" t="n"/>
      <c r="R106" s="376" t="n"/>
      <c r="S106" s="376" t="n"/>
      <c r="T106" s="376" t="n"/>
      <c r="U106" s="376" t="n"/>
      <c r="V106" s="376" t="n"/>
      <c r="W106" s="376" t="n"/>
      <c r="X106" s="376" t="n"/>
      <c r="Y106" s="376" t="n"/>
      <c r="Z106" s="375" t="n"/>
      <c r="AA106" s="375" t="n"/>
    </row>
    <row r="107" ht="16.5" customHeight="1">
      <c r="A107" s="54" t="inlineStr">
        <is>
          <t>SU003313</t>
        </is>
      </c>
      <c r="B107" s="54" t="inlineStr">
        <is>
          <t>P004017</t>
        </is>
      </c>
      <c r="C107" s="31" t="n">
        <v>4301051693</v>
      </c>
      <c r="D107" s="369" t="n">
        <v>4680115884915</v>
      </c>
      <c r="E107" s="370" t="n"/>
      <c r="F107" s="752" t="n">
        <v>0.3</v>
      </c>
      <c r="G107" s="32" t="n">
        <v>6</v>
      </c>
      <c r="H107" s="752" t="n">
        <v>1.8</v>
      </c>
      <c r="I107" s="752" t="n">
        <v>2</v>
      </c>
      <c r="J107" s="32" t="n">
        <v>156</v>
      </c>
      <c r="K107" s="32" t="inlineStr">
        <is>
          <t>12</t>
        </is>
      </c>
      <c r="L107" s="33" t="inlineStr">
        <is>
          <t>СК2</t>
        </is>
      </c>
      <c r="M107" s="33" t="n"/>
      <c r="N107" s="32" t="n">
        <v>30</v>
      </c>
      <c r="O107" s="716" t="inlineStr">
        <is>
          <t>Сосиски «Молочные ГОСТ» ф/в 0,3 ц/о ТМ «Вязанка»</t>
        </is>
      </c>
      <c r="P107" s="372" t="n"/>
      <c r="Q107" s="372" t="n"/>
      <c r="R107" s="372" t="n"/>
      <c r="S107" s="370" t="n"/>
      <c r="T107" s="34" t="inlineStr">
        <is>
          <t>27.04.2024</t>
        </is>
      </c>
      <c r="U107" s="34" t="n"/>
      <c r="V107" s="35" t="inlineStr">
        <is>
          <t>кг</t>
        </is>
      </c>
      <c r="W107" s="753" t="n">
        <v>0</v>
      </c>
      <c r="X107" s="754">
        <f>IFERROR(IF(W107="",0,CEILING((W107/$H107),1)*$H107),"")</f>
        <v/>
      </c>
      <c r="Y107" s="36">
        <f>IFERROR(IF(X107=0,"",ROUNDUP(X107/H107,0)*0.00753),"")</f>
        <v/>
      </c>
      <c r="Z107" s="56" t="n"/>
      <c r="AA107" s="57" t="inlineStr">
        <is>
          <t>Новинка</t>
        </is>
      </c>
      <c r="AE107" s="58" t="n"/>
      <c r="BB107" s="116" t="inlineStr">
        <is>
          <t>КИ</t>
        </is>
      </c>
    </row>
    <row r="108" ht="16.5" customHeight="1">
      <c r="A108" s="54" t="inlineStr">
        <is>
          <t>SU002825</t>
        </is>
      </c>
      <c r="B108" s="54" t="inlineStr">
        <is>
          <t>P003232</t>
        </is>
      </c>
      <c r="C108" s="31" t="n">
        <v>4301051395</v>
      </c>
      <c r="D108" s="369" t="n">
        <v>4680115884311</v>
      </c>
      <c r="E108" s="370" t="n"/>
      <c r="F108" s="752" t="n">
        <v>0.3</v>
      </c>
      <c r="G108" s="32" t="n">
        <v>6</v>
      </c>
      <c r="H108" s="752" t="n">
        <v>1.8</v>
      </c>
      <c r="I108" s="752" t="n">
        <v>2.066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3" t="n"/>
      <c r="N108" s="32" t="n">
        <v>30</v>
      </c>
      <c r="O108" s="568" t="inlineStr">
        <is>
          <t>Сосиски «Филейские» Фикс.вес 0,3 ц/о мгс ТМ «Вязанка»</t>
        </is>
      </c>
      <c r="P108" s="372" t="n"/>
      <c r="Q108" s="372" t="n"/>
      <c r="R108" s="372" t="n"/>
      <c r="S108" s="370" t="n"/>
      <c r="T108" s="34" t="inlineStr">
        <is>
          <t>27.04.2024</t>
        </is>
      </c>
      <c r="U108" s="34" t="n"/>
      <c r="V108" s="35" t="inlineStr">
        <is>
          <t>кг</t>
        </is>
      </c>
      <c r="W108" s="753" t="n">
        <v>0</v>
      </c>
      <c r="X108" s="754">
        <f>IFERROR(IF(W108="",0,CEILING((W108/$H108),1)*$H108),"")</f>
        <v/>
      </c>
      <c r="Y108" s="36">
        <f>IFERROR(IF(X108=0,"",ROUNDUP(X108/H108,0)*0.00753),"")</f>
        <v/>
      </c>
      <c r="Z108" s="56" t="n"/>
      <c r="AA108" s="57" t="inlineStr">
        <is>
          <t>Новинка</t>
        </is>
      </c>
      <c r="AE108" s="58" t="n"/>
      <c r="BB108" s="117" t="inlineStr">
        <is>
          <t>КИ</t>
        </is>
      </c>
    </row>
    <row r="109" ht="16.5" customHeight="1">
      <c r="A109" s="54" t="inlineStr">
        <is>
          <t>SU003288</t>
        </is>
      </c>
      <c r="B109" s="54" t="inlineStr">
        <is>
          <t>P003983</t>
        </is>
      </c>
      <c r="C109" s="31" t="n">
        <v>4301051641</v>
      </c>
      <c r="D109" s="369" t="n">
        <v>4680115884403</v>
      </c>
      <c r="E109" s="370" t="n"/>
      <c r="F109" s="752" t="n">
        <v>0.3</v>
      </c>
      <c r="G109" s="32" t="n">
        <v>6</v>
      </c>
      <c r="H109" s="752" t="n">
        <v>1.8</v>
      </c>
      <c r="I109" s="752" t="n">
        <v>2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3" t="n"/>
      <c r="N109" s="32" t="n">
        <v>30</v>
      </c>
      <c r="O109" s="599">
        <f>HYPERLINK("https://abi.ru/products/Охлажденные/Вязанка/Вязанка/Сосиски/P003983/","Сосиски «Филейские рубленые» ф/в 0,3 ц/о ТМ «Вязанка»")</f>
        <v/>
      </c>
      <c r="P109" s="372" t="n"/>
      <c r="Q109" s="372" t="n"/>
      <c r="R109" s="372" t="n"/>
      <c r="S109" s="370" t="n"/>
      <c r="T109" s="34" t="n"/>
      <c r="U109" s="34" t="n"/>
      <c r="V109" s="35" t="inlineStr">
        <is>
          <t>кг</t>
        </is>
      </c>
      <c r="W109" s="753" t="n">
        <v>0</v>
      </c>
      <c r="X109" s="754">
        <f>IFERROR(IF(W109="",0,CEILING((W109/$H109),1)*$H109),"")</f>
        <v/>
      </c>
      <c r="Y109" s="36">
        <f>IFERROR(IF(X109=0,"",ROUNDUP(X109/H109,0)*0.00753),"")</f>
        <v/>
      </c>
      <c r="Z109" s="56" t="n"/>
      <c r="AA109" s="57" t="inlineStr">
        <is>
          <t>Новинка</t>
        </is>
      </c>
      <c r="AE109" s="58" t="n"/>
      <c r="BB109" s="118" t="inlineStr">
        <is>
          <t>КИ</t>
        </is>
      </c>
    </row>
    <row r="110" ht="27" customHeight="1">
      <c r="A110" s="54" t="inlineStr">
        <is>
          <t>SU001523</t>
        </is>
      </c>
      <c r="B110" s="54" t="inlineStr">
        <is>
          <t>P003691</t>
        </is>
      </c>
      <c r="C110" s="31" t="n">
        <v>4301051543</v>
      </c>
      <c r="D110" s="369" t="n">
        <v>4607091386967</v>
      </c>
      <c r="E110" s="370" t="n"/>
      <c r="F110" s="752" t="n">
        <v>1.4</v>
      </c>
      <c r="G110" s="32" t="n">
        <v>6</v>
      </c>
      <c r="H110" s="752" t="n">
        <v>8.4</v>
      </c>
      <c r="I110" s="752" t="n">
        <v>8.964</v>
      </c>
      <c r="J110" s="32" t="n">
        <v>56</v>
      </c>
      <c r="K110" s="32" t="inlineStr">
        <is>
          <t>8</t>
        </is>
      </c>
      <c r="L110" s="33" t="inlineStr">
        <is>
          <t>СК2</t>
        </is>
      </c>
      <c r="M110" s="33" t="n"/>
      <c r="N110" s="32" t="n">
        <v>45</v>
      </c>
      <c r="O110" s="748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10" s="372" t="n"/>
      <c r="Q110" s="372" t="n"/>
      <c r="R110" s="372" t="n"/>
      <c r="S110" s="370" t="n"/>
      <c r="T110" s="34" t="n"/>
      <c r="U110" s="34" t="n"/>
      <c r="V110" s="35" t="inlineStr">
        <is>
          <t>кг</t>
        </is>
      </c>
      <c r="W110" s="753" t="n">
        <v>0</v>
      </c>
      <c r="X110" s="754">
        <f>IFERROR(IF(W110="",0,CEILING((W110/$H110),1)*$H110),"")</f>
        <v/>
      </c>
      <c r="Y110" s="36">
        <f>IFERROR(IF(X110=0,"",ROUNDUP(X110/H110,0)*0.02175),"")</f>
        <v/>
      </c>
      <c r="Z110" s="56" t="n"/>
      <c r="AA110" s="57" t="n"/>
      <c r="AE110" s="58" t="n"/>
      <c r="BB110" s="119" t="inlineStr">
        <is>
          <t>КИ</t>
        </is>
      </c>
    </row>
    <row r="111" ht="27" customHeight="1">
      <c r="A111" s="54" t="inlineStr">
        <is>
          <t>SU001523</t>
        </is>
      </c>
      <c r="B111" s="54" t="inlineStr">
        <is>
          <t>P003328</t>
        </is>
      </c>
      <c r="C111" s="31" t="n">
        <v>4301051437</v>
      </c>
      <c r="D111" s="369" t="n">
        <v>4607091386967</v>
      </c>
      <c r="E111" s="370" t="n"/>
      <c r="F111" s="752" t="n">
        <v>1.35</v>
      </c>
      <c r="G111" s="32" t="n">
        <v>6</v>
      </c>
      <c r="H111" s="752" t="n">
        <v>8.1</v>
      </c>
      <c r="I111" s="752" t="n">
        <v>8.664</v>
      </c>
      <c r="J111" s="32" t="n">
        <v>56</v>
      </c>
      <c r="K111" s="32" t="inlineStr">
        <is>
          <t>8</t>
        </is>
      </c>
      <c r="L111" s="33" t="inlineStr">
        <is>
          <t>СК3</t>
        </is>
      </c>
      <c r="M111" s="33" t="n"/>
      <c r="N111" s="32" t="n">
        <v>45</v>
      </c>
      <c r="O111" s="67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11" s="372" t="n"/>
      <c r="Q111" s="372" t="n"/>
      <c r="R111" s="372" t="n"/>
      <c r="S111" s="370" t="n"/>
      <c r="T111" s="34" t="n"/>
      <c r="U111" s="34" t="n"/>
      <c r="V111" s="35" t="inlineStr">
        <is>
          <t>кг</t>
        </is>
      </c>
      <c r="W111" s="753" t="n">
        <v>0</v>
      </c>
      <c r="X111" s="754">
        <f>IFERROR(IF(W111="",0,CEILING((W111/$H111),1)*$H111),"")</f>
        <v/>
      </c>
      <c r="Y111" s="36">
        <f>IFERROR(IF(X111=0,"",ROUNDUP(X111/H111,0)*0.02175),"")</f>
        <v/>
      </c>
      <c r="Z111" s="56" t="n"/>
      <c r="AA111" s="57" t="n"/>
      <c r="AE111" s="58" t="n"/>
      <c r="BB111" s="120" t="inlineStr">
        <is>
          <t>КИ</t>
        </is>
      </c>
    </row>
    <row r="112" ht="16.5" customHeight="1">
      <c r="A112" s="54" t="inlineStr">
        <is>
          <t>SU001351</t>
        </is>
      </c>
      <c r="B112" s="54" t="inlineStr">
        <is>
          <t>P003904</t>
        </is>
      </c>
      <c r="C112" s="31" t="n">
        <v>4301051611</v>
      </c>
      <c r="D112" s="369" t="n">
        <v>4607091385304</v>
      </c>
      <c r="E112" s="370" t="n"/>
      <c r="F112" s="752" t="n">
        <v>1.4</v>
      </c>
      <c r="G112" s="32" t="n">
        <v>6</v>
      </c>
      <c r="H112" s="752" t="n">
        <v>8.4</v>
      </c>
      <c r="I112" s="752" t="n">
        <v>8.964</v>
      </c>
      <c r="J112" s="32" t="n">
        <v>56</v>
      </c>
      <c r="K112" s="32" t="inlineStr">
        <is>
          <t>8</t>
        </is>
      </c>
      <c r="L112" s="33" t="inlineStr">
        <is>
          <t>СК2</t>
        </is>
      </c>
      <c r="M112" s="33" t="n"/>
      <c r="N112" s="32" t="n">
        <v>40</v>
      </c>
      <c r="O112" s="703">
        <f>HYPERLINK("https://abi.ru/products/Охлажденные/Вязанка/Вязанка/Сосиски/P003904/","Сосиски «Рубленые» Весовые п/а мгс УВВ ТМ «Вязанка»")</f>
        <v/>
      </c>
      <c r="P112" s="372" t="n"/>
      <c r="Q112" s="372" t="n"/>
      <c r="R112" s="372" t="n"/>
      <c r="S112" s="370" t="n"/>
      <c r="T112" s="34" t="n"/>
      <c r="U112" s="34" t="n"/>
      <c r="V112" s="35" t="inlineStr">
        <is>
          <t>кг</t>
        </is>
      </c>
      <c r="W112" s="753" t="n">
        <v>0</v>
      </c>
      <c r="X112" s="754">
        <f>IFERROR(IF(W112="",0,CEILING((W112/$H112),1)*$H112),"")</f>
        <v/>
      </c>
      <c r="Y112" s="36">
        <f>IFERROR(IF(X112=0,"",ROUNDUP(X112/H112,0)*0.02175),"")</f>
        <v/>
      </c>
      <c r="Z112" s="56" t="n"/>
      <c r="AA112" s="57" t="n"/>
      <c r="AE112" s="58" t="n"/>
      <c r="BB112" s="121" t="inlineStr">
        <is>
          <t>КИ</t>
        </is>
      </c>
    </row>
    <row r="113" ht="16.5" customHeight="1">
      <c r="A113" s="54" t="inlineStr">
        <is>
          <t>SU001527</t>
        </is>
      </c>
      <c r="B113" s="54" t="inlineStr">
        <is>
          <t>P003992</t>
        </is>
      </c>
      <c r="C113" s="31" t="n">
        <v>4301051648</v>
      </c>
      <c r="D113" s="369" t="n">
        <v>4607091386264</v>
      </c>
      <c r="E113" s="370" t="n"/>
      <c r="F113" s="752" t="n">
        <v>0.5</v>
      </c>
      <c r="G113" s="32" t="n">
        <v>6</v>
      </c>
      <c r="H113" s="752" t="n">
        <v>3</v>
      </c>
      <c r="I113" s="752" t="n">
        <v>3.278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3" t="n"/>
      <c r="N113" s="32" t="n">
        <v>31</v>
      </c>
      <c r="O113" s="554">
        <f>HYPERLINK("https://abi.ru/products/Охлажденные/Вязанка/Вязанка/Сосиски/P003992/","Сосиски «Венские» Фикс.вес 0,5 п/а мгс ТМ «Вязанка»")</f>
        <v/>
      </c>
      <c r="P113" s="372" t="n"/>
      <c r="Q113" s="372" t="n"/>
      <c r="R113" s="372" t="n"/>
      <c r="S113" s="370" t="n"/>
      <c r="T113" s="34" t="n"/>
      <c r="U113" s="34" t="n"/>
      <c r="V113" s="35" t="inlineStr">
        <is>
          <t>кг</t>
        </is>
      </c>
      <c r="W113" s="753" t="n">
        <v>0</v>
      </c>
      <c r="X113" s="754">
        <f>IFERROR(IF(W113="",0,CEILING((W113/$H113),1)*$H113),"")</f>
        <v/>
      </c>
      <c r="Y113" s="36">
        <f>IFERROR(IF(X113=0,"",ROUNDUP(X113/H113,0)*0.00753),"")</f>
        <v/>
      </c>
      <c r="Z113" s="56" t="n"/>
      <c r="AA113" s="57" t="n"/>
      <c r="AE113" s="58" t="n"/>
      <c r="BB113" s="122" t="inlineStr">
        <is>
          <t>КИ</t>
        </is>
      </c>
    </row>
    <row r="114" ht="16.5" customHeight="1">
      <c r="A114" s="54" t="inlineStr">
        <is>
          <t>SU002984</t>
        </is>
      </c>
      <c r="B114" s="54" t="inlineStr">
        <is>
          <t>P003440</t>
        </is>
      </c>
      <c r="C114" s="31" t="n">
        <v>4301051477</v>
      </c>
      <c r="D114" s="369" t="n">
        <v>4680115882584</v>
      </c>
      <c r="E114" s="370" t="n"/>
      <c r="F114" s="752" t="n">
        <v>0.33</v>
      </c>
      <c r="G114" s="32" t="n">
        <v>8</v>
      </c>
      <c r="H114" s="752" t="n">
        <v>2.64</v>
      </c>
      <c r="I114" s="752" t="n">
        <v>2.928</v>
      </c>
      <c r="J114" s="32" t="n">
        <v>156</v>
      </c>
      <c r="K114" s="32" t="inlineStr">
        <is>
          <t>12</t>
        </is>
      </c>
      <c r="L114" s="33" t="inlineStr">
        <is>
          <t>АК</t>
        </is>
      </c>
      <c r="M114" s="33" t="n"/>
      <c r="N114" s="32" t="n">
        <v>60</v>
      </c>
      <c r="O114" s="707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4" s="372" t="n"/>
      <c r="Q114" s="372" t="n"/>
      <c r="R114" s="372" t="n"/>
      <c r="S114" s="370" t="n"/>
      <c r="T114" s="34" t="n"/>
      <c r="U114" s="34" t="n"/>
      <c r="V114" s="35" t="inlineStr">
        <is>
          <t>кг</t>
        </is>
      </c>
      <c r="W114" s="753" t="n">
        <v>0</v>
      </c>
      <c r="X114" s="754">
        <f>IFERROR(IF(W114="",0,CEILING((W114/$H114),1)*$H114),"")</f>
        <v/>
      </c>
      <c r="Y114" s="36">
        <f>IFERROR(IF(X114=0,"",ROUNDUP(X114/H114,0)*0.00753),"")</f>
        <v/>
      </c>
      <c r="Z114" s="56" t="n"/>
      <c r="AA114" s="57" t="n"/>
      <c r="AE114" s="58" t="n"/>
      <c r="BB114" s="123" t="inlineStr">
        <is>
          <t>КИ</t>
        </is>
      </c>
    </row>
    <row r="115" ht="16.5" customHeight="1">
      <c r="A115" s="54" t="inlineStr">
        <is>
          <t>SU002984</t>
        </is>
      </c>
      <c r="B115" s="54" t="inlineStr">
        <is>
          <t>P003438</t>
        </is>
      </c>
      <c r="C115" s="31" t="n">
        <v>4301051476</v>
      </c>
      <c r="D115" s="369" t="n">
        <v>4680115882584</v>
      </c>
      <c r="E115" s="370" t="n"/>
      <c r="F115" s="752" t="n">
        <v>0.33</v>
      </c>
      <c r="G115" s="32" t="n">
        <v>8</v>
      </c>
      <c r="H115" s="752" t="n">
        <v>2.64</v>
      </c>
      <c r="I115" s="752" t="n">
        <v>2.928</v>
      </c>
      <c r="J115" s="32" t="n">
        <v>156</v>
      </c>
      <c r="K115" s="32" t="inlineStr">
        <is>
          <t>12</t>
        </is>
      </c>
      <c r="L115" s="33" t="inlineStr">
        <is>
          <t>АК</t>
        </is>
      </c>
      <c r="M115" s="33" t="n"/>
      <c r="N115" s="32" t="n">
        <v>60</v>
      </c>
      <c r="O115" s="498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5" s="372" t="n"/>
      <c r="Q115" s="372" t="n"/>
      <c r="R115" s="372" t="n"/>
      <c r="S115" s="370" t="n"/>
      <c r="T115" s="34" t="n"/>
      <c r="U115" s="34" t="n"/>
      <c r="V115" s="35" t="inlineStr">
        <is>
          <t>кг</t>
        </is>
      </c>
      <c r="W115" s="753" t="n">
        <v>0</v>
      </c>
      <c r="X115" s="754">
        <f>IFERROR(IF(W115="",0,CEILING((W115/$H115),1)*$H115),"")</f>
        <v/>
      </c>
      <c r="Y115" s="36">
        <f>IFERROR(IF(X115=0,"",ROUNDUP(X115/H115,0)*0.00753),"")</f>
        <v/>
      </c>
      <c r="Z115" s="56" t="n"/>
      <c r="AA115" s="57" t="n"/>
      <c r="AE115" s="58" t="n"/>
      <c r="BB115" s="124" t="inlineStr">
        <is>
          <t>КИ</t>
        </is>
      </c>
    </row>
    <row r="116" ht="27" customHeight="1">
      <c r="A116" s="54" t="inlineStr">
        <is>
          <t>SU001718</t>
        </is>
      </c>
      <c r="B116" s="54" t="inlineStr">
        <is>
          <t>P003327</t>
        </is>
      </c>
      <c r="C116" s="31" t="n">
        <v>4301051436</v>
      </c>
      <c r="D116" s="369" t="n">
        <v>4607091385731</v>
      </c>
      <c r="E116" s="370" t="n"/>
      <c r="F116" s="752" t="n">
        <v>0.45</v>
      </c>
      <c r="G116" s="32" t="n">
        <v>6</v>
      </c>
      <c r="H116" s="752" t="n">
        <v>2.7</v>
      </c>
      <c r="I116" s="752" t="n">
        <v>2.972</v>
      </c>
      <c r="J116" s="32" t="n">
        <v>156</v>
      </c>
      <c r="K116" s="32" t="inlineStr">
        <is>
          <t>12</t>
        </is>
      </c>
      <c r="L116" s="33" t="inlineStr">
        <is>
          <t>СК3</t>
        </is>
      </c>
      <c r="M116" s="33" t="n"/>
      <c r="N116" s="32" t="n">
        <v>45</v>
      </c>
      <c r="O116" s="55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6" s="372" t="n"/>
      <c r="Q116" s="372" t="n"/>
      <c r="R116" s="372" t="n"/>
      <c r="S116" s="370" t="n"/>
      <c r="T116" s="34" t="n"/>
      <c r="U116" s="34" t="n"/>
      <c r="V116" s="35" t="inlineStr">
        <is>
          <t>кг</t>
        </is>
      </c>
      <c r="W116" s="753" t="n">
        <v>0</v>
      </c>
      <c r="X116" s="754">
        <f>IFERROR(IF(W116="",0,CEILING((W116/$H116),1)*$H116),"")</f>
        <v/>
      </c>
      <c r="Y116" s="36">
        <f>IFERROR(IF(X116=0,"",ROUNDUP(X116/H116,0)*0.00753),"")</f>
        <v/>
      </c>
      <c r="Z116" s="56" t="n"/>
      <c r="AA116" s="57" t="n"/>
      <c r="AE116" s="58" t="n"/>
      <c r="BB116" s="125" t="inlineStr">
        <is>
          <t>КИ</t>
        </is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369" t="n">
        <v>4680115880214</v>
      </c>
      <c r="E117" s="370" t="n"/>
      <c r="F117" s="752" t="n">
        <v>0.45</v>
      </c>
      <c r="G117" s="32" t="n">
        <v>6</v>
      </c>
      <c r="H117" s="752" t="n">
        <v>2.7</v>
      </c>
      <c r="I117" s="752" t="n">
        <v>2.988</v>
      </c>
      <c r="J117" s="32" t="n">
        <v>120</v>
      </c>
      <c r="K117" s="32" t="inlineStr">
        <is>
          <t>12</t>
        </is>
      </c>
      <c r="L117" s="33" t="inlineStr">
        <is>
          <t>СК3</t>
        </is>
      </c>
      <c r="M117" s="33" t="n"/>
      <c r="N117" s="32" t="n">
        <v>45</v>
      </c>
      <c r="O117" s="69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7" s="372" t="n"/>
      <c r="Q117" s="372" t="n"/>
      <c r="R117" s="372" t="n"/>
      <c r="S117" s="370" t="n"/>
      <c r="T117" s="34" t="n"/>
      <c r="U117" s="34" t="n"/>
      <c r="V117" s="35" t="inlineStr">
        <is>
          <t>кг</t>
        </is>
      </c>
      <c r="W117" s="753" t="n">
        <v>0</v>
      </c>
      <c r="X117" s="754">
        <f>IFERROR(IF(W117="",0,CEILING((W117/$H117),1)*$H117),"")</f>
        <v/>
      </c>
      <c r="Y117" s="36">
        <f>IFERROR(IF(X117=0,"",ROUNDUP(X117/H117,0)*0.00937),"")</f>
        <v/>
      </c>
      <c r="Z117" s="56" t="n"/>
      <c r="AA117" s="57" t="n"/>
      <c r="AE117" s="58" t="n"/>
      <c r="BB117" s="126" t="inlineStr">
        <is>
          <t>КИ</t>
        </is>
      </c>
    </row>
    <row r="118" ht="27" customHeight="1">
      <c r="A118" s="54" t="inlineStr">
        <is>
          <t>SU002769</t>
        </is>
      </c>
      <c r="B118" s="54" t="inlineStr">
        <is>
          <t>P003324</t>
        </is>
      </c>
      <c r="C118" s="31" t="n">
        <v>4301051438</v>
      </c>
      <c r="D118" s="369" t="n">
        <v>4680115880894</v>
      </c>
      <c r="E118" s="370" t="n"/>
      <c r="F118" s="752" t="n">
        <v>0.33</v>
      </c>
      <c r="G118" s="32" t="n">
        <v>6</v>
      </c>
      <c r="H118" s="752" t="n">
        <v>1.98</v>
      </c>
      <c r="I118" s="752" t="n">
        <v>2.258</v>
      </c>
      <c r="J118" s="32" t="n">
        <v>156</v>
      </c>
      <c r="K118" s="32" t="inlineStr">
        <is>
          <t>12</t>
        </is>
      </c>
      <c r="L118" s="33" t="inlineStr">
        <is>
          <t>СК3</t>
        </is>
      </c>
      <c r="M118" s="33" t="n"/>
      <c r="N118" s="32" t="n">
        <v>45</v>
      </c>
      <c r="O118" s="540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8" s="372" t="n"/>
      <c r="Q118" s="372" t="n"/>
      <c r="R118" s="372" t="n"/>
      <c r="S118" s="370" t="n"/>
      <c r="T118" s="34" t="n"/>
      <c r="U118" s="34" t="n"/>
      <c r="V118" s="35" t="inlineStr">
        <is>
          <t>кг</t>
        </is>
      </c>
      <c r="W118" s="753" t="n">
        <v>0</v>
      </c>
      <c r="X118" s="754">
        <f>IFERROR(IF(W118="",0,CEILING((W118/$H118),1)*$H118),"")</f>
        <v/>
      </c>
      <c r="Y118" s="36">
        <f>IFERROR(IF(X118=0,"",ROUNDUP(X118/H118,0)*0.00753),"")</f>
        <v/>
      </c>
      <c r="Z118" s="56" t="n"/>
      <c r="AA118" s="57" t="n"/>
      <c r="AE118" s="58" t="n"/>
      <c r="BB118" s="127" t="inlineStr">
        <is>
          <t>КИ</t>
        </is>
      </c>
    </row>
    <row r="119" ht="16.5" customHeight="1">
      <c r="A119" s="54" t="inlineStr">
        <is>
          <t>SU001354</t>
        </is>
      </c>
      <c r="B119" s="54" t="inlineStr">
        <is>
          <t>P003030</t>
        </is>
      </c>
      <c r="C119" s="31" t="n">
        <v>4301051313</v>
      </c>
      <c r="D119" s="369" t="n">
        <v>4607091385427</v>
      </c>
      <c r="E119" s="370" t="n"/>
      <c r="F119" s="752" t="n">
        <v>0.5</v>
      </c>
      <c r="G119" s="32" t="n">
        <v>6</v>
      </c>
      <c r="H119" s="752" t="n">
        <v>3</v>
      </c>
      <c r="I119" s="752" t="n">
        <v>3.272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3" t="n"/>
      <c r="N119" s="32" t="n">
        <v>40</v>
      </c>
      <c r="O119" s="564">
        <f>HYPERLINK("https://abi.ru/products/Охлажденные/Вязанка/Вязанка/Сосиски/P003030/","Сосиски Рубленые Вязанка Фикс.вес 0,5 п/а мгс Вязанка")</f>
        <v/>
      </c>
      <c r="P119" s="372" t="n"/>
      <c r="Q119" s="372" t="n"/>
      <c r="R119" s="372" t="n"/>
      <c r="S119" s="370" t="n"/>
      <c r="T119" s="34" t="n"/>
      <c r="U119" s="34" t="n"/>
      <c r="V119" s="35" t="inlineStr">
        <is>
          <t>кг</t>
        </is>
      </c>
      <c r="W119" s="753" t="n">
        <v>0</v>
      </c>
      <c r="X119" s="754">
        <f>IFERROR(IF(W119="",0,CEILING((W119/$H119),1)*$H119),"")</f>
        <v/>
      </c>
      <c r="Y119" s="36">
        <f>IFERROR(IF(X119=0,"",ROUNDUP(X119/H119,0)*0.00753),"")</f>
        <v/>
      </c>
      <c r="Z119" s="56" t="n"/>
      <c r="AA119" s="57" t="n"/>
      <c r="AE119" s="58" t="n"/>
      <c r="BB119" s="128" t="inlineStr">
        <is>
          <t>КИ</t>
        </is>
      </c>
    </row>
    <row r="120" ht="16.5" customHeight="1">
      <c r="A120" s="54" t="inlineStr">
        <is>
          <t>SU002996</t>
        </is>
      </c>
      <c r="B120" s="54" t="inlineStr">
        <is>
          <t>P003464</t>
        </is>
      </c>
      <c r="C120" s="31" t="n">
        <v>4301051480</v>
      </c>
      <c r="D120" s="369" t="n">
        <v>4680115882645</v>
      </c>
      <c r="E120" s="370" t="n"/>
      <c r="F120" s="752" t="n">
        <v>0.3</v>
      </c>
      <c r="G120" s="32" t="n">
        <v>6</v>
      </c>
      <c r="H120" s="752" t="n">
        <v>1.8</v>
      </c>
      <c r="I120" s="752" t="n">
        <v>2.66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3" t="n"/>
      <c r="N120" s="32" t="n">
        <v>40</v>
      </c>
      <c r="O120" s="473">
        <f>HYPERLINK("https://abi.ru/products/Охлажденные/Вязанка/Вязанка/Сосиски/P003464/","Сосиски «Сливушки с сыром» ф/в 0,3 п/а ТМ «Вязанка»")</f>
        <v/>
      </c>
      <c r="P120" s="372" t="n"/>
      <c r="Q120" s="372" t="n"/>
      <c r="R120" s="372" t="n"/>
      <c r="S120" s="370" t="n"/>
      <c r="T120" s="34" t="n"/>
      <c r="U120" s="34" t="n"/>
      <c r="V120" s="35" t="inlineStr">
        <is>
          <t>кг</t>
        </is>
      </c>
      <c r="W120" s="753" t="n">
        <v>0</v>
      </c>
      <c r="X120" s="754">
        <f>IFERROR(IF(W120="",0,CEILING((W120/$H120),1)*$H120),"")</f>
        <v/>
      </c>
      <c r="Y120" s="36">
        <f>IFERROR(IF(X120=0,"",ROUNDUP(X120/H120,0)*0.00753),"")</f>
        <v/>
      </c>
      <c r="Z120" s="56" t="n"/>
      <c r="AA120" s="57" t="n"/>
      <c r="AE120" s="58" t="n"/>
      <c r="BB120" s="129" t="inlineStr">
        <is>
          <t>КИ</t>
        </is>
      </c>
    </row>
    <row r="121">
      <c r="A121" s="396" t="n"/>
      <c r="B121" s="376" t="n"/>
      <c r="C121" s="376" t="n"/>
      <c r="D121" s="376" t="n"/>
      <c r="E121" s="376" t="n"/>
      <c r="F121" s="376" t="n"/>
      <c r="G121" s="376" t="n"/>
      <c r="H121" s="376" t="n"/>
      <c r="I121" s="376" t="n"/>
      <c r="J121" s="376" t="n"/>
      <c r="K121" s="376" t="n"/>
      <c r="L121" s="376" t="n"/>
      <c r="M121" s="376" t="n"/>
      <c r="N121" s="397" t="n"/>
      <c r="O121" s="391" t="inlineStr">
        <is>
          <t>Итого</t>
        </is>
      </c>
      <c r="P121" s="392" t="n"/>
      <c r="Q121" s="392" t="n"/>
      <c r="R121" s="392" t="n"/>
      <c r="S121" s="392" t="n"/>
      <c r="T121" s="392" t="n"/>
      <c r="U121" s="393" t="n"/>
      <c r="V121" s="37" t="inlineStr">
        <is>
          <t>кор</t>
        </is>
      </c>
      <c r="W121" s="755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/>
      </c>
      <c r="X121" s="755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/>
      </c>
      <c r="Y121" s="755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/>
      </c>
      <c r="Z121" s="756" t="n"/>
      <c r="AA121" s="756" t="n"/>
    </row>
    <row r="122">
      <c r="A122" s="376" t="n"/>
      <c r="B122" s="376" t="n"/>
      <c r="C122" s="376" t="n"/>
      <c r="D122" s="376" t="n"/>
      <c r="E122" s="376" t="n"/>
      <c r="F122" s="376" t="n"/>
      <c r="G122" s="376" t="n"/>
      <c r="H122" s="376" t="n"/>
      <c r="I122" s="376" t="n"/>
      <c r="J122" s="376" t="n"/>
      <c r="K122" s="376" t="n"/>
      <c r="L122" s="376" t="n"/>
      <c r="M122" s="376" t="n"/>
      <c r="N122" s="397" t="n"/>
      <c r="O122" s="391" t="inlineStr">
        <is>
          <t>Итого</t>
        </is>
      </c>
      <c r="P122" s="392" t="n"/>
      <c r="Q122" s="392" t="n"/>
      <c r="R122" s="392" t="n"/>
      <c r="S122" s="392" t="n"/>
      <c r="T122" s="392" t="n"/>
      <c r="U122" s="393" t="n"/>
      <c r="V122" s="37" t="inlineStr">
        <is>
          <t>кг</t>
        </is>
      </c>
      <c r="W122" s="755">
        <f>IFERROR(SUM(W107:W120),"0")</f>
        <v/>
      </c>
      <c r="X122" s="755">
        <f>IFERROR(SUM(X107:X120),"0")</f>
        <v/>
      </c>
      <c r="Y122" s="37" t="n"/>
      <c r="Z122" s="756" t="n"/>
      <c r="AA122" s="756" t="n"/>
    </row>
    <row r="123" ht="14.25" customHeight="1">
      <c r="A123" s="375" t="inlineStr">
        <is>
          <t>Сардельки</t>
        </is>
      </c>
      <c r="B123" s="376" t="n"/>
      <c r="C123" s="376" t="n"/>
      <c r="D123" s="376" t="n"/>
      <c r="E123" s="376" t="n"/>
      <c r="F123" s="376" t="n"/>
      <c r="G123" s="376" t="n"/>
      <c r="H123" s="376" t="n"/>
      <c r="I123" s="376" t="n"/>
      <c r="J123" s="376" t="n"/>
      <c r="K123" s="376" t="n"/>
      <c r="L123" s="376" t="n"/>
      <c r="M123" s="376" t="n"/>
      <c r="N123" s="376" t="n"/>
      <c r="O123" s="376" t="n"/>
      <c r="P123" s="376" t="n"/>
      <c r="Q123" s="376" t="n"/>
      <c r="R123" s="376" t="n"/>
      <c r="S123" s="376" t="n"/>
      <c r="T123" s="376" t="n"/>
      <c r="U123" s="376" t="n"/>
      <c r="V123" s="376" t="n"/>
      <c r="W123" s="376" t="n"/>
      <c r="X123" s="376" t="n"/>
      <c r="Y123" s="376" t="n"/>
      <c r="Z123" s="375" t="n"/>
      <c r="AA123" s="375" t="n"/>
    </row>
    <row r="124" ht="27" customHeight="1">
      <c r="A124" s="54" t="inlineStr">
        <is>
          <t>SU002071</t>
        </is>
      </c>
      <c r="B124" s="54" t="inlineStr">
        <is>
          <t>P002233</t>
        </is>
      </c>
      <c r="C124" s="31" t="n">
        <v>4301060296</v>
      </c>
      <c r="D124" s="369" t="n">
        <v>4607091383065</v>
      </c>
      <c r="E124" s="370" t="n"/>
      <c r="F124" s="752" t="n">
        <v>0.83</v>
      </c>
      <c r="G124" s="32" t="n">
        <v>4</v>
      </c>
      <c r="H124" s="752" t="n">
        <v>3.32</v>
      </c>
      <c r="I124" s="752" t="n">
        <v>3.582</v>
      </c>
      <c r="J124" s="32" t="n">
        <v>120</v>
      </c>
      <c r="K124" s="32" t="inlineStr">
        <is>
          <t>12</t>
        </is>
      </c>
      <c r="L124" s="33" t="inlineStr">
        <is>
          <t>СК2</t>
        </is>
      </c>
      <c r="M124" s="33" t="n"/>
      <c r="N124" s="32" t="n">
        <v>30</v>
      </c>
      <c r="O124" s="57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4" s="372" t="n"/>
      <c r="Q124" s="372" t="n"/>
      <c r="R124" s="372" t="n"/>
      <c r="S124" s="370" t="n"/>
      <c r="T124" s="34" t="n"/>
      <c r="U124" s="34" t="n"/>
      <c r="V124" s="35" t="inlineStr">
        <is>
          <t>кг</t>
        </is>
      </c>
      <c r="W124" s="753" t="n">
        <v>0</v>
      </c>
      <c r="X124" s="754">
        <f>IFERROR(IF(W124="",0,CEILING((W124/$H124),1)*$H124),"")</f>
        <v/>
      </c>
      <c r="Y124" s="36">
        <f>IFERROR(IF(X124=0,"",ROUNDUP(X124/H124,0)*0.00937),"")</f>
        <v/>
      </c>
      <c r="Z124" s="56" t="n"/>
      <c r="AA124" s="57" t="n"/>
      <c r="AE124" s="58" t="n"/>
      <c r="BB124" s="130" t="inlineStr">
        <is>
          <t>КИ</t>
        </is>
      </c>
    </row>
    <row r="125" ht="27" customHeight="1">
      <c r="A125" s="54" t="inlineStr">
        <is>
          <t>SU002835</t>
        </is>
      </c>
      <c r="B125" s="54" t="inlineStr">
        <is>
          <t>P003237</t>
        </is>
      </c>
      <c r="C125" s="31" t="n">
        <v>4301060350</v>
      </c>
      <c r="D125" s="369" t="n">
        <v>4680115881532</v>
      </c>
      <c r="E125" s="370" t="n"/>
      <c r="F125" s="752" t="n">
        <v>1.35</v>
      </c>
      <c r="G125" s="32" t="n">
        <v>6</v>
      </c>
      <c r="H125" s="752" t="n">
        <v>8.1</v>
      </c>
      <c r="I125" s="752" t="n">
        <v>8.58</v>
      </c>
      <c r="J125" s="32" t="n">
        <v>56</v>
      </c>
      <c r="K125" s="32" t="inlineStr">
        <is>
          <t>8</t>
        </is>
      </c>
      <c r="L125" s="33" t="inlineStr">
        <is>
          <t>СК3</t>
        </is>
      </c>
      <c r="M125" s="33" t="n"/>
      <c r="N125" s="32" t="n">
        <v>30</v>
      </c>
      <c r="O125" s="701">
        <f>HYPERLINK("https://abi.ru/products/Охлажденные/Вязанка/Вязанка/Сардельки/P003237/","Сардельки «Филейские» Весовые NDX мгс ТМ «Вязанка»")</f>
        <v/>
      </c>
      <c r="P125" s="372" t="n"/>
      <c r="Q125" s="372" t="n"/>
      <c r="R125" s="372" t="n"/>
      <c r="S125" s="370" t="n"/>
      <c r="T125" s="34" t="n"/>
      <c r="U125" s="34" t="n"/>
      <c r="V125" s="35" t="inlineStr">
        <is>
          <t>кг</t>
        </is>
      </c>
      <c r="W125" s="753" t="n">
        <v>0</v>
      </c>
      <c r="X125" s="754">
        <f>IFERROR(IF(W125="",0,CEILING((W125/$H125),1)*$H125),"")</f>
        <v/>
      </c>
      <c r="Y125" s="36">
        <f>IFERROR(IF(X125=0,"",ROUNDUP(X125/H125,0)*0.02175),"")</f>
        <v/>
      </c>
      <c r="Z125" s="56" t="n"/>
      <c r="AA125" s="57" t="n"/>
      <c r="AE125" s="58" t="n"/>
      <c r="BB125" s="131" t="inlineStr">
        <is>
          <t>КИ</t>
        </is>
      </c>
    </row>
    <row r="126" ht="27" customHeight="1">
      <c r="A126" s="54" t="inlineStr">
        <is>
          <t>SU002835</t>
        </is>
      </c>
      <c r="B126" s="54" t="inlineStr">
        <is>
          <t>P003906</t>
        </is>
      </c>
      <c r="C126" s="31" t="n">
        <v>4301060371</v>
      </c>
      <c r="D126" s="369" t="n">
        <v>4680115881532</v>
      </c>
      <c r="E126" s="370" t="n"/>
      <c r="F126" s="752" t="n">
        <v>1.4</v>
      </c>
      <c r="G126" s="32" t="n">
        <v>6</v>
      </c>
      <c r="H126" s="752" t="n">
        <v>8.4</v>
      </c>
      <c r="I126" s="752" t="n">
        <v>8.964</v>
      </c>
      <c r="J126" s="32" t="n">
        <v>56</v>
      </c>
      <c r="K126" s="32" t="inlineStr">
        <is>
          <t>8</t>
        </is>
      </c>
      <c r="L126" s="33" t="inlineStr">
        <is>
          <t>СК2</t>
        </is>
      </c>
      <c r="M126" s="33" t="n"/>
      <c r="N126" s="32" t="n">
        <v>30</v>
      </c>
      <c r="O126" s="559">
        <f>HYPERLINK("https://abi.ru/products/Охлажденные/Вязанка/Вязанка/Сардельки/P003906/","Сардельки «Филейские» Весовые н/о мгс ТМ «Вязанка»")</f>
        <v/>
      </c>
      <c r="P126" s="372" t="n"/>
      <c r="Q126" s="372" t="n"/>
      <c r="R126" s="372" t="n"/>
      <c r="S126" s="370" t="n"/>
      <c r="T126" s="34" t="n"/>
      <c r="U126" s="34" t="n"/>
      <c r="V126" s="35" t="inlineStr">
        <is>
          <t>кг</t>
        </is>
      </c>
      <c r="W126" s="753" t="n">
        <v>0</v>
      </c>
      <c r="X126" s="754">
        <f>IFERROR(IF(W126="",0,CEILING((W126/$H126),1)*$H126),"")</f>
        <v/>
      </c>
      <c r="Y126" s="36">
        <f>IFERROR(IF(X126=0,"",ROUNDUP(X126/H126,0)*0.02175),"")</f>
        <v/>
      </c>
      <c r="Z126" s="56" t="n"/>
      <c r="AA126" s="57" t="n"/>
      <c r="AE126" s="58" t="n"/>
      <c r="BB126" s="132" t="inlineStr">
        <is>
          <t>КИ</t>
        </is>
      </c>
    </row>
    <row r="127" ht="27" customHeight="1">
      <c r="A127" s="54" t="inlineStr">
        <is>
          <t>SU002835</t>
        </is>
      </c>
      <c r="B127" s="54" t="inlineStr">
        <is>
          <t>P003883</t>
        </is>
      </c>
      <c r="C127" s="31" t="n">
        <v>4301060366</v>
      </c>
      <c r="D127" s="369" t="n">
        <v>4680115881532</v>
      </c>
      <c r="E127" s="370" t="n"/>
      <c r="F127" s="752" t="n">
        <v>1.3</v>
      </c>
      <c r="G127" s="32" t="n">
        <v>6</v>
      </c>
      <c r="H127" s="752" t="n">
        <v>7.8</v>
      </c>
      <c r="I127" s="752" t="n">
        <v>8.279999999999999</v>
      </c>
      <c r="J127" s="32" t="n">
        <v>56</v>
      </c>
      <c r="K127" s="32" t="inlineStr">
        <is>
          <t>8</t>
        </is>
      </c>
      <c r="L127" s="33" t="inlineStr">
        <is>
          <t>СК2</t>
        </is>
      </c>
      <c r="M127" s="33" t="n"/>
      <c r="N127" s="32" t="n">
        <v>30</v>
      </c>
      <c r="O127" s="705">
        <f>HYPERLINK("https://abi.ru/products/Охлажденные/Вязанка/Вязанка/Сардельки/P003883/","Сардельки «Филейские» Весовые н/о мгс ТМ «Вязанка»")</f>
        <v/>
      </c>
      <c r="P127" s="372" t="n"/>
      <c r="Q127" s="372" t="n"/>
      <c r="R127" s="372" t="n"/>
      <c r="S127" s="370" t="n"/>
      <c r="T127" s="34" t="n"/>
      <c r="U127" s="34" t="n"/>
      <c r="V127" s="35" t="inlineStr">
        <is>
          <t>кг</t>
        </is>
      </c>
      <c r="W127" s="753" t="n">
        <v>0</v>
      </c>
      <c r="X127" s="754">
        <f>IFERROR(IF(W127="",0,CEILING((W127/$H127),1)*$H127),"")</f>
        <v/>
      </c>
      <c r="Y127" s="36">
        <f>IFERROR(IF(X127=0,"",ROUNDUP(X127/H127,0)*0.02175),"")</f>
        <v/>
      </c>
      <c r="Z127" s="56" t="n"/>
      <c r="AA127" s="57" t="n"/>
      <c r="AE127" s="58" t="n"/>
      <c r="BB127" s="133" t="inlineStr">
        <is>
          <t>КИ</t>
        </is>
      </c>
    </row>
    <row r="128" ht="27" customHeight="1">
      <c r="A128" s="54" t="inlineStr">
        <is>
          <t>SU002997</t>
        </is>
      </c>
      <c r="B128" s="54" t="inlineStr">
        <is>
          <t>P003465</t>
        </is>
      </c>
      <c r="C128" s="31" t="n">
        <v>4301060356</v>
      </c>
      <c r="D128" s="369" t="n">
        <v>4680115882652</v>
      </c>
      <c r="E128" s="370" t="n"/>
      <c r="F128" s="752" t="n">
        <v>0.33</v>
      </c>
      <c r="G128" s="32" t="n">
        <v>6</v>
      </c>
      <c r="H128" s="752" t="n">
        <v>1.98</v>
      </c>
      <c r="I128" s="752" t="n">
        <v>2.84</v>
      </c>
      <c r="J128" s="32" t="n">
        <v>156</v>
      </c>
      <c r="K128" s="32" t="inlineStr">
        <is>
          <t>12</t>
        </is>
      </c>
      <c r="L128" s="33" t="inlineStr">
        <is>
          <t>СК2</t>
        </is>
      </c>
      <c r="M128" s="33" t="n"/>
      <c r="N128" s="32" t="n">
        <v>40</v>
      </c>
      <c r="O128" s="51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8" s="372" t="n"/>
      <c r="Q128" s="372" t="n"/>
      <c r="R128" s="372" t="n"/>
      <c r="S128" s="370" t="n"/>
      <c r="T128" s="34" t="n"/>
      <c r="U128" s="34" t="n"/>
      <c r="V128" s="35" t="inlineStr">
        <is>
          <t>кг</t>
        </is>
      </c>
      <c r="W128" s="753" t="n">
        <v>0</v>
      </c>
      <c r="X128" s="754">
        <f>IFERROR(IF(W128="",0,CEILING((W128/$H128),1)*$H128),"")</f>
        <v/>
      </c>
      <c r="Y128" s="36">
        <f>IFERROR(IF(X128=0,"",ROUNDUP(X128/H128,0)*0.00753),"")</f>
        <v/>
      </c>
      <c r="Z128" s="56" t="n"/>
      <c r="AA128" s="57" t="n"/>
      <c r="AE128" s="58" t="n"/>
      <c r="BB128" s="134" t="inlineStr">
        <is>
          <t>КИ</t>
        </is>
      </c>
    </row>
    <row r="129" ht="16.5" customHeight="1">
      <c r="A129" s="54" t="inlineStr">
        <is>
          <t>SU002367</t>
        </is>
      </c>
      <c r="B129" s="54" t="inlineStr">
        <is>
          <t>P002644</t>
        </is>
      </c>
      <c r="C129" s="31" t="n">
        <v>4301060309</v>
      </c>
      <c r="D129" s="369" t="n">
        <v>4680115880238</v>
      </c>
      <c r="E129" s="370" t="n"/>
      <c r="F129" s="752" t="n">
        <v>0.33</v>
      </c>
      <c r="G129" s="32" t="n">
        <v>6</v>
      </c>
      <c r="H129" s="752" t="n">
        <v>1.98</v>
      </c>
      <c r="I129" s="752" t="n">
        <v>2.258</v>
      </c>
      <c r="J129" s="32" t="n">
        <v>156</v>
      </c>
      <c r="K129" s="32" t="inlineStr">
        <is>
          <t>12</t>
        </is>
      </c>
      <c r="L129" s="33" t="inlineStr">
        <is>
          <t>СК2</t>
        </is>
      </c>
      <c r="M129" s="33" t="n"/>
      <c r="N129" s="32" t="n">
        <v>40</v>
      </c>
      <c r="O129" s="545">
        <f>HYPERLINK("https://abi.ru/products/Охлажденные/Вязанка/Вязанка/Сардельки/P002644/","Сардельки Сливушки фикс.вес 0,33 п/а мгс ТМ Вязанка")</f>
        <v/>
      </c>
      <c r="P129" s="372" t="n"/>
      <c r="Q129" s="372" t="n"/>
      <c r="R129" s="372" t="n"/>
      <c r="S129" s="370" t="n"/>
      <c r="T129" s="34" t="n"/>
      <c r="U129" s="34" t="n"/>
      <c r="V129" s="35" t="inlineStr">
        <is>
          <t>кг</t>
        </is>
      </c>
      <c r="W129" s="753" t="n">
        <v>0</v>
      </c>
      <c r="X129" s="754">
        <f>IFERROR(IF(W129="",0,CEILING((W129/$H129),1)*$H129),"")</f>
        <v/>
      </c>
      <c r="Y129" s="36">
        <f>IFERROR(IF(X129=0,"",ROUNDUP(X129/H129,0)*0.00753),"")</f>
        <v/>
      </c>
      <c r="Z129" s="56" t="n"/>
      <c r="AA129" s="57" t="n"/>
      <c r="AE129" s="58" t="n"/>
      <c r="BB129" s="135" t="inlineStr">
        <is>
          <t>КИ</t>
        </is>
      </c>
    </row>
    <row r="130" ht="27" customHeight="1">
      <c r="A130" s="54" t="inlineStr">
        <is>
          <t>SU002834</t>
        </is>
      </c>
      <c r="B130" s="54" t="inlineStr">
        <is>
          <t>P003238</t>
        </is>
      </c>
      <c r="C130" s="31" t="n">
        <v>4301060351</v>
      </c>
      <c r="D130" s="369" t="n">
        <v>4680115881464</v>
      </c>
      <c r="E130" s="370" t="n"/>
      <c r="F130" s="752" t="n">
        <v>0.4</v>
      </c>
      <c r="G130" s="32" t="n">
        <v>6</v>
      </c>
      <c r="H130" s="752" t="n">
        <v>2.4</v>
      </c>
      <c r="I130" s="752" t="n">
        <v>2.6</v>
      </c>
      <c r="J130" s="32" t="n">
        <v>156</v>
      </c>
      <c r="K130" s="32" t="inlineStr">
        <is>
          <t>12</t>
        </is>
      </c>
      <c r="L130" s="33" t="inlineStr">
        <is>
          <t>СК3</t>
        </is>
      </c>
      <c r="M130" s="33" t="n"/>
      <c r="N130" s="32" t="n">
        <v>30</v>
      </c>
      <c r="O130" s="690">
        <f>HYPERLINK("https://abi.ru/products/Охлажденные/Вязанка/Вязанка/Сардельки/P003238/","Сардельки «Филейские» Фикс.вес 0,4 NDX мгс ТМ «Вязанка»")</f>
        <v/>
      </c>
      <c r="P130" s="372" t="n"/>
      <c r="Q130" s="372" t="n"/>
      <c r="R130" s="372" t="n"/>
      <c r="S130" s="370" t="n"/>
      <c r="T130" s="34" t="n"/>
      <c r="U130" s="34" t="n"/>
      <c r="V130" s="35" t="inlineStr">
        <is>
          <t>кг</t>
        </is>
      </c>
      <c r="W130" s="753" t="n">
        <v>0</v>
      </c>
      <c r="X130" s="754">
        <f>IFERROR(IF(W130="",0,CEILING((W130/$H130),1)*$H130),"")</f>
        <v/>
      </c>
      <c r="Y130" s="36">
        <f>IFERROR(IF(X130=0,"",ROUNDUP(X130/H130,0)*0.00753),"")</f>
        <v/>
      </c>
      <c r="Z130" s="56" t="n"/>
      <c r="AA130" s="57" t="n"/>
      <c r="AE130" s="58" t="n"/>
      <c r="BB130" s="136" t="inlineStr">
        <is>
          <t>КИ</t>
        </is>
      </c>
    </row>
    <row r="131">
      <c r="A131" s="396" t="n"/>
      <c r="B131" s="376" t="n"/>
      <c r="C131" s="376" t="n"/>
      <c r="D131" s="376" t="n"/>
      <c r="E131" s="376" t="n"/>
      <c r="F131" s="376" t="n"/>
      <c r="G131" s="376" t="n"/>
      <c r="H131" s="376" t="n"/>
      <c r="I131" s="376" t="n"/>
      <c r="J131" s="376" t="n"/>
      <c r="K131" s="376" t="n"/>
      <c r="L131" s="376" t="n"/>
      <c r="M131" s="376" t="n"/>
      <c r="N131" s="397" t="n"/>
      <c r="O131" s="391" t="inlineStr">
        <is>
          <t>Итого</t>
        </is>
      </c>
      <c r="P131" s="392" t="n"/>
      <c r="Q131" s="392" t="n"/>
      <c r="R131" s="392" t="n"/>
      <c r="S131" s="392" t="n"/>
      <c r="T131" s="392" t="n"/>
      <c r="U131" s="393" t="n"/>
      <c r="V131" s="37" t="inlineStr">
        <is>
          <t>кор</t>
        </is>
      </c>
      <c r="W131" s="755">
        <f>IFERROR(W124/H124,"0")+IFERROR(W125/H125,"0")+IFERROR(W126/H126,"0")+IFERROR(W127/H127,"0")+IFERROR(W128/H128,"0")+IFERROR(W129/H129,"0")+IFERROR(W130/H130,"0")</f>
        <v/>
      </c>
      <c r="X131" s="755">
        <f>IFERROR(X124/H124,"0")+IFERROR(X125/H125,"0")+IFERROR(X126/H126,"0")+IFERROR(X127/H127,"0")+IFERROR(X128/H128,"0")+IFERROR(X129/H129,"0")+IFERROR(X130/H130,"0")</f>
        <v/>
      </c>
      <c r="Y131" s="755">
        <f>IFERROR(IF(Y124="",0,Y124),"0")+IFERROR(IF(Y125="",0,Y125),"0")+IFERROR(IF(Y126="",0,Y126),"0")+IFERROR(IF(Y127="",0,Y127),"0")+IFERROR(IF(Y128="",0,Y128),"0")+IFERROR(IF(Y129="",0,Y129),"0")+IFERROR(IF(Y130="",0,Y130),"0")</f>
        <v/>
      </c>
      <c r="Z131" s="756" t="n"/>
      <c r="AA131" s="756" t="n"/>
    </row>
    <row r="132">
      <c r="A132" s="376" t="n"/>
      <c r="B132" s="376" t="n"/>
      <c r="C132" s="376" t="n"/>
      <c r="D132" s="376" t="n"/>
      <c r="E132" s="376" t="n"/>
      <c r="F132" s="376" t="n"/>
      <c r="G132" s="376" t="n"/>
      <c r="H132" s="376" t="n"/>
      <c r="I132" s="376" t="n"/>
      <c r="J132" s="376" t="n"/>
      <c r="K132" s="376" t="n"/>
      <c r="L132" s="376" t="n"/>
      <c r="M132" s="376" t="n"/>
      <c r="N132" s="397" t="n"/>
      <c r="O132" s="391" t="inlineStr">
        <is>
          <t>Итого</t>
        </is>
      </c>
      <c r="P132" s="392" t="n"/>
      <c r="Q132" s="392" t="n"/>
      <c r="R132" s="392" t="n"/>
      <c r="S132" s="392" t="n"/>
      <c r="T132" s="392" t="n"/>
      <c r="U132" s="393" t="n"/>
      <c r="V132" s="37" t="inlineStr">
        <is>
          <t>кг</t>
        </is>
      </c>
      <c r="W132" s="755">
        <f>IFERROR(SUM(W124:W130),"0")</f>
        <v/>
      </c>
      <c r="X132" s="755">
        <f>IFERROR(SUM(X124:X130),"0")</f>
        <v/>
      </c>
      <c r="Y132" s="37" t="n"/>
      <c r="Z132" s="756" t="n"/>
      <c r="AA132" s="756" t="n"/>
    </row>
    <row r="133" ht="16.5" customHeight="1">
      <c r="A133" s="378" t="inlineStr">
        <is>
          <t>Сливушки</t>
        </is>
      </c>
      <c r="B133" s="376" t="n"/>
      <c r="C133" s="376" t="n"/>
      <c r="D133" s="376" t="n"/>
      <c r="E133" s="376" t="n"/>
      <c r="F133" s="376" t="n"/>
      <c r="G133" s="376" t="n"/>
      <c r="H133" s="376" t="n"/>
      <c r="I133" s="376" t="n"/>
      <c r="J133" s="376" t="n"/>
      <c r="K133" s="376" t="n"/>
      <c r="L133" s="376" t="n"/>
      <c r="M133" s="376" t="n"/>
      <c r="N133" s="376" t="n"/>
      <c r="O133" s="376" t="n"/>
      <c r="P133" s="376" t="n"/>
      <c r="Q133" s="376" t="n"/>
      <c r="R133" s="376" t="n"/>
      <c r="S133" s="376" t="n"/>
      <c r="T133" s="376" t="n"/>
      <c r="U133" s="376" t="n"/>
      <c r="V133" s="376" t="n"/>
      <c r="W133" s="376" t="n"/>
      <c r="X133" s="376" t="n"/>
      <c r="Y133" s="376" t="n"/>
      <c r="Z133" s="378" t="n"/>
      <c r="AA133" s="378" t="n"/>
    </row>
    <row r="134" ht="14.25" customHeight="1">
      <c r="A134" s="375" t="inlineStr">
        <is>
          <t>Сосиски</t>
        </is>
      </c>
      <c r="B134" s="376" t="n"/>
      <c r="C134" s="376" t="n"/>
      <c r="D134" s="376" t="n"/>
      <c r="E134" s="376" t="n"/>
      <c r="F134" s="376" t="n"/>
      <c r="G134" s="376" t="n"/>
      <c r="H134" s="376" t="n"/>
      <c r="I134" s="376" t="n"/>
      <c r="J134" s="376" t="n"/>
      <c r="K134" s="376" t="n"/>
      <c r="L134" s="376" t="n"/>
      <c r="M134" s="376" t="n"/>
      <c r="N134" s="376" t="n"/>
      <c r="O134" s="376" t="n"/>
      <c r="P134" s="376" t="n"/>
      <c r="Q134" s="376" t="n"/>
      <c r="R134" s="376" t="n"/>
      <c r="S134" s="376" t="n"/>
      <c r="T134" s="376" t="n"/>
      <c r="U134" s="376" t="n"/>
      <c r="V134" s="376" t="n"/>
      <c r="W134" s="376" t="n"/>
      <c r="X134" s="376" t="n"/>
      <c r="Y134" s="376" t="n"/>
      <c r="Z134" s="375" t="n"/>
      <c r="AA134" s="375" t="n"/>
    </row>
    <row r="135" ht="27" customHeight="1">
      <c r="A135" s="54" t="inlineStr">
        <is>
          <t>SU001721</t>
        </is>
      </c>
      <c r="B135" s="54" t="inlineStr">
        <is>
          <t>P003161</t>
        </is>
      </c>
      <c r="C135" s="31" t="n">
        <v>4301051360</v>
      </c>
      <c r="D135" s="369" t="n">
        <v>4607091385168</v>
      </c>
      <c r="E135" s="370" t="n"/>
      <c r="F135" s="752" t="n">
        <v>1.35</v>
      </c>
      <c r="G135" s="32" t="n">
        <v>6</v>
      </c>
      <c r="H135" s="752" t="n">
        <v>8.1</v>
      </c>
      <c r="I135" s="752" t="n">
        <v>8.657999999999999</v>
      </c>
      <c r="J135" s="32" t="n">
        <v>56</v>
      </c>
      <c r="K135" s="32" t="inlineStr">
        <is>
          <t>8</t>
        </is>
      </c>
      <c r="L135" s="33" t="inlineStr">
        <is>
          <t>СК3</t>
        </is>
      </c>
      <c r="M135" s="33" t="n"/>
      <c r="N135" s="32" t="n">
        <v>45</v>
      </c>
      <c r="O135" s="73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372" t="n"/>
      <c r="Q135" s="372" t="n"/>
      <c r="R135" s="372" t="n"/>
      <c r="S135" s="370" t="n"/>
      <c r="T135" s="34" t="n"/>
      <c r="U135" s="34" t="n"/>
      <c r="V135" s="35" t="inlineStr">
        <is>
          <t>кг</t>
        </is>
      </c>
      <c r="W135" s="753" t="n">
        <v>0</v>
      </c>
      <c r="X135" s="754">
        <f>IFERROR(IF(W135="",0,CEILING((W135/$H135),1)*$H135),"")</f>
        <v/>
      </c>
      <c r="Y135" s="36">
        <f>IFERROR(IF(X135=0,"",ROUNDUP(X135/H135,0)*0.02175),"")</f>
        <v/>
      </c>
      <c r="Z135" s="56" t="n"/>
      <c r="AA135" s="57" t="n"/>
      <c r="AE135" s="58" t="n"/>
      <c r="BB135" s="137" t="inlineStr">
        <is>
          <t>КИ</t>
        </is>
      </c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4301051612</v>
      </c>
      <c r="D136" s="369" t="n">
        <v>4607091385168</v>
      </c>
      <c r="E136" s="370" t="n"/>
      <c r="F136" s="752" t="n">
        <v>1.4</v>
      </c>
      <c r="G136" s="32" t="n">
        <v>6</v>
      </c>
      <c r="H136" s="752" t="n">
        <v>8.4</v>
      </c>
      <c r="I136" s="752" t="n">
        <v>8.958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3" t="n"/>
      <c r="N136" s="32" t="n">
        <v>45</v>
      </c>
      <c r="O136" s="377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6" s="372" t="n"/>
      <c r="Q136" s="372" t="n"/>
      <c r="R136" s="372" t="n"/>
      <c r="S136" s="370" t="n"/>
      <c r="T136" s="34" t="n"/>
      <c r="U136" s="34" t="n"/>
      <c r="V136" s="35" t="inlineStr">
        <is>
          <t>кг</t>
        </is>
      </c>
      <c r="W136" s="753" t="n">
        <v>0</v>
      </c>
      <c r="X136" s="754">
        <f>IFERROR(IF(W136="",0,CEILING((W136/$H136),1)*$H136),"")</f>
        <v/>
      </c>
      <c r="Y136" s="36">
        <f>IFERROR(IF(X136=0,"",ROUNDUP(X136/H136,0)*0.02175),"")</f>
        <v/>
      </c>
      <c r="Z136" s="56" t="n"/>
      <c r="AA136" s="57" t="n"/>
      <c r="AE136" s="58" t="n"/>
      <c r="BB136" s="138" t="inlineStr">
        <is>
          <t>КИ</t>
        </is>
      </c>
    </row>
    <row r="137" ht="16.5" customHeight="1">
      <c r="A137" s="54" t="inlineStr">
        <is>
          <t>SU002139</t>
        </is>
      </c>
      <c r="B137" s="54" t="inlineStr">
        <is>
          <t>P003162</t>
        </is>
      </c>
      <c r="C137" s="31" t="n">
        <v>4301051362</v>
      </c>
      <c r="D137" s="369" t="n">
        <v>4607091383256</v>
      </c>
      <c r="E137" s="370" t="n"/>
      <c r="F137" s="752" t="n">
        <v>0.33</v>
      </c>
      <c r="G137" s="32" t="n">
        <v>6</v>
      </c>
      <c r="H137" s="752" t="n">
        <v>1.98</v>
      </c>
      <c r="I137" s="752" t="n">
        <v>2.246</v>
      </c>
      <c r="J137" s="32" t="n">
        <v>156</v>
      </c>
      <c r="K137" s="32" t="inlineStr">
        <is>
          <t>12</t>
        </is>
      </c>
      <c r="L137" s="33" t="inlineStr">
        <is>
          <t>СК3</t>
        </is>
      </c>
      <c r="M137" s="33" t="n"/>
      <c r="N137" s="32" t="n">
        <v>45</v>
      </c>
      <c r="O137" s="572">
        <f>HYPERLINK("https://abi.ru/products/Охлажденные/Вязанка/Сливушки/Сосиски/P003162/","Сосиски Сливочные Сливушки Фикс.вес 0,33 П/а мгс Вязанка")</f>
        <v/>
      </c>
      <c r="P137" s="372" t="n"/>
      <c r="Q137" s="372" t="n"/>
      <c r="R137" s="372" t="n"/>
      <c r="S137" s="370" t="n"/>
      <c r="T137" s="34" t="n"/>
      <c r="U137" s="34" t="n"/>
      <c r="V137" s="35" t="inlineStr">
        <is>
          <t>кг</t>
        </is>
      </c>
      <c r="W137" s="753" t="n">
        <v>0</v>
      </c>
      <c r="X137" s="754">
        <f>IFERROR(IF(W137="",0,CEILING((W137/$H137),1)*$H137),"")</f>
        <v/>
      </c>
      <c r="Y137" s="36">
        <f>IFERROR(IF(X137=0,"",ROUNDUP(X137/H137,0)*0.00753),"")</f>
        <v/>
      </c>
      <c r="Z137" s="56" t="n"/>
      <c r="AA137" s="57" t="n"/>
      <c r="AE137" s="58" t="n"/>
      <c r="BB137" s="139" t="inlineStr">
        <is>
          <t>КИ</t>
        </is>
      </c>
    </row>
    <row r="138" ht="16.5" customHeight="1">
      <c r="A138" s="54" t="inlineStr">
        <is>
          <t>SU001720</t>
        </is>
      </c>
      <c r="B138" s="54" t="inlineStr">
        <is>
          <t>P003160</t>
        </is>
      </c>
      <c r="C138" s="31" t="n">
        <v>4301051358</v>
      </c>
      <c r="D138" s="369" t="n">
        <v>4607091385748</v>
      </c>
      <c r="E138" s="370" t="n"/>
      <c r="F138" s="752" t="n">
        <v>0.45</v>
      </c>
      <c r="G138" s="32" t="n">
        <v>6</v>
      </c>
      <c r="H138" s="752" t="n">
        <v>2.7</v>
      </c>
      <c r="I138" s="752" t="n">
        <v>2.972</v>
      </c>
      <c r="J138" s="32" t="n">
        <v>156</v>
      </c>
      <c r="K138" s="32" t="inlineStr">
        <is>
          <t>12</t>
        </is>
      </c>
      <c r="L138" s="33" t="inlineStr">
        <is>
          <t>СК3</t>
        </is>
      </c>
      <c r="M138" s="33" t="n"/>
      <c r="N138" s="32" t="n">
        <v>45</v>
      </c>
      <c r="O138" s="601">
        <f>HYPERLINK("https://abi.ru/products/Охлажденные/Вязанка/Сливушки/Сосиски/P003160/","Сосиски Сливочные Сливушки Фикс.вес 0,45 П/а мгс Вязанка")</f>
        <v/>
      </c>
      <c r="P138" s="372" t="n"/>
      <c r="Q138" s="372" t="n"/>
      <c r="R138" s="372" t="n"/>
      <c r="S138" s="370" t="n"/>
      <c r="T138" s="34" t="n"/>
      <c r="U138" s="34" t="n"/>
      <c r="V138" s="35" t="inlineStr">
        <is>
          <t>кг</t>
        </is>
      </c>
      <c r="W138" s="753" t="n">
        <v>0</v>
      </c>
      <c r="X138" s="754">
        <f>IFERROR(IF(W138="",0,CEILING((W138/$H138),1)*$H138),"")</f>
        <v/>
      </c>
      <c r="Y138" s="36">
        <f>IFERROR(IF(X138=0,"",ROUNDUP(X138/H138,0)*0.00753),"")</f>
        <v/>
      </c>
      <c r="Z138" s="56" t="n"/>
      <c r="AA138" s="57" t="n"/>
      <c r="AE138" s="58" t="n"/>
      <c r="BB138" s="140" t="inlineStr">
        <is>
          <t>КИ</t>
        </is>
      </c>
    </row>
    <row r="139" ht="16.5" customHeight="1">
      <c r="A139" s="54" t="inlineStr">
        <is>
          <t>SU003336</t>
        </is>
      </c>
      <c r="B139" s="54" t="inlineStr">
        <is>
          <t>P004116</t>
        </is>
      </c>
      <c r="C139" s="31" t="n">
        <v>4301051738</v>
      </c>
      <c r="D139" s="369" t="n">
        <v>4680115884533</v>
      </c>
      <c r="E139" s="370" t="n"/>
      <c r="F139" s="752" t="n">
        <v>0.3</v>
      </c>
      <c r="G139" s="32" t="n">
        <v>6</v>
      </c>
      <c r="H139" s="752" t="n">
        <v>1.8</v>
      </c>
      <c r="I139" s="752" t="n">
        <v>2</v>
      </c>
      <c r="J139" s="32" t="n">
        <v>156</v>
      </c>
      <c r="K139" s="32" t="inlineStr">
        <is>
          <t>12</t>
        </is>
      </c>
      <c r="L139" s="33" t="inlineStr">
        <is>
          <t>СК2</t>
        </is>
      </c>
      <c r="M139" s="33" t="n"/>
      <c r="N139" s="32" t="n">
        <v>45</v>
      </c>
      <c r="O139" s="580">
        <f>HYPERLINK("https://abi.ru/products/Охлажденные/Вязанка/Сливушки/Сосиски/P004116/","Сосиски «Сливушки по-венски» ф/в 0,3 п/а ТМ «Вязанка»")</f>
        <v/>
      </c>
      <c r="P139" s="372" t="n"/>
      <c r="Q139" s="372" t="n"/>
      <c r="R139" s="372" t="n"/>
      <c r="S139" s="370" t="n"/>
      <c r="T139" s="34" t="n"/>
      <c r="U139" s="34" t="n"/>
      <c r="V139" s="35" t="inlineStr">
        <is>
          <t>кг</t>
        </is>
      </c>
      <c r="W139" s="753" t="n">
        <v>0</v>
      </c>
      <c r="X139" s="754">
        <f>IFERROR(IF(W139="",0,CEILING((W139/$H139),1)*$H139),"")</f>
        <v/>
      </c>
      <c r="Y139" s="36">
        <f>IFERROR(IF(X139=0,"",ROUNDUP(X139/H139,0)*0.00753),"")</f>
        <v/>
      </c>
      <c r="Z139" s="56" t="n"/>
      <c r="AA139" s="57" t="n"/>
      <c r="AE139" s="58" t="n"/>
      <c r="BB139" s="141" t="inlineStr">
        <is>
          <t>КИ</t>
        </is>
      </c>
    </row>
    <row r="140">
      <c r="A140" s="396" t="n"/>
      <c r="B140" s="376" t="n"/>
      <c r="C140" s="376" t="n"/>
      <c r="D140" s="376" t="n"/>
      <c r="E140" s="376" t="n"/>
      <c r="F140" s="376" t="n"/>
      <c r="G140" s="376" t="n"/>
      <c r="H140" s="376" t="n"/>
      <c r="I140" s="376" t="n"/>
      <c r="J140" s="376" t="n"/>
      <c r="K140" s="376" t="n"/>
      <c r="L140" s="376" t="n"/>
      <c r="M140" s="376" t="n"/>
      <c r="N140" s="397" t="n"/>
      <c r="O140" s="391" t="inlineStr">
        <is>
          <t>Итого</t>
        </is>
      </c>
      <c r="P140" s="392" t="n"/>
      <c r="Q140" s="392" t="n"/>
      <c r="R140" s="392" t="n"/>
      <c r="S140" s="392" t="n"/>
      <c r="T140" s="392" t="n"/>
      <c r="U140" s="393" t="n"/>
      <c r="V140" s="37" t="inlineStr">
        <is>
          <t>кор</t>
        </is>
      </c>
      <c r="W140" s="755">
        <f>IFERROR(W135/H135,"0")+IFERROR(W136/H136,"0")+IFERROR(W137/H137,"0")+IFERROR(W138/H138,"0")+IFERROR(W139/H139,"0")</f>
        <v/>
      </c>
      <c r="X140" s="755">
        <f>IFERROR(X135/H135,"0")+IFERROR(X136/H136,"0")+IFERROR(X137/H137,"0")+IFERROR(X138/H138,"0")+IFERROR(X139/H139,"0")</f>
        <v/>
      </c>
      <c r="Y140" s="755">
        <f>IFERROR(IF(Y135="",0,Y135),"0")+IFERROR(IF(Y136="",0,Y136),"0")+IFERROR(IF(Y137="",0,Y137),"0")+IFERROR(IF(Y138="",0,Y138),"0")+IFERROR(IF(Y139="",0,Y139),"0")</f>
        <v/>
      </c>
      <c r="Z140" s="756" t="n"/>
      <c r="AA140" s="756" t="n"/>
    </row>
    <row r="141">
      <c r="A141" s="376" t="n"/>
      <c r="B141" s="376" t="n"/>
      <c r="C141" s="376" t="n"/>
      <c r="D141" s="376" t="n"/>
      <c r="E141" s="376" t="n"/>
      <c r="F141" s="376" t="n"/>
      <c r="G141" s="376" t="n"/>
      <c r="H141" s="376" t="n"/>
      <c r="I141" s="376" t="n"/>
      <c r="J141" s="376" t="n"/>
      <c r="K141" s="376" t="n"/>
      <c r="L141" s="376" t="n"/>
      <c r="M141" s="376" t="n"/>
      <c r="N141" s="397" t="n"/>
      <c r="O141" s="391" t="inlineStr">
        <is>
          <t>Итого</t>
        </is>
      </c>
      <c r="P141" s="392" t="n"/>
      <c r="Q141" s="392" t="n"/>
      <c r="R141" s="392" t="n"/>
      <c r="S141" s="392" t="n"/>
      <c r="T141" s="392" t="n"/>
      <c r="U141" s="393" t="n"/>
      <c r="V141" s="37" t="inlineStr">
        <is>
          <t>кг</t>
        </is>
      </c>
      <c r="W141" s="755">
        <f>IFERROR(SUM(W135:W139),"0")</f>
        <v/>
      </c>
      <c r="X141" s="755">
        <f>IFERROR(SUM(X135:X139),"0")</f>
        <v/>
      </c>
      <c r="Y141" s="37" t="n"/>
      <c r="Z141" s="756" t="n"/>
      <c r="AA141" s="756" t="n"/>
    </row>
    <row r="142" ht="27.75" customHeight="1">
      <c r="A142" s="386" t="inlineStr">
        <is>
          <t>Стародворье</t>
        </is>
      </c>
      <c r="B142" s="387" t="n"/>
      <c r="C142" s="387" t="n"/>
      <c r="D142" s="387" t="n"/>
      <c r="E142" s="387" t="n"/>
      <c r="F142" s="387" t="n"/>
      <c r="G142" s="387" t="n"/>
      <c r="H142" s="387" t="n"/>
      <c r="I142" s="387" t="n"/>
      <c r="J142" s="387" t="n"/>
      <c r="K142" s="387" t="n"/>
      <c r="L142" s="387" t="n"/>
      <c r="M142" s="387" t="n"/>
      <c r="N142" s="387" t="n"/>
      <c r="O142" s="387" t="n"/>
      <c r="P142" s="387" t="n"/>
      <c r="Q142" s="387" t="n"/>
      <c r="R142" s="387" t="n"/>
      <c r="S142" s="387" t="n"/>
      <c r="T142" s="387" t="n"/>
      <c r="U142" s="387" t="n"/>
      <c r="V142" s="387" t="n"/>
      <c r="W142" s="387" t="n"/>
      <c r="X142" s="387" t="n"/>
      <c r="Y142" s="387" t="n"/>
      <c r="Z142" s="48" t="n"/>
      <c r="AA142" s="48" t="n"/>
    </row>
    <row r="143" ht="16.5" customHeight="1">
      <c r="A143" s="378" t="inlineStr">
        <is>
          <t>Золоченная в печи</t>
        </is>
      </c>
      <c r="B143" s="376" t="n"/>
      <c r="C143" s="376" t="n"/>
      <c r="D143" s="376" t="n"/>
      <c r="E143" s="376" t="n"/>
      <c r="F143" s="376" t="n"/>
      <c r="G143" s="376" t="n"/>
      <c r="H143" s="376" t="n"/>
      <c r="I143" s="376" t="n"/>
      <c r="J143" s="376" t="n"/>
      <c r="K143" s="376" t="n"/>
      <c r="L143" s="376" t="n"/>
      <c r="M143" s="376" t="n"/>
      <c r="N143" s="376" t="n"/>
      <c r="O143" s="376" t="n"/>
      <c r="P143" s="376" t="n"/>
      <c r="Q143" s="376" t="n"/>
      <c r="R143" s="376" t="n"/>
      <c r="S143" s="376" t="n"/>
      <c r="T143" s="376" t="n"/>
      <c r="U143" s="376" t="n"/>
      <c r="V143" s="376" t="n"/>
      <c r="W143" s="376" t="n"/>
      <c r="X143" s="376" t="n"/>
      <c r="Y143" s="376" t="n"/>
      <c r="Z143" s="378" t="n"/>
      <c r="AA143" s="378" t="n"/>
    </row>
    <row r="144" ht="14.25" customHeight="1">
      <c r="A144" s="375" t="inlineStr">
        <is>
          <t>Вареные колбасы</t>
        </is>
      </c>
      <c r="B144" s="376" t="n"/>
      <c r="C144" s="376" t="n"/>
      <c r="D144" s="376" t="n"/>
      <c r="E144" s="376" t="n"/>
      <c r="F144" s="376" t="n"/>
      <c r="G144" s="376" t="n"/>
      <c r="H144" s="376" t="n"/>
      <c r="I144" s="376" t="n"/>
      <c r="J144" s="376" t="n"/>
      <c r="K144" s="376" t="n"/>
      <c r="L144" s="376" t="n"/>
      <c r="M144" s="376" t="n"/>
      <c r="N144" s="376" t="n"/>
      <c r="O144" s="376" t="n"/>
      <c r="P144" s="376" t="n"/>
      <c r="Q144" s="376" t="n"/>
      <c r="R144" s="376" t="n"/>
      <c r="S144" s="376" t="n"/>
      <c r="T144" s="376" t="n"/>
      <c r="U144" s="376" t="n"/>
      <c r="V144" s="376" t="n"/>
      <c r="W144" s="376" t="n"/>
      <c r="X144" s="376" t="n"/>
      <c r="Y144" s="376" t="n"/>
      <c r="Z144" s="375" t="n"/>
      <c r="AA144" s="375" t="n"/>
    </row>
    <row r="145" ht="27" customHeight="1">
      <c r="A145" s="54" t="inlineStr">
        <is>
          <t>SU002201</t>
        </is>
      </c>
      <c r="B145" s="54" t="inlineStr">
        <is>
          <t>P002567</t>
        </is>
      </c>
      <c r="C145" s="31" t="n">
        <v>4301011223</v>
      </c>
      <c r="D145" s="369" t="n">
        <v>4607091383423</v>
      </c>
      <c r="E145" s="370" t="n"/>
      <c r="F145" s="752" t="n">
        <v>1.35</v>
      </c>
      <c r="G145" s="32" t="n">
        <v>8</v>
      </c>
      <c r="H145" s="752" t="n">
        <v>10.8</v>
      </c>
      <c r="I145" s="752" t="n">
        <v>11.376</v>
      </c>
      <c r="J145" s="32" t="n">
        <v>56</v>
      </c>
      <c r="K145" s="32" t="inlineStr">
        <is>
          <t>8</t>
        </is>
      </c>
      <c r="L145" s="33" t="inlineStr">
        <is>
          <t>СК3</t>
        </is>
      </c>
      <c r="M145" s="33" t="n"/>
      <c r="N145" s="32" t="n">
        <v>35</v>
      </c>
      <c r="O145" s="47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5" s="372" t="n"/>
      <c r="Q145" s="372" t="n"/>
      <c r="R145" s="372" t="n"/>
      <c r="S145" s="370" t="n"/>
      <c r="T145" s="34" t="n"/>
      <c r="U145" s="34" t="n"/>
      <c r="V145" s="35" t="inlineStr">
        <is>
          <t>кг</t>
        </is>
      </c>
      <c r="W145" s="753" t="n">
        <v>0</v>
      </c>
      <c r="X145" s="754">
        <f>IFERROR(IF(W145="",0,CEILING((W145/$H145),1)*$H145),"")</f>
        <v/>
      </c>
      <c r="Y145" s="36">
        <f>IFERROR(IF(X145=0,"",ROUNDUP(X145/H145,0)*0.02175),"")</f>
        <v/>
      </c>
      <c r="Z145" s="56" t="n"/>
      <c r="AA145" s="57" t="n"/>
      <c r="AE145" s="58" t="n"/>
      <c r="BB145" s="142" t="inlineStr">
        <is>
          <t>КИ</t>
        </is>
      </c>
    </row>
    <row r="146" ht="27" customHeight="1">
      <c r="A146" s="54" t="inlineStr">
        <is>
          <t>SU002203</t>
        </is>
      </c>
      <c r="B146" s="54" t="inlineStr">
        <is>
          <t>P002568</t>
        </is>
      </c>
      <c r="C146" s="31" t="n">
        <v>4301011338</v>
      </c>
      <c r="D146" s="369" t="n">
        <v>4607091381405</v>
      </c>
      <c r="E146" s="370" t="n"/>
      <c r="F146" s="752" t="n">
        <v>1.35</v>
      </c>
      <c r="G146" s="32" t="n">
        <v>8</v>
      </c>
      <c r="H146" s="752" t="n">
        <v>10.8</v>
      </c>
      <c r="I146" s="752" t="n">
        <v>11.376</v>
      </c>
      <c r="J146" s="32" t="n">
        <v>56</v>
      </c>
      <c r="K146" s="32" t="inlineStr">
        <is>
          <t>8</t>
        </is>
      </c>
      <c r="L146" s="33" t="inlineStr">
        <is>
          <t>СК2</t>
        </is>
      </c>
      <c r="M146" s="33" t="n"/>
      <c r="N146" s="32" t="n">
        <v>35</v>
      </c>
      <c r="O146" s="74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6" s="372" t="n"/>
      <c r="Q146" s="372" t="n"/>
      <c r="R146" s="372" t="n"/>
      <c r="S146" s="370" t="n"/>
      <c r="T146" s="34" t="n"/>
      <c r="U146" s="34" t="n"/>
      <c r="V146" s="35" t="inlineStr">
        <is>
          <t>кг</t>
        </is>
      </c>
      <c r="W146" s="753" t="n">
        <v>0</v>
      </c>
      <c r="X146" s="754">
        <f>IFERROR(IF(W146="",0,CEILING((W146/$H146),1)*$H146),"")</f>
        <v/>
      </c>
      <c r="Y146" s="36">
        <f>IFERROR(IF(X146=0,"",ROUNDUP(X146/H146,0)*0.02175),"")</f>
        <v/>
      </c>
      <c r="Z146" s="56" t="n"/>
      <c r="AA146" s="57" t="n"/>
      <c r="AE146" s="58" t="n"/>
      <c r="BB146" s="143" t="inlineStr">
        <is>
          <t>КИ</t>
        </is>
      </c>
    </row>
    <row r="147" ht="37.5" customHeight="1">
      <c r="A147" s="54" t="inlineStr">
        <is>
          <t>SU002216</t>
        </is>
      </c>
      <c r="B147" s="54" t="inlineStr">
        <is>
          <t>P002400</t>
        </is>
      </c>
      <c r="C147" s="31" t="n">
        <v>4301011333</v>
      </c>
      <c r="D147" s="369" t="n">
        <v>4607091386516</v>
      </c>
      <c r="E147" s="370" t="n"/>
      <c r="F147" s="752" t="n">
        <v>1.4</v>
      </c>
      <c r="G147" s="32" t="n">
        <v>8</v>
      </c>
      <c r="H147" s="752" t="n">
        <v>11.2</v>
      </c>
      <c r="I147" s="752" t="n">
        <v>11.776</v>
      </c>
      <c r="J147" s="32" t="n">
        <v>56</v>
      </c>
      <c r="K147" s="32" t="inlineStr">
        <is>
          <t>8</t>
        </is>
      </c>
      <c r="L147" s="33" t="inlineStr">
        <is>
          <t>СК2</t>
        </is>
      </c>
      <c r="M147" s="33" t="n"/>
      <c r="N147" s="32" t="n">
        <v>30</v>
      </c>
      <c r="O147" s="4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7" s="372" t="n"/>
      <c r="Q147" s="372" t="n"/>
      <c r="R147" s="372" t="n"/>
      <c r="S147" s="370" t="n"/>
      <c r="T147" s="34" t="n"/>
      <c r="U147" s="34" t="n"/>
      <c r="V147" s="35" t="inlineStr">
        <is>
          <t>кг</t>
        </is>
      </c>
      <c r="W147" s="753" t="n">
        <v>0</v>
      </c>
      <c r="X147" s="754">
        <f>IFERROR(IF(W147="",0,CEILING((W147/$H147),1)*$H147),"")</f>
        <v/>
      </c>
      <c r="Y147" s="36">
        <f>IFERROR(IF(X147=0,"",ROUNDUP(X147/H147,0)*0.02175),"")</f>
        <v/>
      </c>
      <c r="Z147" s="56" t="n"/>
      <c r="AA147" s="57" t="n"/>
      <c r="AE147" s="58" t="n"/>
      <c r="BB147" s="144" t="inlineStr">
        <is>
          <t>КИ</t>
        </is>
      </c>
    </row>
    <row r="148">
      <c r="A148" s="396" t="n"/>
      <c r="B148" s="376" t="n"/>
      <c r="C148" s="376" t="n"/>
      <c r="D148" s="376" t="n"/>
      <c r="E148" s="376" t="n"/>
      <c r="F148" s="376" t="n"/>
      <c r="G148" s="376" t="n"/>
      <c r="H148" s="376" t="n"/>
      <c r="I148" s="376" t="n"/>
      <c r="J148" s="376" t="n"/>
      <c r="K148" s="376" t="n"/>
      <c r="L148" s="376" t="n"/>
      <c r="M148" s="376" t="n"/>
      <c r="N148" s="397" t="n"/>
      <c r="O148" s="391" t="inlineStr">
        <is>
          <t>Итого</t>
        </is>
      </c>
      <c r="P148" s="392" t="n"/>
      <c r="Q148" s="392" t="n"/>
      <c r="R148" s="392" t="n"/>
      <c r="S148" s="392" t="n"/>
      <c r="T148" s="392" t="n"/>
      <c r="U148" s="393" t="n"/>
      <c r="V148" s="37" t="inlineStr">
        <is>
          <t>кор</t>
        </is>
      </c>
      <c r="W148" s="755">
        <f>IFERROR(W145/H145,"0")+IFERROR(W146/H146,"0")+IFERROR(W147/H147,"0")</f>
        <v/>
      </c>
      <c r="X148" s="755">
        <f>IFERROR(X145/H145,"0")+IFERROR(X146/H146,"0")+IFERROR(X147/H147,"0")</f>
        <v/>
      </c>
      <c r="Y148" s="755">
        <f>IFERROR(IF(Y145="",0,Y145),"0")+IFERROR(IF(Y146="",0,Y146),"0")+IFERROR(IF(Y147="",0,Y147),"0")</f>
        <v/>
      </c>
      <c r="Z148" s="756" t="n"/>
      <c r="AA148" s="756" t="n"/>
    </row>
    <row r="149">
      <c r="A149" s="376" t="n"/>
      <c r="B149" s="376" t="n"/>
      <c r="C149" s="376" t="n"/>
      <c r="D149" s="376" t="n"/>
      <c r="E149" s="376" t="n"/>
      <c r="F149" s="376" t="n"/>
      <c r="G149" s="376" t="n"/>
      <c r="H149" s="376" t="n"/>
      <c r="I149" s="376" t="n"/>
      <c r="J149" s="376" t="n"/>
      <c r="K149" s="376" t="n"/>
      <c r="L149" s="376" t="n"/>
      <c r="M149" s="376" t="n"/>
      <c r="N149" s="397" t="n"/>
      <c r="O149" s="391" t="inlineStr">
        <is>
          <t>Итого</t>
        </is>
      </c>
      <c r="P149" s="392" t="n"/>
      <c r="Q149" s="392" t="n"/>
      <c r="R149" s="392" t="n"/>
      <c r="S149" s="392" t="n"/>
      <c r="T149" s="392" t="n"/>
      <c r="U149" s="393" t="n"/>
      <c r="V149" s="37" t="inlineStr">
        <is>
          <t>кг</t>
        </is>
      </c>
      <c r="W149" s="755">
        <f>IFERROR(SUM(W145:W147),"0")</f>
        <v/>
      </c>
      <c r="X149" s="755">
        <f>IFERROR(SUM(X145:X147),"0")</f>
        <v/>
      </c>
      <c r="Y149" s="37" t="n"/>
      <c r="Z149" s="756" t="n"/>
      <c r="AA149" s="756" t="n"/>
    </row>
    <row r="150" ht="16.5" customHeight="1">
      <c r="A150" s="378" t="inlineStr">
        <is>
          <t>Мясорубская</t>
        </is>
      </c>
      <c r="B150" s="376" t="n"/>
      <c r="C150" s="376" t="n"/>
      <c r="D150" s="376" t="n"/>
      <c r="E150" s="376" t="n"/>
      <c r="F150" s="376" t="n"/>
      <c r="G150" s="376" t="n"/>
      <c r="H150" s="376" t="n"/>
      <c r="I150" s="376" t="n"/>
      <c r="J150" s="376" t="n"/>
      <c r="K150" s="376" t="n"/>
      <c r="L150" s="376" t="n"/>
      <c r="M150" s="376" t="n"/>
      <c r="N150" s="376" t="n"/>
      <c r="O150" s="376" t="n"/>
      <c r="P150" s="376" t="n"/>
      <c r="Q150" s="376" t="n"/>
      <c r="R150" s="376" t="n"/>
      <c r="S150" s="376" t="n"/>
      <c r="T150" s="376" t="n"/>
      <c r="U150" s="376" t="n"/>
      <c r="V150" s="376" t="n"/>
      <c r="W150" s="376" t="n"/>
      <c r="X150" s="376" t="n"/>
      <c r="Y150" s="376" t="n"/>
      <c r="Z150" s="378" t="n"/>
      <c r="AA150" s="378" t="n"/>
    </row>
    <row r="151" ht="14.25" customHeight="1">
      <c r="A151" s="375" t="inlineStr">
        <is>
          <t>Копченые колбасы</t>
        </is>
      </c>
      <c r="B151" s="376" t="n"/>
      <c r="C151" s="376" t="n"/>
      <c r="D151" s="376" t="n"/>
      <c r="E151" s="376" t="n"/>
      <c r="F151" s="376" t="n"/>
      <c r="G151" s="376" t="n"/>
      <c r="H151" s="376" t="n"/>
      <c r="I151" s="376" t="n"/>
      <c r="J151" s="376" t="n"/>
      <c r="K151" s="376" t="n"/>
      <c r="L151" s="376" t="n"/>
      <c r="M151" s="376" t="n"/>
      <c r="N151" s="376" t="n"/>
      <c r="O151" s="376" t="n"/>
      <c r="P151" s="376" t="n"/>
      <c r="Q151" s="376" t="n"/>
      <c r="R151" s="376" t="n"/>
      <c r="S151" s="376" t="n"/>
      <c r="T151" s="376" t="n"/>
      <c r="U151" s="376" t="n"/>
      <c r="V151" s="376" t="n"/>
      <c r="W151" s="376" t="n"/>
      <c r="X151" s="376" t="n"/>
      <c r="Y151" s="376" t="n"/>
      <c r="Z151" s="375" t="n"/>
      <c r="AA151" s="375" t="n"/>
    </row>
    <row r="152" ht="27" customHeight="1">
      <c r="A152" s="54" t="inlineStr">
        <is>
          <t>SU002756</t>
        </is>
      </c>
      <c r="B152" s="54" t="inlineStr">
        <is>
          <t>P003179</t>
        </is>
      </c>
      <c r="C152" s="31" t="n">
        <v>4301031191</v>
      </c>
      <c r="D152" s="369" t="n">
        <v>4680115880993</v>
      </c>
      <c r="E152" s="370" t="n"/>
      <c r="F152" s="752" t="n">
        <v>0.7</v>
      </c>
      <c r="G152" s="32" t="n">
        <v>6</v>
      </c>
      <c r="H152" s="752" t="n">
        <v>4.2</v>
      </c>
      <c r="I152" s="752" t="n">
        <v>4.46</v>
      </c>
      <c r="J152" s="32" t="n">
        <v>156</v>
      </c>
      <c r="K152" s="32" t="inlineStr">
        <is>
          <t>12</t>
        </is>
      </c>
      <c r="L152" s="33" t="inlineStr">
        <is>
          <t>СК2</t>
        </is>
      </c>
      <c r="M152" s="33" t="n"/>
      <c r="N152" s="32" t="n">
        <v>40</v>
      </c>
      <c r="O152" s="58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2" s="372" t="n"/>
      <c r="Q152" s="372" t="n"/>
      <c r="R152" s="372" t="n"/>
      <c r="S152" s="370" t="n"/>
      <c r="T152" s="34" t="n"/>
      <c r="U152" s="34" t="n"/>
      <c r="V152" s="35" t="inlineStr">
        <is>
          <t>кг</t>
        </is>
      </c>
      <c r="W152" s="753" t="n">
        <v>0</v>
      </c>
      <c r="X152" s="754">
        <f>IFERROR(IF(W152="",0,CEILING((W152/$H152),1)*$H152),"")</f>
        <v/>
      </c>
      <c r="Y152" s="36">
        <f>IFERROR(IF(X152=0,"",ROUNDUP(X152/H152,0)*0.00753),"")</f>
        <v/>
      </c>
      <c r="Z152" s="56" t="n"/>
      <c r="AA152" s="57" t="n"/>
      <c r="AE152" s="58" t="n"/>
      <c r="BB152" s="145" t="inlineStr">
        <is>
          <t>КИ</t>
        </is>
      </c>
    </row>
    <row r="153" ht="27" customHeight="1">
      <c r="A153" s="54" t="inlineStr">
        <is>
          <t>SU002876</t>
        </is>
      </c>
      <c r="B153" s="54" t="inlineStr">
        <is>
          <t>P003276</t>
        </is>
      </c>
      <c r="C153" s="31" t="n">
        <v>4301031204</v>
      </c>
      <c r="D153" s="369" t="n">
        <v>4680115881761</v>
      </c>
      <c r="E153" s="370" t="n"/>
      <c r="F153" s="752" t="n">
        <v>0.7</v>
      </c>
      <c r="G153" s="32" t="n">
        <v>6</v>
      </c>
      <c r="H153" s="752" t="n">
        <v>4.2</v>
      </c>
      <c r="I153" s="752" t="n">
        <v>4.46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3" t="n"/>
      <c r="N153" s="32" t="n">
        <v>40</v>
      </c>
      <c r="O153" s="62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3" s="372" t="n"/>
      <c r="Q153" s="372" t="n"/>
      <c r="R153" s="372" t="n"/>
      <c r="S153" s="370" t="n"/>
      <c r="T153" s="34" t="n"/>
      <c r="U153" s="34" t="n"/>
      <c r="V153" s="35" t="inlineStr">
        <is>
          <t>кг</t>
        </is>
      </c>
      <c r="W153" s="753" t="n">
        <v>0</v>
      </c>
      <c r="X153" s="754">
        <f>IFERROR(IF(W153="",0,CEILING((W153/$H153),1)*$H153),"")</f>
        <v/>
      </c>
      <c r="Y153" s="36">
        <f>IFERROR(IF(X153=0,"",ROUNDUP(X153/H153,0)*0.00753),"")</f>
        <v/>
      </c>
      <c r="Z153" s="56" t="n"/>
      <c r="AA153" s="57" t="n"/>
      <c r="AE153" s="58" t="n"/>
      <c r="BB153" s="146" t="inlineStr">
        <is>
          <t>КИ</t>
        </is>
      </c>
    </row>
    <row r="154" ht="27" customHeight="1">
      <c r="A154" s="54" t="inlineStr">
        <is>
          <t>SU002847</t>
        </is>
      </c>
      <c r="B154" s="54" t="inlineStr">
        <is>
          <t>P003259</t>
        </is>
      </c>
      <c r="C154" s="31" t="n">
        <v>4301031201</v>
      </c>
      <c r="D154" s="369" t="n">
        <v>4680115881563</v>
      </c>
      <c r="E154" s="370" t="n"/>
      <c r="F154" s="752" t="n">
        <v>0.7</v>
      </c>
      <c r="G154" s="32" t="n">
        <v>6</v>
      </c>
      <c r="H154" s="752" t="n">
        <v>4.2</v>
      </c>
      <c r="I154" s="752" t="n">
        <v>4.4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3" t="n"/>
      <c r="N154" s="32" t="n">
        <v>40</v>
      </c>
      <c r="O154" s="4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4" s="372" t="n"/>
      <c r="Q154" s="372" t="n"/>
      <c r="R154" s="372" t="n"/>
      <c r="S154" s="370" t="n"/>
      <c r="T154" s="34" t="n"/>
      <c r="U154" s="34" t="n"/>
      <c r="V154" s="35" t="inlineStr">
        <is>
          <t>кг</t>
        </is>
      </c>
      <c r="W154" s="753" t="n">
        <v>0</v>
      </c>
      <c r="X154" s="754">
        <f>IFERROR(IF(W154="",0,CEILING((W154/$H154),1)*$H154),"")</f>
        <v/>
      </c>
      <c r="Y154" s="36">
        <f>IFERROR(IF(X154=0,"",ROUNDUP(X154/H154,0)*0.00753),"")</f>
        <v/>
      </c>
      <c r="Z154" s="56" t="n"/>
      <c r="AA154" s="57" t="n"/>
      <c r="AE154" s="58" t="n"/>
      <c r="BB154" s="147" t="inlineStr">
        <is>
          <t>КИ</t>
        </is>
      </c>
    </row>
    <row r="155" ht="27" customHeight="1">
      <c r="A155" s="54" t="inlineStr">
        <is>
          <t>SU002660</t>
        </is>
      </c>
      <c r="B155" s="54" t="inlineStr">
        <is>
          <t>P003256</t>
        </is>
      </c>
      <c r="C155" s="31" t="n">
        <v>4301031199</v>
      </c>
      <c r="D155" s="369" t="n">
        <v>4680115880986</v>
      </c>
      <c r="E155" s="370" t="n"/>
      <c r="F155" s="752" t="n">
        <v>0.35</v>
      </c>
      <c r="G155" s="32" t="n">
        <v>6</v>
      </c>
      <c r="H155" s="752" t="n">
        <v>2.1</v>
      </c>
      <c r="I155" s="752" t="n">
        <v>2.23</v>
      </c>
      <c r="J155" s="32" t="n">
        <v>234</v>
      </c>
      <c r="K155" s="32" t="inlineStr">
        <is>
          <t>18</t>
        </is>
      </c>
      <c r="L155" s="33" t="inlineStr">
        <is>
          <t>СК2</t>
        </is>
      </c>
      <c r="M155" s="33" t="n"/>
      <c r="N155" s="32" t="n">
        <v>40</v>
      </c>
      <c r="O155" s="4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5" s="372" t="n"/>
      <c r="Q155" s="372" t="n"/>
      <c r="R155" s="372" t="n"/>
      <c r="S155" s="370" t="n"/>
      <c r="T155" s="34" t="n"/>
      <c r="U155" s="34" t="n"/>
      <c r="V155" s="35" t="inlineStr">
        <is>
          <t>кг</t>
        </is>
      </c>
      <c r="W155" s="753" t="n">
        <v>0</v>
      </c>
      <c r="X155" s="754">
        <f>IFERROR(IF(W155="",0,CEILING((W155/$H155),1)*$H155),"")</f>
        <v/>
      </c>
      <c r="Y155" s="36">
        <f>IFERROR(IF(X155=0,"",ROUNDUP(X155/H155,0)*0.00502),"")</f>
        <v/>
      </c>
      <c r="Z155" s="56" t="n"/>
      <c r="AA155" s="57" t="n"/>
      <c r="AE155" s="58" t="n"/>
      <c r="BB155" s="148" t="inlineStr">
        <is>
          <t>КИ</t>
        </is>
      </c>
    </row>
    <row r="156" ht="27" customHeight="1">
      <c r="A156" s="54" t="inlineStr">
        <is>
          <t>SU002826</t>
        </is>
      </c>
      <c r="B156" s="54" t="inlineStr">
        <is>
          <t>P003178</t>
        </is>
      </c>
      <c r="C156" s="31" t="n">
        <v>4301031190</v>
      </c>
      <c r="D156" s="369" t="n">
        <v>4680115880207</v>
      </c>
      <c r="E156" s="370" t="n"/>
      <c r="F156" s="752" t="n">
        <v>0.4</v>
      </c>
      <c r="G156" s="32" t="n">
        <v>6</v>
      </c>
      <c r="H156" s="752" t="n">
        <v>2.4</v>
      </c>
      <c r="I156" s="752" t="n">
        <v>2.63</v>
      </c>
      <c r="J156" s="32" t="n">
        <v>156</v>
      </c>
      <c r="K156" s="32" t="inlineStr">
        <is>
          <t>12</t>
        </is>
      </c>
      <c r="L156" s="33" t="inlineStr">
        <is>
          <t>СК2</t>
        </is>
      </c>
      <c r="M156" s="33" t="n"/>
      <c r="N156" s="32" t="n">
        <v>40</v>
      </c>
      <c r="O156" s="6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6" s="372" t="n"/>
      <c r="Q156" s="372" t="n"/>
      <c r="R156" s="372" t="n"/>
      <c r="S156" s="370" t="n"/>
      <c r="T156" s="34" t="n"/>
      <c r="U156" s="34" t="n"/>
      <c r="V156" s="35" t="inlineStr">
        <is>
          <t>кг</t>
        </is>
      </c>
      <c r="W156" s="753" t="n">
        <v>0</v>
      </c>
      <c r="X156" s="754">
        <f>IFERROR(IF(W156="",0,CEILING((W156/$H156),1)*$H156),"")</f>
        <v/>
      </c>
      <c r="Y156" s="36">
        <f>IFERROR(IF(X156=0,"",ROUNDUP(X156/H156,0)*0.00753),"")</f>
        <v/>
      </c>
      <c r="Z156" s="56" t="n"/>
      <c r="AA156" s="57" t="n"/>
      <c r="AE156" s="58" t="n"/>
      <c r="BB156" s="149" t="inlineStr">
        <is>
          <t>КИ</t>
        </is>
      </c>
    </row>
    <row r="157" ht="27" customHeight="1">
      <c r="A157" s="54" t="inlineStr">
        <is>
          <t>SU002877</t>
        </is>
      </c>
      <c r="B157" s="54" t="inlineStr">
        <is>
          <t>P003277</t>
        </is>
      </c>
      <c r="C157" s="31" t="n">
        <v>4301031205</v>
      </c>
      <c r="D157" s="369" t="n">
        <v>4680115881785</v>
      </c>
      <c r="E157" s="370" t="n"/>
      <c r="F157" s="752" t="n">
        <v>0.35</v>
      </c>
      <c r="G157" s="32" t="n">
        <v>6</v>
      </c>
      <c r="H157" s="752" t="n">
        <v>2.1</v>
      </c>
      <c r="I157" s="752" t="n">
        <v>2.23</v>
      </c>
      <c r="J157" s="32" t="n">
        <v>234</v>
      </c>
      <c r="K157" s="32" t="inlineStr">
        <is>
          <t>18</t>
        </is>
      </c>
      <c r="L157" s="33" t="inlineStr">
        <is>
          <t>СК2</t>
        </is>
      </c>
      <c r="M157" s="33" t="n"/>
      <c r="N157" s="32" t="n">
        <v>40</v>
      </c>
      <c r="O157" s="4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7" s="372" t="n"/>
      <c r="Q157" s="372" t="n"/>
      <c r="R157" s="372" t="n"/>
      <c r="S157" s="370" t="n"/>
      <c r="T157" s="34" t="n"/>
      <c r="U157" s="34" t="n"/>
      <c r="V157" s="35" t="inlineStr">
        <is>
          <t>кг</t>
        </is>
      </c>
      <c r="W157" s="753" t="n">
        <v>0</v>
      </c>
      <c r="X157" s="754">
        <f>IFERROR(IF(W157="",0,CEILING((W157/$H157),1)*$H157),"")</f>
        <v/>
      </c>
      <c r="Y157" s="36">
        <f>IFERROR(IF(X157=0,"",ROUNDUP(X157/H157,0)*0.00502),"")</f>
        <v/>
      </c>
      <c r="Z157" s="56" t="n"/>
      <c r="AA157" s="57" t="n"/>
      <c r="AE157" s="58" t="n"/>
      <c r="BB157" s="150" t="inlineStr">
        <is>
          <t>КИ</t>
        </is>
      </c>
    </row>
    <row r="158" ht="27" customHeight="1">
      <c r="A158" s="54" t="inlineStr">
        <is>
          <t>SU002848</t>
        </is>
      </c>
      <c r="B158" s="54" t="inlineStr">
        <is>
          <t>P003260</t>
        </is>
      </c>
      <c r="C158" s="31" t="n">
        <v>4301031202</v>
      </c>
      <c r="D158" s="369" t="n">
        <v>4680115881679</v>
      </c>
      <c r="E158" s="370" t="n"/>
      <c r="F158" s="752" t="n">
        <v>0.35</v>
      </c>
      <c r="G158" s="32" t="n">
        <v>6</v>
      </c>
      <c r="H158" s="752" t="n">
        <v>2.1</v>
      </c>
      <c r="I158" s="752" t="n">
        <v>2.2</v>
      </c>
      <c r="J158" s="32" t="n">
        <v>234</v>
      </c>
      <c r="K158" s="32" t="inlineStr">
        <is>
          <t>18</t>
        </is>
      </c>
      <c r="L158" s="33" t="inlineStr">
        <is>
          <t>СК2</t>
        </is>
      </c>
      <c r="M158" s="33" t="n"/>
      <c r="N158" s="32" t="n">
        <v>40</v>
      </c>
      <c r="O158" s="62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8" s="372" t="n"/>
      <c r="Q158" s="372" t="n"/>
      <c r="R158" s="372" t="n"/>
      <c r="S158" s="370" t="n"/>
      <c r="T158" s="34" t="n"/>
      <c r="U158" s="34" t="n"/>
      <c r="V158" s="35" t="inlineStr">
        <is>
          <t>кг</t>
        </is>
      </c>
      <c r="W158" s="753" t="n">
        <v>0</v>
      </c>
      <c r="X158" s="754">
        <f>IFERROR(IF(W158="",0,CEILING((W158/$H158),1)*$H158),"")</f>
        <v/>
      </c>
      <c r="Y158" s="36">
        <f>IFERROR(IF(X158=0,"",ROUNDUP(X158/H158,0)*0.00502),"")</f>
        <v/>
      </c>
      <c r="Z158" s="56" t="n"/>
      <c r="AA158" s="57" t="n"/>
      <c r="AE158" s="58" t="n"/>
      <c r="BB158" s="151" t="inlineStr">
        <is>
          <t>КИ</t>
        </is>
      </c>
    </row>
    <row r="159" ht="27" customHeight="1">
      <c r="A159" s="54" t="inlineStr">
        <is>
          <t>SU002659</t>
        </is>
      </c>
      <c r="B159" s="54" t="inlineStr">
        <is>
          <t>P003034</t>
        </is>
      </c>
      <c r="C159" s="31" t="n">
        <v>4301031158</v>
      </c>
      <c r="D159" s="369" t="n">
        <v>4680115880191</v>
      </c>
      <c r="E159" s="370" t="n"/>
      <c r="F159" s="752" t="n">
        <v>0.4</v>
      </c>
      <c r="G159" s="32" t="n">
        <v>6</v>
      </c>
      <c r="H159" s="752" t="n">
        <v>2.4</v>
      </c>
      <c r="I159" s="752" t="n">
        <v>2.6</v>
      </c>
      <c r="J159" s="32" t="n">
        <v>156</v>
      </c>
      <c r="K159" s="32" t="inlineStr">
        <is>
          <t>12</t>
        </is>
      </c>
      <c r="L159" s="33" t="inlineStr">
        <is>
          <t>СК2</t>
        </is>
      </c>
      <c r="M159" s="33" t="n"/>
      <c r="N159" s="32" t="n">
        <v>40</v>
      </c>
      <c r="O159" s="64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9" s="372" t="n"/>
      <c r="Q159" s="372" t="n"/>
      <c r="R159" s="372" t="n"/>
      <c r="S159" s="370" t="n"/>
      <c r="T159" s="34" t="n"/>
      <c r="U159" s="34" t="n"/>
      <c r="V159" s="35" t="inlineStr">
        <is>
          <t>кг</t>
        </is>
      </c>
      <c r="W159" s="753" t="n">
        <v>0</v>
      </c>
      <c r="X159" s="754">
        <f>IFERROR(IF(W159="",0,CEILING((W159/$H159),1)*$H159),"")</f>
        <v/>
      </c>
      <c r="Y159" s="36">
        <f>IFERROR(IF(X159=0,"",ROUNDUP(X159/H159,0)*0.00753),"")</f>
        <v/>
      </c>
      <c r="Z159" s="56" t="n"/>
      <c r="AA159" s="57" t="n"/>
      <c r="AE159" s="58" t="n"/>
      <c r="BB159" s="152" t="inlineStr">
        <is>
          <t>КИ</t>
        </is>
      </c>
    </row>
    <row r="160" ht="16.5" customHeight="1">
      <c r="A160" s="54" t="inlineStr">
        <is>
          <t>SU003046</t>
        </is>
      </c>
      <c r="B160" s="54" t="inlineStr">
        <is>
          <t>P003598</t>
        </is>
      </c>
      <c r="C160" s="31" t="n">
        <v>4301031245</v>
      </c>
      <c r="D160" s="369" t="n">
        <v>4680115883963</v>
      </c>
      <c r="E160" s="370" t="n"/>
      <c r="F160" s="752" t="n">
        <v>0.28</v>
      </c>
      <c r="G160" s="32" t="n">
        <v>6</v>
      </c>
      <c r="H160" s="752" t="n">
        <v>1.68</v>
      </c>
      <c r="I160" s="752" t="n">
        <v>1.78</v>
      </c>
      <c r="J160" s="32" t="n">
        <v>234</v>
      </c>
      <c r="K160" s="32" t="inlineStr">
        <is>
          <t>18</t>
        </is>
      </c>
      <c r="L160" s="33" t="inlineStr">
        <is>
          <t>СК2</t>
        </is>
      </c>
      <c r="M160" s="33" t="n"/>
      <c r="N160" s="32" t="n">
        <v>40</v>
      </c>
      <c r="O160" s="50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60" s="372" t="n"/>
      <c r="Q160" s="372" t="n"/>
      <c r="R160" s="372" t="n"/>
      <c r="S160" s="370" t="n"/>
      <c r="T160" s="34" t="n"/>
      <c r="U160" s="34" t="n"/>
      <c r="V160" s="35" t="inlineStr">
        <is>
          <t>кг</t>
        </is>
      </c>
      <c r="W160" s="753" t="n">
        <v>0</v>
      </c>
      <c r="X160" s="754">
        <f>IFERROR(IF(W160="",0,CEILING((W160/$H160),1)*$H160),"")</f>
        <v/>
      </c>
      <c r="Y160" s="36">
        <f>IFERROR(IF(X160=0,"",ROUNDUP(X160/H160,0)*0.00502),"")</f>
        <v/>
      </c>
      <c r="Z160" s="56" t="n"/>
      <c r="AA160" s="57" t="n"/>
      <c r="AE160" s="58" t="n"/>
      <c r="BB160" s="153" t="inlineStr">
        <is>
          <t>КИ</t>
        </is>
      </c>
    </row>
    <row r="161">
      <c r="A161" s="396" t="n"/>
      <c r="B161" s="376" t="n"/>
      <c r="C161" s="376" t="n"/>
      <c r="D161" s="376" t="n"/>
      <c r="E161" s="376" t="n"/>
      <c r="F161" s="376" t="n"/>
      <c r="G161" s="376" t="n"/>
      <c r="H161" s="376" t="n"/>
      <c r="I161" s="376" t="n"/>
      <c r="J161" s="376" t="n"/>
      <c r="K161" s="376" t="n"/>
      <c r="L161" s="376" t="n"/>
      <c r="M161" s="376" t="n"/>
      <c r="N161" s="397" t="n"/>
      <c r="O161" s="391" t="inlineStr">
        <is>
          <t>Итого</t>
        </is>
      </c>
      <c r="P161" s="392" t="n"/>
      <c r="Q161" s="392" t="n"/>
      <c r="R161" s="392" t="n"/>
      <c r="S161" s="392" t="n"/>
      <c r="T161" s="392" t="n"/>
      <c r="U161" s="393" t="n"/>
      <c r="V161" s="37" t="inlineStr">
        <is>
          <t>кор</t>
        </is>
      </c>
      <c r="W161" s="755">
        <f>IFERROR(W152/H152,"0")+IFERROR(W153/H153,"0")+IFERROR(W154/H154,"0")+IFERROR(W155/H155,"0")+IFERROR(W156/H156,"0")+IFERROR(W157/H157,"0")+IFERROR(W158/H158,"0")+IFERROR(W159/H159,"0")+IFERROR(W160/H160,"0")</f>
        <v/>
      </c>
      <c r="X161" s="755">
        <f>IFERROR(X152/H152,"0")+IFERROR(X153/H153,"0")+IFERROR(X154/H154,"0")+IFERROR(X155/H155,"0")+IFERROR(X156/H156,"0")+IFERROR(X157/H157,"0")+IFERROR(X158/H158,"0")+IFERROR(X159/H159,"0")+IFERROR(X160/H160,"0")</f>
        <v/>
      </c>
      <c r="Y161" s="755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/>
      </c>
      <c r="Z161" s="756" t="n"/>
      <c r="AA161" s="756" t="n"/>
    </row>
    <row r="162">
      <c r="A162" s="376" t="n"/>
      <c r="B162" s="376" t="n"/>
      <c r="C162" s="376" t="n"/>
      <c r="D162" s="376" t="n"/>
      <c r="E162" s="376" t="n"/>
      <c r="F162" s="376" t="n"/>
      <c r="G162" s="376" t="n"/>
      <c r="H162" s="376" t="n"/>
      <c r="I162" s="376" t="n"/>
      <c r="J162" s="376" t="n"/>
      <c r="K162" s="376" t="n"/>
      <c r="L162" s="376" t="n"/>
      <c r="M162" s="376" t="n"/>
      <c r="N162" s="397" t="n"/>
      <c r="O162" s="391" t="inlineStr">
        <is>
          <t>Итого</t>
        </is>
      </c>
      <c r="P162" s="392" t="n"/>
      <c r="Q162" s="392" t="n"/>
      <c r="R162" s="392" t="n"/>
      <c r="S162" s="392" t="n"/>
      <c r="T162" s="392" t="n"/>
      <c r="U162" s="393" t="n"/>
      <c r="V162" s="37" t="inlineStr">
        <is>
          <t>кг</t>
        </is>
      </c>
      <c r="W162" s="755">
        <f>IFERROR(SUM(W152:W160),"0")</f>
        <v/>
      </c>
      <c r="X162" s="755">
        <f>IFERROR(SUM(X152:X160),"0")</f>
        <v/>
      </c>
      <c r="Y162" s="37" t="n"/>
      <c r="Z162" s="756" t="n"/>
      <c r="AA162" s="756" t="n"/>
    </row>
    <row r="163" ht="16.5" customHeight="1">
      <c r="A163" s="378" t="inlineStr">
        <is>
          <t>Сочинка</t>
        </is>
      </c>
      <c r="B163" s="376" t="n"/>
      <c r="C163" s="376" t="n"/>
      <c r="D163" s="376" t="n"/>
      <c r="E163" s="376" t="n"/>
      <c r="F163" s="376" t="n"/>
      <c r="G163" s="376" t="n"/>
      <c r="H163" s="376" t="n"/>
      <c r="I163" s="376" t="n"/>
      <c r="J163" s="376" t="n"/>
      <c r="K163" s="376" t="n"/>
      <c r="L163" s="376" t="n"/>
      <c r="M163" s="376" t="n"/>
      <c r="N163" s="376" t="n"/>
      <c r="O163" s="376" t="n"/>
      <c r="P163" s="376" t="n"/>
      <c r="Q163" s="376" t="n"/>
      <c r="R163" s="376" t="n"/>
      <c r="S163" s="376" t="n"/>
      <c r="T163" s="376" t="n"/>
      <c r="U163" s="376" t="n"/>
      <c r="V163" s="376" t="n"/>
      <c r="W163" s="376" t="n"/>
      <c r="X163" s="376" t="n"/>
      <c r="Y163" s="376" t="n"/>
      <c r="Z163" s="378" t="n"/>
      <c r="AA163" s="378" t="n"/>
    </row>
    <row r="164" ht="14.25" customHeight="1">
      <c r="A164" s="375" t="inlineStr">
        <is>
          <t>Вареные колбасы</t>
        </is>
      </c>
      <c r="B164" s="376" t="n"/>
      <c r="C164" s="376" t="n"/>
      <c r="D164" s="376" t="n"/>
      <c r="E164" s="376" t="n"/>
      <c r="F164" s="376" t="n"/>
      <c r="G164" s="376" t="n"/>
      <c r="H164" s="376" t="n"/>
      <c r="I164" s="376" t="n"/>
      <c r="J164" s="376" t="n"/>
      <c r="K164" s="376" t="n"/>
      <c r="L164" s="376" t="n"/>
      <c r="M164" s="376" t="n"/>
      <c r="N164" s="376" t="n"/>
      <c r="O164" s="376" t="n"/>
      <c r="P164" s="376" t="n"/>
      <c r="Q164" s="376" t="n"/>
      <c r="R164" s="376" t="n"/>
      <c r="S164" s="376" t="n"/>
      <c r="T164" s="376" t="n"/>
      <c r="U164" s="376" t="n"/>
      <c r="V164" s="376" t="n"/>
      <c r="W164" s="376" t="n"/>
      <c r="X164" s="376" t="n"/>
      <c r="Y164" s="376" t="n"/>
      <c r="Z164" s="375" t="n"/>
      <c r="AA164" s="375" t="n"/>
    </row>
    <row r="165" ht="16.5" customHeight="1">
      <c r="A165" s="54" t="inlineStr">
        <is>
          <t>SU002824</t>
        </is>
      </c>
      <c r="B165" s="54" t="inlineStr">
        <is>
          <t>P003231</t>
        </is>
      </c>
      <c r="C165" s="31" t="n">
        <v>4301011450</v>
      </c>
      <c r="D165" s="369" t="n">
        <v>4680115881402</v>
      </c>
      <c r="E165" s="370" t="n"/>
      <c r="F165" s="752" t="n">
        <v>1.35</v>
      </c>
      <c r="G165" s="32" t="n">
        <v>8</v>
      </c>
      <c r="H165" s="752" t="n">
        <v>10.8</v>
      </c>
      <c r="I165" s="752" t="n">
        <v>11.28</v>
      </c>
      <c r="J165" s="32" t="n">
        <v>56</v>
      </c>
      <c r="K165" s="32" t="inlineStr">
        <is>
          <t>8</t>
        </is>
      </c>
      <c r="L165" s="33" t="inlineStr">
        <is>
          <t>СК1</t>
        </is>
      </c>
      <c r="M165" s="33" t="n"/>
      <c r="N165" s="32" t="n">
        <v>55</v>
      </c>
      <c r="O165" s="60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5" s="372" t="n"/>
      <c r="Q165" s="372" t="n"/>
      <c r="R165" s="372" t="n"/>
      <c r="S165" s="370" t="n"/>
      <c r="T165" s="34" t="n"/>
      <c r="U165" s="34" t="n"/>
      <c r="V165" s="35" t="inlineStr">
        <is>
          <t>кг</t>
        </is>
      </c>
      <c r="W165" s="753" t="n">
        <v>0</v>
      </c>
      <c r="X165" s="754">
        <f>IFERROR(IF(W165="",0,CEILING((W165/$H165),1)*$H165),"")</f>
        <v/>
      </c>
      <c r="Y165" s="36">
        <f>IFERROR(IF(X165=0,"",ROUNDUP(X165/H165,0)*0.02175),"")</f>
        <v/>
      </c>
      <c r="Z165" s="56" t="n"/>
      <c r="AA165" s="57" t="n"/>
      <c r="AE165" s="58" t="n"/>
      <c r="BB165" s="154" t="inlineStr">
        <is>
          <t>КИ</t>
        </is>
      </c>
    </row>
    <row r="166" ht="27" customHeight="1">
      <c r="A166" s="54" t="inlineStr">
        <is>
          <t>SU002823</t>
        </is>
      </c>
      <c r="B166" s="54" t="inlineStr">
        <is>
          <t>P003230</t>
        </is>
      </c>
      <c r="C166" s="31" t="n">
        <v>4301011454</v>
      </c>
      <c r="D166" s="369" t="n">
        <v>4680115881396</v>
      </c>
      <c r="E166" s="370" t="n"/>
      <c r="F166" s="752" t="n">
        <v>0.45</v>
      </c>
      <c r="G166" s="32" t="n">
        <v>6</v>
      </c>
      <c r="H166" s="752" t="n">
        <v>2.7</v>
      </c>
      <c r="I166" s="752" t="n">
        <v>2.9</v>
      </c>
      <c r="J166" s="32" t="n">
        <v>156</v>
      </c>
      <c r="K166" s="32" t="inlineStr">
        <is>
          <t>12</t>
        </is>
      </c>
      <c r="L166" s="33" t="inlineStr">
        <is>
          <t>СК2</t>
        </is>
      </c>
      <c r="M166" s="33" t="n"/>
      <c r="N166" s="32" t="n">
        <v>55</v>
      </c>
      <c r="O166" s="52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6" s="372" t="n"/>
      <c r="Q166" s="372" t="n"/>
      <c r="R166" s="372" t="n"/>
      <c r="S166" s="370" t="n"/>
      <c r="T166" s="34" t="n"/>
      <c r="U166" s="34" t="n"/>
      <c r="V166" s="35" t="inlineStr">
        <is>
          <t>кг</t>
        </is>
      </c>
      <c r="W166" s="753" t="n">
        <v>0</v>
      </c>
      <c r="X166" s="754">
        <f>IFERROR(IF(W166="",0,CEILING((W166/$H166),1)*$H166),"")</f>
        <v/>
      </c>
      <c r="Y166" s="36">
        <f>IFERROR(IF(X166=0,"",ROUNDUP(X166/H166,0)*0.00753),"")</f>
        <v/>
      </c>
      <c r="Z166" s="56" t="n"/>
      <c r="AA166" s="57" t="n"/>
      <c r="AE166" s="58" t="n"/>
      <c r="BB166" s="155" t="inlineStr">
        <is>
          <t>КИ</t>
        </is>
      </c>
    </row>
    <row r="167">
      <c r="A167" s="396" t="n"/>
      <c r="B167" s="376" t="n"/>
      <c r="C167" s="376" t="n"/>
      <c r="D167" s="376" t="n"/>
      <c r="E167" s="376" t="n"/>
      <c r="F167" s="376" t="n"/>
      <c r="G167" s="376" t="n"/>
      <c r="H167" s="376" t="n"/>
      <c r="I167" s="376" t="n"/>
      <c r="J167" s="376" t="n"/>
      <c r="K167" s="376" t="n"/>
      <c r="L167" s="376" t="n"/>
      <c r="M167" s="376" t="n"/>
      <c r="N167" s="397" t="n"/>
      <c r="O167" s="391" t="inlineStr">
        <is>
          <t>Итого</t>
        </is>
      </c>
      <c r="P167" s="392" t="n"/>
      <c r="Q167" s="392" t="n"/>
      <c r="R167" s="392" t="n"/>
      <c r="S167" s="392" t="n"/>
      <c r="T167" s="392" t="n"/>
      <c r="U167" s="393" t="n"/>
      <c r="V167" s="37" t="inlineStr">
        <is>
          <t>кор</t>
        </is>
      </c>
      <c r="W167" s="755">
        <f>IFERROR(W165/H165,"0")+IFERROR(W166/H166,"0")</f>
        <v/>
      </c>
      <c r="X167" s="755">
        <f>IFERROR(X165/H165,"0")+IFERROR(X166/H166,"0")</f>
        <v/>
      </c>
      <c r="Y167" s="755">
        <f>IFERROR(IF(Y165="",0,Y165),"0")+IFERROR(IF(Y166="",0,Y166),"0")</f>
        <v/>
      </c>
      <c r="Z167" s="756" t="n"/>
      <c r="AA167" s="756" t="n"/>
    </row>
    <row r="168">
      <c r="A168" s="376" t="n"/>
      <c r="B168" s="376" t="n"/>
      <c r="C168" s="376" t="n"/>
      <c r="D168" s="376" t="n"/>
      <c r="E168" s="376" t="n"/>
      <c r="F168" s="376" t="n"/>
      <c r="G168" s="376" t="n"/>
      <c r="H168" s="376" t="n"/>
      <c r="I168" s="376" t="n"/>
      <c r="J168" s="376" t="n"/>
      <c r="K168" s="376" t="n"/>
      <c r="L168" s="376" t="n"/>
      <c r="M168" s="376" t="n"/>
      <c r="N168" s="397" t="n"/>
      <c r="O168" s="391" t="inlineStr">
        <is>
          <t>Итого</t>
        </is>
      </c>
      <c r="P168" s="392" t="n"/>
      <c r="Q168" s="392" t="n"/>
      <c r="R168" s="392" t="n"/>
      <c r="S168" s="392" t="n"/>
      <c r="T168" s="392" t="n"/>
      <c r="U168" s="393" t="n"/>
      <c r="V168" s="37" t="inlineStr">
        <is>
          <t>кг</t>
        </is>
      </c>
      <c r="W168" s="755">
        <f>IFERROR(SUM(W165:W166),"0")</f>
        <v/>
      </c>
      <c r="X168" s="755">
        <f>IFERROR(SUM(X165:X166),"0")</f>
        <v/>
      </c>
      <c r="Y168" s="37" t="n"/>
      <c r="Z168" s="756" t="n"/>
      <c r="AA168" s="756" t="n"/>
    </row>
    <row r="169" ht="14.25" customHeight="1">
      <c r="A169" s="375" t="inlineStr">
        <is>
          <t>Ветчины</t>
        </is>
      </c>
      <c r="B169" s="376" t="n"/>
      <c r="C169" s="376" t="n"/>
      <c r="D169" s="376" t="n"/>
      <c r="E169" s="376" t="n"/>
      <c r="F169" s="376" t="n"/>
      <c r="G169" s="376" t="n"/>
      <c r="H169" s="376" t="n"/>
      <c r="I169" s="376" t="n"/>
      <c r="J169" s="376" t="n"/>
      <c r="K169" s="376" t="n"/>
      <c r="L169" s="376" t="n"/>
      <c r="M169" s="376" t="n"/>
      <c r="N169" s="376" t="n"/>
      <c r="O169" s="376" t="n"/>
      <c r="P169" s="376" t="n"/>
      <c r="Q169" s="376" t="n"/>
      <c r="R169" s="376" t="n"/>
      <c r="S169" s="376" t="n"/>
      <c r="T169" s="376" t="n"/>
      <c r="U169" s="376" t="n"/>
      <c r="V169" s="376" t="n"/>
      <c r="W169" s="376" t="n"/>
      <c r="X169" s="376" t="n"/>
      <c r="Y169" s="376" t="n"/>
      <c r="Z169" s="375" t="n"/>
      <c r="AA169" s="375" t="n"/>
    </row>
    <row r="170" ht="16.5" customHeight="1">
      <c r="A170" s="54" t="inlineStr">
        <is>
          <t>SU003068</t>
        </is>
      </c>
      <c r="B170" s="54" t="inlineStr">
        <is>
          <t>P003611</t>
        </is>
      </c>
      <c r="C170" s="31" t="n">
        <v>4301020262</v>
      </c>
      <c r="D170" s="369" t="n">
        <v>4680115882935</v>
      </c>
      <c r="E170" s="370" t="n"/>
      <c r="F170" s="752" t="n">
        <v>1.35</v>
      </c>
      <c r="G170" s="32" t="n">
        <v>8</v>
      </c>
      <c r="H170" s="752" t="n">
        <v>10.8</v>
      </c>
      <c r="I170" s="752" t="n">
        <v>11.28</v>
      </c>
      <c r="J170" s="32" t="n">
        <v>56</v>
      </c>
      <c r="K170" s="32" t="inlineStr">
        <is>
          <t>8</t>
        </is>
      </c>
      <c r="L170" s="33" t="inlineStr">
        <is>
          <t>СК3</t>
        </is>
      </c>
      <c r="M170" s="33" t="n"/>
      <c r="N170" s="32" t="n">
        <v>50</v>
      </c>
      <c r="O170" s="47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70" s="372" t="n"/>
      <c r="Q170" s="372" t="n"/>
      <c r="R170" s="372" t="n"/>
      <c r="S170" s="370" t="n"/>
      <c r="T170" s="34" t="n"/>
      <c r="U170" s="34" t="n"/>
      <c r="V170" s="35" t="inlineStr">
        <is>
          <t>кг</t>
        </is>
      </c>
      <c r="W170" s="753" t="n">
        <v>0</v>
      </c>
      <c r="X170" s="754">
        <f>IFERROR(IF(W170="",0,CEILING((W170/$H170),1)*$H170),"")</f>
        <v/>
      </c>
      <c r="Y170" s="36">
        <f>IFERROR(IF(X170=0,"",ROUNDUP(X170/H170,0)*0.02175),"")</f>
        <v/>
      </c>
      <c r="Z170" s="56" t="n"/>
      <c r="AA170" s="57" t="n"/>
      <c r="AE170" s="58" t="n"/>
      <c r="BB170" s="156" t="inlineStr">
        <is>
          <t>КИ</t>
        </is>
      </c>
    </row>
    <row r="171" ht="16.5" customHeight="1">
      <c r="A171" s="54" t="inlineStr">
        <is>
          <t>SU002757</t>
        </is>
      </c>
      <c r="B171" s="54" t="inlineStr">
        <is>
          <t>P003128</t>
        </is>
      </c>
      <c r="C171" s="31" t="n">
        <v>4301020220</v>
      </c>
      <c r="D171" s="369" t="n">
        <v>4680115880764</v>
      </c>
      <c r="E171" s="370" t="n"/>
      <c r="F171" s="752" t="n">
        <v>0.35</v>
      </c>
      <c r="G171" s="32" t="n">
        <v>6</v>
      </c>
      <c r="H171" s="752" t="n">
        <v>2.1</v>
      </c>
      <c r="I171" s="752" t="n">
        <v>2.3</v>
      </c>
      <c r="J171" s="32" t="n">
        <v>156</v>
      </c>
      <c r="K171" s="32" t="inlineStr">
        <is>
          <t>12</t>
        </is>
      </c>
      <c r="L171" s="33" t="inlineStr">
        <is>
          <t>СК1</t>
        </is>
      </c>
      <c r="M171" s="33" t="n"/>
      <c r="N171" s="32" t="n">
        <v>50</v>
      </c>
      <c r="O171" s="71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1" s="372" t="n"/>
      <c r="Q171" s="372" t="n"/>
      <c r="R171" s="372" t="n"/>
      <c r="S171" s="370" t="n"/>
      <c r="T171" s="34" t="n"/>
      <c r="U171" s="34" t="n"/>
      <c r="V171" s="35" t="inlineStr">
        <is>
          <t>кг</t>
        </is>
      </c>
      <c r="W171" s="753" t="n">
        <v>0</v>
      </c>
      <c r="X171" s="754">
        <f>IFERROR(IF(W171="",0,CEILING((W171/$H171),1)*$H171),"")</f>
        <v/>
      </c>
      <c r="Y171" s="36">
        <f>IFERROR(IF(X171=0,"",ROUNDUP(X171/H171,0)*0.00753),"")</f>
        <v/>
      </c>
      <c r="Z171" s="56" t="n"/>
      <c r="AA171" s="57" t="n"/>
      <c r="AE171" s="58" t="n"/>
      <c r="BB171" s="157" t="inlineStr">
        <is>
          <t>КИ</t>
        </is>
      </c>
    </row>
    <row r="172">
      <c r="A172" s="396" t="n"/>
      <c r="B172" s="376" t="n"/>
      <c r="C172" s="376" t="n"/>
      <c r="D172" s="376" t="n"/>
      <c r="E172" s="376" t="n"/>
      <c r="F172" s="376" t="n"/>
      <c r="G172" s="376" t="n"/>
      <c r="H172" s="376" t="n"/>
      <c r="I172" s="376" t="n"/>
      <c r="J172" s="376" t="n"/>
      <c r="K172" s="376" t="n"/>
      <c r="L172" s="376" t="n"/>
      <c r="M172" s="376" t="n"/>
      <c r="N172" s="397" t="n"/>
      <c r="O172" s="391" t="inlineStr">
        <is>
          <t>Итого</t>
        </is>
      </c>
      <c r="P172" s="392" t="n"/>
      <c r="Q172" s="392" t="n"/>
      <c r="R172" s="392" t="n"/>
      <c r="S172" s="392" t="n"/>
      <c r="T172" s="392" t="n"/>
      <c r="U172" s="393" t="n"/>
      <c r="V172" s="37" t="inlineStr">
        <is>
          <t>кор</t>
        </is>
      </c>
      <c r="W172" s="755">
        <f>IFERROR(W170/H170,"0")+IFERROR(W171/H171,"0")</f>
        <v/>
      </c>
      <c r="X172" s="755">
        <f>IFERROR(X170/H170,"0")+IFERROR(X171/H171,"0")</f>
        <v/>
      </c>
      <c r="Y172" s="755">
        <f>IFERROR(IF(Y170="",0,Y170),"0")+IFERROR(IF(Y171="",0,Y171),"0")</f>
        <v/>
      </c>
      <c r="Z172" s="756" t="n"/>
      <c r="AA172" s="756" t="n"/>
    </row>
    <row r="173">
      <c r="A173" s="376" t="n"/>
      <c r="B173" s="376" t="n"/>
      <c r="C173" s="376" t="n"/>
      <c r="D173" s="376" t="n"/>
      <c r="E173" s="376" t="n"/>
      <c r="F173" s="376" t="n"/>
      <c r="G173" s="376" t="n"/>
      <c r="H173" s="376" t="n"/>
      <c r="I173" s="376" t="n"/>
      <c r="J173" s="376" t="n"/>
      <c r="K173" s="376" t="n"/>
      <c r="L173" s="376" t="n"/>
      <c r="M173" s="376" t="n"/>
      <c r="N173" s="397" t="n"/>
      <c r="O173" s="391" t="inlineStr">
        <is>
          <t>Итого</t>
        </is>
      </c>
      <c r="P173" s="392" t="n"/>
      <c r="Q173" s="392" t="n"/>
      <c r="R173" s="392" t="n"/>
      <c r="S173" s="392" t="n"/>
      <c r="T173" s="392" t="n"/>
      <c r="U173" s="393" t="n"/>
      <c r="V173" s="37" t="inlineStr">
        <is>
          <t>кг</t>
        </is>
      </c>
      <c r="W173" s="755">
        <f>IFERROR(SUM(W170:W171),"0")</f>
        <v/>
      </c>
      <c r="X173" s="755">
        <f>IFERROR(SUM(X170:X171),"0")</f>
        <v/>
      </c>
      <c r="Y173" s="37" t="n"/>
      <c r="Z173" s="756" t="n"/>
      <c r="AA173" s="756" t="n"/>
    </row>
    <row r="174" ht="14.25" customHeight="1">
      <c r="A174" s="375" t="inlineStr">
        <is>
          <t>Копченые колбасы</t>
        </is>
      </c>
      <c r="B174" s="376" t="n"/>
      <c r="C174" s="376" t="n"/>
      <c r="D174" s="376" t="n"/>
      <c r="E174" s="376" t="n"/>
      <c r="F174" s="376" t="n"/>
      <c r="G174" s="376" t="n"/>
      <c r="H174" s="376" t="n"/>
      <c r="I174" s="376" t="n"/>
      <c r="J174" s="376" t="n"/>
      <c r="K174" s="376" t="n"/>
      <c r="L174" s="376" t="n"/>
      <c r="M174" s="376" t="n"/>
      <c r="N174" s="376" t="n"/>
      <c r="O174" s="376" t="n"/>
      <c r="P174" s="376" t="n"/>
      <c r="Q174" s="376" t="n"/>
      <c r="R174" s="376" t="n"/>
      <c r="S174" s="376" t="n"/>
      <c r="T174" s="376" t="n"/>
      <c r="U174" s="376" t="n"/>
      <c r="V174" s="376" t="n"/>
      <c r="W174" s="376" t="n"/>
      <c r="X174" s="376" t="n"/>
      <c r="Y174" s="376" t="n"/>
      <c r="Z174" s="375" t="n"/>
      <c r="AA174" s="375" t="n"/>
    </row>
    <row r="175" ht="27" customHeight="1">
      <c r="A175" s="54" t="inlineStr">
        <is>
          <t>SU002941</t>
        </is>
      </c>
      <c r="B175" s="54" t="inlineStr">
        <is>
          <t>P003387</t>
        </is>
      </c>
      <c r="C175" s="31" t="n">
        <v>4301031224</v>
      </c>
      <c r="D175" s="369" t="n">
        <v>4680115882683</v>
      </c>
      <c r="E175" s="370" t="n"/>
      <c r="F175" s="752" t="n">
        <v>0.9</v>
      </c>
      <c r="G175" s="32" t="n">
        <v>6</v>
      </c>
      <c r="H175" s="752" t="n">
        <v>5.4</v>
      </c>
      <c r="I175" s="752" t="n">
        <v>5.61</v>
      </c>
      <c r="J175" s="32" t="n">
        <v>120</v>
      </c>
      <c r="K175" s="32" t="inlineStr">
        <is>
          <t>12</t>
        </is>
      </c>
      <c r="L175" s="33" t="inlineStr">
        <is>
          <t>СК2</t>
        </is>
      </c>
      <c r="M175" s="33" t="n"/>
      <c r="N175" s="32" t="n">
        <v>40</v>
      </c>
      <c r="O175" s="67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5" s="372" t="n"/>
      <c r="Q175" s="372" t="n"/>
      <c r="R175" s="372" t="n"/>
      <c r="S175" s="370" t="n"/>
      <c r="T175" s="34" t="n"/>
      <c r="U175" s="34" t="n"/>
      <c r="V175" s="35" t="inlineStr">
        <is>
          <t>кг</t>
        </is>
      </c>
      <c r="W175" s="753" t="n">
        <v>0</v>
      </c>
      <c r="X175" s="754">
        <f>IFERROR(IF(W175="",0,CEILING((W175/$H175),1)*$H175),"")</f>
        <v/>
      </c>
      <c r="Y175" s="36">
        <f>IFERROR(IF(X175=0,"",ROUNDUP(X175/H175,0)*0.00937),"")</f>
        <v/>
      </c>
      <c r="Z175" s="56" t="n"/>
      <c r="AA175" s="57" t="n"/>
      <c r="AE175" s="58" t="n"/>
      <c r="BB175" s="158" t="inlineStr">
        <is>
          <t>КИ</t>
        </is>
      </c>
    </row>
    <row r="176" ht="27" customHeight="1">
      <c r="A176" s="54" t="inlineStr">
        <is>
          <t>SU002943</t>
        </is>
      </c>
      <c r="B176" s="54" t="inlineStr">
        <is>
          <t>P003401</t>
        </is>
      </c>
      <c r="C176" s="31" t="n">
        <v>4301031230</v>
      </c>
      <c r="D176" s="369" t="n">
        <v>4680115882690</v>
      </c>
      <c r="E176" s="370" t="n"/>
      <c r="F176" s="752" t="n">
        <v>0.9</v>
      </c>
      <c r="G176" s="32" t="n">
        <v>6</v>
      </c>
      <c r="H176" s="752" t="n">
        <v>5.4</v>
      </c>
      <c r="I176" s="752" t="n">
        <v>5.61</v>
      </c>
      <c r="J176" s="32" t="n">
        <v>120</v>
      </c>
      <c r="K176" s="32" t="inlineStr">
        <is>
          <t>12</t>
        </is>
      </c>
      <c r="L176" s="33" t="inlineStr">
        <is>
          <t>СК2</t>
        </is>
      </c>
      <c r="M176" s="33" t="n"/>
      <c r="N176" s="32" t="n">
        <v>40</v>
      </c>
      <c r="O176" s="50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6" s="372" t="n"/>
      <c r="Q176" s="372" t="n"/>
      <c r="R176" s="372" t="n"/>
      <c r="S176" s="370" t="n"/>
      <c r="T176" s="34" t="n"/>
      <c r="U176" s="34" t="n"/>
      <c r="V176" s="35" t="inlineStr">
        <is>
          <t>кг</t>
        </is>
      </c>
      <c r="W176" s="753" t="n">
        <v>0</v>
      </c>
      <c r="X176" s="754">
        <f>IFERROR(IF(W176="",0,CEILING((W176/$H176),1)*$H176),"")</f>
        <v/>
      </c>
      <c r="Y176" s="36">
        <f>IFERROR(IF(X176=0,"",ROUNDUP(X176/H176,0)*0.00937),"")</f>
        <v/>
      </c>
      <c r="Z176" s="56" t="n"/>
      <c r="AA176" s="57" t="n"/>
      <c r="AE176" s="58" t="n"/>
      <c r="BB176" s="159" t="inlineStr">
        <is>
          <t>КИ</t>
        </is>
      </c>
    </row>
    <row r="177" ht="27" customHeight="1">
      <c r="A177" s="54" t="inlineStr">
        <is>
          <t>SU002945</t>
        </is>
      </c>
      <c r="B177" s="54" t="inlineStr">
        <is>
          <t>P003383</t>
        </is>
      </c>
      <c r="C177" s="31" t="n">
        <v>4301031220</v>
      </c>
      <c r="D177" s="369" t="n">
        <v>4680115882669</v>
      </c>
      <c r="E177" s="370" t="n"/>
      <c r="F177" s="752" t="n">
        <v>0.9</v>
      </c>
      <c r="G177" s="32" t="n">
        <v>6</v>
      </c>
      <c r="H177" s="752" t="n">
        <v>5.4</v>
      </c>
      <c r="I177" s="752" t="n">
        <v>5.61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3" t="n"/>
      <c r="N177" s="32" t="n">
        <v>40</v>
      </c>
      <c r="O177" s="6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7" s="372" t="n"/>
      <c r="Q177" s="372" t="n"/>
      <c r="R177" s="372" t="n"/>
      <c r="S177" s="370" t="n"/>
      <c r="T177" s="34" t="n"/>
      <c r="U177" s="34" t="n"/>
      <c r="V177" s="35" t="inlineStr">
        <is>
          <t>кг</t>
        </is>
      </c>
      <c r="W177" s="753" t="n">
        <v>0</v>
      </c>
      <c r="X177" s="754">
        <f>IFERROR(IF(W177="",0,CEILING((W177/$H177),1)*$H177),"")</f>
        <v/>
      </c>
      <c r="Y177" s="36">
        <f>IFERROR(IF(X177=0,"",ROUNDUP(X177/H177,0)*0.00937),"")</f>
        <v/>
      </c>
      <c r="Z177" s="56" t="n"/>
      <c r="AA177" s="57" t="n"/>
      <c r="AE177" s="58" t="n"/>
      <c r="BB177" s="160" t="inlineStr">
        <is>
          <t>КИ</t>
        </is>
      </c>
    </row>
    <row r="178" ht="27" customHeight="1">
      <c r="A178" s="54" t="inlineStr">
        <is>
          <t>SU002947</t>
        </is>
      </c>
      <c r="B178" s="54" t="inlineStr">
        <is>
          <t>P003384</t>
        </is>
      </c>
      <c r="C178" s="31" t="n">
        <v>4301031221</v>
      </c>
      <c r="D178" s="369" t="n">
        <v>4680115882676</v>
      </c>
      <c r="E178" s="370" t="n"/>
      <c r="F178" s="752" t="n">
        <v>0.9</v>
      </c>
      <c r="G178" s="32" t="n">
        <v>6</v>
      </c>
      <c r="H178" s="752" t="n">
        <v>5.4</v>
      </c>
      <c r="I178" s="752" t="n">
        <v>5.61</v>
      </c>
      <c r="J178" s="32" t="n">
        <v>120</v>
      </c>
      <c r="K178" s="32" t="inlineStr">
        <is>
          <t>12</t>
        </is>
      </c>
      <c r="L178" s="33" t="inlineStr">
        <is>
          <t>СК2</t>
        </is>
      </c>
      <c r="M178" s="33" t="n"/>
      <c r="N178" s="32" t="n">
        <v>40</v>
      </c>
      <c r="O178" s="7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8" s="372" t="n"/>
      <c r="Q178" s="372" t="n"/>
      <c r="R178" s="372" t="n"/>
      <c r="S178" s="370" t="n"/>
      <c r="T178" s="34" t="n"/>
      <c r="U178" s="34" t="n"/>
      <c r="V178" s="35" t="inlineStr">
        <is>
          <t>кг</t>
        </is>
      </c>
      <c r="W178" s="753" t="n">
        <v>0</v>
      </c>
      <c r="X178" s="754">
        <f>IFERROR(IF(W178="",0,CEILING((W178/$H178),1)*$H178),"")</f>
        <v/>
      </c>
      <c r="Y178" s="36">
        <f>IFERROR(IF(X178=0,"",ROUNDUP(X178/H178,0)*0.00937),"")</f>
        <v/>
      </c>
      <c r="Z178" s="56" t="n"/>
      <c r="AA178" s="57" t="n"/>
      <c r="AE178" s="58" t="n"/>
      <c r="BB178" s="161" t="inlineStr">
        <is>
          <t>КИ</t>
        </is>
      </c>
    </row>
    <row r="179">
      <c r="A179" s="396" t="n"/>
      <c r="B179" s="376" t="n"/>
      <c r="C179" s="376" t="n"/>
      <c r="D179" s="376" t="n"/>
      <c r="E179" s="376" t="n"/>
      <c r="F179" s="376" t="n"/>
      <c r="G179" s="376" t="n"/>
      <c r="H179" s="376" t="n"/>
      <c r="I179" s="376" t="n"/>
      <c r="J179" s="376" t="n"/>
      <c r="K179" s="376" t="n"/>
      <c r="L179" s="376" t="n"/>
      <c r="M179" s="376" t="n"/>
      <c r="N179" s="397" t="n"/>
      <c r="O179" s="391" t="inlineStr">
        <is>
          <t>Итого</t>
        </is>
      </c>
      <c r="P179" s="392" t="n"/>
      <c r="Q179" s="392" t="n"/>
      <c r="R179" s="392" t="n"/>
      <c r="S179" s="392" t="n"/>
      <c r="T179" s="392" t="n"/>
      <c r="U179" s="393" t="n"/>
      <c r="V179" s="37" t="inlineStr">
        <is>
          <t>кор</t>
        </is>
      </c>
      <c r="W179" s="755">
        <f>IFERROR(W175/H175,"0")+IFERROR(W176/H176,"0")+IFERROR(W177/H177,"0")+IFERROR(W178/H178,"0")</f>
        <v/>
      </c>
      <c r="X179" s="755">
        <f>IFERROR(X175/H175,"0")+IFERROR(X176/H176,"0")+IFERROR(X177/H177,"0")+IFERROR(X178/H178,"0")</f>
        <v/>
      </c>
      <c r="Y179" s="755">
        <f>IFERROR(IF(Y175="",0,Y175),"0")+IFERROR(IF(Y176="",0,Y176),"0")+IFERROR(IF(Y177="",0,Y177),"0")+IFERROR(IF(Y178="",0,Y178),"0")</f>
        <v/>
      </c>
      <c r="Z179" s="756" t="n"/>
      <c r="AA179" s="756" t="n"/>
    </row>
    <row r="180">
      <c r="A180" s="376" t="n"/>
      <c r="B180" s="376" t="n"/>
      <c r="C180" s="376" t="n"/>
      <c r="D180" s="376" t="n"/>
      <c r="E180" s="376" t="n"/>
      <c r="F180" s="376" t="n"/>
      <c r="G180" s="376" t="n"/>
      <c r="H180" s="376" t="n"/>
      <c r="I180" s="376" t="n"/>
      <c r="J180" s="376" t="n"/>
      <c r="K180" s="376" t="n"/>
      <c r="L180" s="376" t="n"/>
      <c r="M180" s="376" t="n"/>
      <c r="N180" s="397" t="n"/>
      <c r="O180" s="391" t="inlineStr">
        <is>
          <t>Итого</t>
        </is>
      </c>
      <c r="P180" s="392" t="n"/>
      <c r="Q180" s="392" t="n"/>
      <c r="R180" s="392" t="n"/>
      <c r="S180" s="392" t="n"/>
      <c r="T180" s="392" t="n"/>
      <c r="U180" s="393" t="n"/>
      <c r="V180" s="37" t="inlineStr">
        <is>
          <t>кг</t>
        </is>
      </c>
      <c r="W180" s="755">
        <f>IFERROR(SUM(W175:W178),"0")</f>
        <v/>
      </c>
      <c r="X180" s="755">
        <f>IFERROR(SUM(X175:X178),"0")</f>
        <v/>
      </c>
      <c r="Y180" s="37" t="n"/>
      <c r="Z180" s="756" t="n"/>
      <c r="AA180" s="756" t="n"/>
    </row>
    <row r="181" ht="14.25" customHeight="1">
      <c r="A181" s="375" t="inlineStr">
        <is>
          <t>Сосиски</t>
        </is>
      </c>
      <c r="B181" s="376" t="n"/>
      <c r="C181" s="376" t="n"/>
      <c r="D181" s="376" t="n"/>
      <c r="E181" s="376" t="n"/>
      <c r="F181" s="376" t="n"/>
      <c r="G181" s="376" t="n"/>
      <c r="H181" s="376" t="n"/>
      <c r="I181" s="376" t="n"/>
      <c r="J181" s="376" t="n"/>
      <c r="K181" s="376" t="n"/>
      <c r="L181" s="376" t="n"/>
      <c r="M181" s="376" t="n"/>
      <c r="N181" s="376" t="n"/>
      <c r="O181" s="376" t="n"/>
      <c r="P181" s="376" t="n"/>
      <c r="Q181" s="376" t="n"/>
      <c r="R181" s="376" t="n"/>
      <c r="S181" s="376" t="n"/>
      <c r="T181" s="376" t="n"/>
      <c r="U181" s="376" t="n"/>
      <c r="V181" s="376" t="n"/>
      <c r="W181" s="376" t="n"/>
      <c r="X181" s="376" t="n"/>
      <c r="Y181" s="376" t="n"/>
      <c r="Z181" s="375" t="n"/>
      <c r="AA181" s="375" t="n"/>
    </row>
    <row r="182" ht="27" customHeight="1">
      <c r="A182" s="54" t="inlineStr">
        <is>
          <t>SU002857</t>
        </is>
      </c>
      <c r="B182" s="54" t="inlineStr">
        <is>
          <t>P003264</t>
        </is>
      </c>
      <c r="C182" s="31" t="n">
        <v>4301051409</v>
      </c>
      <c r="D182" s="369" t="n">
        <v>4680115881556</v>
      </c>
      <c r="E182" s="370" t="n"/>
      <c r="F182" s="752" t="n">
        <v>1</v>
      </c>
      <c r="G182" s="32" t="n">
        <v>4</v>
      </c>
      <c r="H182" s="752" t="n">
        <v>4</v>
      </c>
      <c r="I182" s="752" t="n">
        <v>4.408</v>
      </c>
      <c r="J182" s="32" t="n">
        <v>104</v>
      </c>
      <c r="K182" s="32" t="inlineStr">
        <is>
          <t>8</t>
        </is>
      </c>
      <c r="L182" s="33" t="inlineStr">
        <is>
          <t>СК3</t>
        </is>
      </c>
      <c r="M182" s="33" t="n"/>
      <c r="N182" s="32" t="n">
        <v>45</v>
      </c>
      <c r="O182" s="5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2" s="372" t="n"/>
      <c r="Q182" s="372" t="n"/>
      <c r="R182" s="372" t="n"/>
      <c r="S182" s="370" t="n"/>
      <c r="T182" s="34" t="n"/>
      <c r="U182" s="34" t="n"/>
      <c r="V182" s="35" t="inlineStr">
        <is>
          <t>кг</t>
        </is>
      </c>
      <c r="W182" s="753" t="n">
        <v>0</v>
      </c>
      <c r="X182" s="754">
        <f>IFERROR(IF(W182="",0,CEILING((W182/$H182),1)*$H182),"")</f>
        <v/>
      </c>
      <c r="Y182" s="36">
        <f>IFERROR(IF(X182=0,"",ROUNDUP(X182/H182,0)*0.01196),"")</f>
        <v/>
      </c>
      <c r="Z182" s="56" t="n"/>
      <c r="AA182" s="57" t="n"/>
      <c r="AE182" s="58" t="n"/>
      <c r="BB182" s="162" t="inlineStr">
        <is>
          <t>КИ</t>
        </is>
      </c>
    </row>
    <row r="183" ht="16.5" customHeight="1">
      <c r="A183" s="54" t="inlineStr">
        <is>
          <t>SU002725</t>
        </is>
      </c>
      <c r="B183" s="54" t="inlineStr">
        <is>
          <t>P003672</t>
        </is>
      </c>
      <c r="C183" s="31" t="n">
        <v>4301051538</v>
      </c>
      <c r="D183" s="369" t="n">
        <v>4680115880573</v>
      </c>
      <c r="E183" s="370" t="n"/>
      <c r="F183" s="752" t="n">
        <v>1.45</v>
      </c>
      <c r="G183" s="32" t="n">
        <v>6</v>
      </c>
      <c r="H183" s="752" t="n">
        <v>8.699999999999999</v>
      </c>
      <c r="I183" s="752" t="n">
        <v>9.263999999999999</v>
      </c>
      <c r="J183" s="32" t="n">
        <v>56</v>
      </c>
      <c r="K183" s="32" t="inlineStr">
        <is>
          <t>8</t>
        </is>
      </c>
      <c r="L183" s="33" t="inlineStr">
        <is>
          <t>СК2</t>
        </is>
      </c>
      <c r="M183" s="33" t="n"/>
      <c r="N183" s="32" t="n">
        <v>45</v>
      </c>
      <c r="O183" s="722">
        <f>HYPERLINK("https://abi.ru/products/Охлажденные/Стародворье/Сочинка/Сосиски/P003672/","Сосиски «Сочинки» Весовой п/а ТМ «Стародворье»")</f>
        <v/>
      </c>
      <c r="P183" s="372" t="n"/>
      <c r="Q183" s="372" t="n"/>
      <c r="R183" s="372" t="n"/>
      <c r="S183" s="370" t="n"/>
      <c r="T183" s="34" t="n"/>
      <c r="U183" s="34" t="n"/>
      <c r="V183" s="35" t="inlineStr">
        <is>
          <t>кг</t>
        </is>
      </c>
      <c r="W183" s="753" t="n">
        <v>0</v>
      </c>
      <c r="X183" s="754">
        <f>IFERROR(IF(W183="",0,CEILING((W183/$H183),1)*$H183),"")</f>
        <v/>
      </c>
      <c r="Y183" s="36">
        <f>IFERROR(IF(X183=0,"",ROUNDUP(X183/H183,0)*0.02175),"")</f>
        <v/>
      </c>
      <c r="Z183" s="56" t="n"/>
      <c r="AA183" s="57" t="n"/>
      <c r="AE183" s="58" t="n"/>
      <c r="BB183" s="163" t="inlineStr">
        <is>
          <t>КИ</t>
        </is>
      </c>
    </row>
    <row r="184" ht="27" customHeight="1">
      <c r="A184" s="54" t="inlineStr">
        <is>
          <t>SU002843</t>
        </is>
      </c>
      <c r="B184" s="54" t="inlineStr">
        <is>
          <t>P003263</t>
        </is>
      </c>
      <c r="C184" s="31" t="n">
        <v>4301051408</v>
      </c>
      <c r="D184" s="369" t="n">
        <v>4680115881594</v>
      </c>
      <c r="E184" s="370" t="n"/>
      <c r="F184" s="752" t="n">
        <v>1.35</v>
      </c>
      <c r="G184" s="32" t="n">
        <v>6</v>
      </c>
      <c r="H184" s="752" t="n">
        <v>8.1</v>
      </c>
      <c r="I184" s="752" t="n">
        <v>8.664</v>
      </c>
      <c r="J184" s="32" t="n">
        <v>56</v>
      </c>
      <c r="K184" s="32" t="inlineStr">
        <is>
          <t>8</t>
        </is>
      </c>
      <c r="L184" s="33" t="inlineStr">
        <is>
          <t>СК3</t>
        </is>
      </c>
      <c r="M184" s="33" t="n"/>
      <c r="N184" s="32" t="n">
        <v>40</v>
      </c>
      <c r="O184" s="5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4" s="372" t="n"/>
      <c r="Q184" s="372" t="n"/>
      <c r="R184" s="372" t="n"/>
      <c r="S184" s="370" t="n"/>
      <c r="T184" s="34" t="n"/>
      <c r="U184" s="34" t="n"/>
      <c r="V184" s="35" t="inlineStr">
        <is>
          <t>кг</t>
        </is>
      </c>
      <c r="W184" s="753" t="n">
        <v>0</v>
      </c>
      <c r="X184" s="754">
        <f>IFERROR(IF(W184="",0,CEILING((W184/$H184),1)*$H184),"")</f>
        <v/>
      </c>
      <c r="Y184" s="36">
        <f>IFERROR(IF(X184=0,"",ROUNDUP(X184/H184,0)*0.02175),"")</f>
        <v/>
      </c>
      <c r="Z184" s="56" t="n"/>
      <c r="AA184" s="57" t="n"/>
      <c r="AE184" s="58" t="n"/>
      <c r="BB184" s="164" t="inlineStr">
        <is>
          <t>КИ</t>
        </is>
      </c>
    </row>
    <row r="185" ht="27" customHeight="1">
      <c r="A185" s="54" t="inlineStr">
        <is>
          <t>SU002858</t>
        </is>
      </c>
      <c r="B185" s="54" t="inlineStr">
        <is>
          <t>P003581</t>
        </is>
      </c>
      <c r="C185" s="31" t="n">
        <v>4301051505</v>
      </c>
      <c r="D185" s="369" t="n">
        <v>4680115881587</v>
      </c>
      <c r="E185" s="370" t="n"/>
      <c r="F185" s="752" t="n">
        <v>1</v>
      </c>
      <c r="G185" s="32" t="n">
        <v>4</v>
      </c>
      <c r="H185" s="752" t="n">
        <v>4</v>
      </c>
      <c r="I185" s="752" t="n">
        <v>4.408</v>
      </c>
      <c r="J185" s="32" t="n">
        <v>104</v>
      </c>
      <c r="K185" s="32" t="inlineStr">
        <is>
          <t>8</t>
        </is>
      </c>
      <c r="L185" s="33" t="inlineStr">
        <is>
          <t>СК2</t>
        </is>
      </c>
      <c r="M185" s="33" t="n"/>
      <c r="N185" s="32" t="n">
        <v>40</v>
      </c>
      <c r="O185" s="71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5" s="372" t="n"/>
      <c r="Q185" s="372" t="n"/>
      <c r="R185" s="372" t="n"/>
      <c r="S185" s="370" t="n"/>
      <c r="T185" s="34" t="n"/>
      <c r="U185" s="34" t="n"/>
      <c r="V185" s="35" t="inlineStr">
        <is>
          <t>кг</t>
        </is>
      </c>
      <c r="W185" s="753" t="n">
        <v>0</v>
      </c>
      <c r="X185" s="754">
        <f>IFERROR(IF(W185="",0,CEILING((W185/$H185),1)*$H185),"")</f>
        <v/>
      </c>
      <c r="Y185" s="36">
        <f>IFERROR(IF(X185=0,"",ROUNDUP(X185/H185,0)*0.01196),"")</f>
        <v/>
      </c>
      <c r="Z185" s="56" t="n"/>
      <c r="AA185" s="57" t="n"/>
      <c r="AE185" s="58" t="n"/>
      <c r="BB185" s="165" t="inlineStr">
        <is>
          <t>КИ</t>
        </is>
      </c>
    </row>
    <row r="186" ht="16.5" customHeight="1">
      <c r="A186" s="54" t="inlineStr">
        <is>
          <t>SU002795</t>
        </is>
      </c>
      <c r="B186" s="54" t="inlineStr">
        <is>
          <t>P003203</t>
        </is>
      </c>
      <c r="C186" s="31" t="n">
        <v>4301051380</v>
      </c>
      <c r="D186" s="369" t="n">
        <v>4680115880962</v>
      </c>
      <c r="E186" s="370" t="n"/>
      <c r="F186" s="752" t="n">
        <v>1.3</v>
      </c>
      <c r="G186" s="32" t="n">
        <v>6</v>
      </c>
      <c r="H186" s="752" t="n">
        <v>7.8</v>
      </c>
      <c r="I186" s="752" t="n">
        <v>8.364000000000001</v>
      </c>
      <c r="J186" s="32" t="n">
        <v>56</v>
      </c>
      <c r="K186" s="32" t="inlineStr">
        <is>
          <t>8</t>
        </is>
      </c>
      <c r="L186" s="33" t="inlineStr">
        <is>
          <t>СК2</t>
        </is>
      </c>
      <c r="M186" s="33" t="n"/>
      <c r="N186" s="32" t="n">
        <v>40</v>
      </c>
      <c r="O186" s="714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6" s="372" t="n"/>
      <c r="Q186" s="372" t="n"/>
      <c r="R186" s="372" t="n"/>
      <c r="S186" s="370" t="n"/>
      <c r="T186" s="34" t="n"/>
      <c r="U186" s="34" t="n"/>
      <c r="V186" s="35" t="inlineStr">
        <is>
          <t>кг</t>
        </is>
      </c>
      <c r="W186" s="753" t="n">
        <v>0</v>
      </c>
      <c r="X186" s="754">
        <f>IFERROR(IF(W186="",0,CEILING((W186/$H186),1)*$H186),"")</f>
        <v/>
      </c>
      <c r="Y186" s="36">
        <f>IFERROR(IF(X186=0,"",ROUNDUP(X186/H186,0)*0.02175),"")</f>
        <v/>
      </c>
      <c r="Z186" s="56" t="n"/>
      <c r="AA186" s="57" t="n"/>
      <c r="AE186" s="58" t="n"/>
      <c r="BB186" s="166" t="inlineStr">
        <is>
          <t>КИ</t>
        </is>
      </c>
    </row>
    <row r="187" ht="27" customHeight="1">
      <c r="A187" s="54" t="inlineStr">
        <is>
          <t>SU002845</t>
        </is>
      </c>
      <c r="B187" s="54" t="inlineStr">
        <is>
          <t>P003266</t>
        </is>
      </c>
      <c r="C187" s="31" t="n">
        <v>4301051411</v>
      </c>
      <c r="D187" s="369" t="n">
        <v>4680115881617</v>
      </c>
      <c r="E187" s="370" t="n"/>
      <c r="F187" s="752" t="n">
        <v>1.35</v>
      </c>
      <c r="G187" s="32" t="n">
        <v>6</v>
      </c>
      <c r="H187" s="752" t="n">
        <v>8.1</v>
      </c>
      <c r="I187" s="752" t="n">
        <v>8.646000000000001</v>
      </c>
      <c r="J187" s="32" t="n">
        <v>56</v>
      </c>
      <c r="K187" s="32" t="inlineStr">
        <is>
          <t>8</t>
        </is>
      </c>
      <c r="L187" s="33" t="inlineStr">
        <is>
          <t>СК3</t>
        </is>
      </c>
      <c r="M187" s="33" t="n"/>
      <c r="N187" s="32" t="n">
        <v>40</v>
      </c>
      <c r="O187" s="65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7" s="372" t="n"/>
      <c r="Q187" s="372" t="n"/>
      <c r="R187" s="372" t="n"/>
      <c r="S187" s="370" t="n"/>
      <c r="T187" s="34" t="n"/>
      <c r="U187" s="34" t="n"/>
      <c r="V187" s="35" t="inlineStr">
        <is>
          <t>кг</t>
        </is>
      </c>
      <c r="W187" s="753" t="n">
        <v>0</v>
      </c>
      <c r="X187" s="754">
        <f>IFERROR(IF(W187="",0,CEILING((W187/$H187),1)*$H187),"")</f>
        <v/>
      </c>
      <c r="Y187" s="36">
        <f>IFERROR(IF(X187=0,"",ROUNDUP(X187/H187,0)*0.02175),"")</f>
        <v/>
      </c>
      <c r="Z187" s="56" t="n"/>
      <c r="AA187" s="57" t="n"/>
      <c r="AE187" s="58" t="n"/>
      <c r="BB187" s="167" t="inlineStr">
        <is>
          <t>КИ</t>
        </is>
      </c>
    </row>
    <row r="188" ht="27" customHeight="1">
      <c r="A188" s="54" t="inlineStr">
        <is>
          <t>SU002801</t>
        </is>
      </c>
      <c r="B188" s="54" t="inlineStr">
        <is>
          <t>P003475</t>
        </is>
      </c>
      <c r="C188" s="31" t="n">
        <v>4301051487</v>
      </c>
      <c r="D188" s="369" t="n">
        <v>4680115881228</v>
      </c>
      <c r="E188" s="370" t="n"/>
      <c r="F188" s="752" t="n">
        <v>0.4</v>
      </c>
      <c r="G188" s="32" t="n">
        <v>6</v>
      </c>
      <c r="H188" s="752" t="n">
        <v>2.4</v>
      </c>
      <c r="I188" s="752" t="n">
        <v>2.672</v>
      </c>
      <c r="J188" s="32" t="n">
        <v>156</v>
      </c>
      <c r="K188" s="32" t="inlineStr">
        <is>
          <t>12</t>
        </is>
      </c>
      <c r="L188" s="33" t="inlineStr">
        <is>
          <t>СК2</t>
        </is>
      </c>
      <c r="M188" s="33" t="n"/>
      <c r="N188" s="32" t="n">
        <v>40</v>
      </c>
      <c r="O188" s="558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8" s="372" t="n"/>
      <c r="Q188" s="372" t="n"/>
      <c r="R188" s="372" t="n"/>
      <c r="S188" s="370" t="n"/>
      <c r="T188" s="34" t="n"/>
      <c r="U188" s="34" t="n"/>
      <c r="V188" s="35" t="inlineStr">
        <is>
          <t>кг</t>
        </is>
      </c>
      <c r="W188" s="753" t="n">
        <v>0</v>
      </c>
      <c r="X188" s="754">
        <f>IFERROR(IF(W188="",0,CEILING((W188/$H188),1)*$H188),"")</f>
        <v/>
      </c>
      <c r="Y188" s="36">
        <f>IFERROR(IF(X188=0,"",ROUNDUP(X188/H188,0)*0.00753),"")</f>
        <v/>
      </c>
      <c r="Z188" s="56" t="n"/>
      <c r="AA188" s="57" t="n"/>
      <c r="AE188" s="58" t="n"/>
      <c r="BB188" s="168" t="inlineStr">
        <is>
          <t>КИ</t>
        </is>
      </c>
    </row>
    <row r="189" ht="27" customHeight="1">
      <c r="A189" s="54" t="inlineStr">
        <is>
          <t>SU002802</t>
        </is>
      </c>
      <c r="B189" s="54" t="inlineStr">
        <is>
          <t>P003580</t>
        </is>
      </c>
      <c r="C189" s="31" t="n">
        <v>4301051506</v>
      </c>
      <c r="D189" s="369" t="n">
        <v>4680115881037</v>
      </c>
      <c r="E189" s="370" t="n"/>
      <c r="F189" s="752" t="n">
        <v>0.84</v>
      </c>
      <c r="G189" s="32" t="n">
        <v>4</v>
      </c>
      <c r="H189" s="752" t="n">
        <v>3.36</v>
      </c>
      <c r="I189" s="752" t="n">
        <v>3.618</v>
      </c>
      <c r="J189" s="32" t="n">
        <v>120</v>
      </c>
      <c r="K189" s="32" t="inlineStr">
        <is>
          <t>12</t>
        </is>
      </c>
      <c r="L189" s="33" t="inlineStr">
        <is>
          <t>СК2</t>
        </is>
      </c>
      <c r="M189" s="33" t="n"/>
      <c r="N189" s="32" t="n">
        <v>40</v>
      </c>
      <c r="O189" s="658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9" s="372" t="n"/>
      <c r="Q189" s="372" t="n"/>
      <c r="R189" s="372" t="n"/>
      <c r="S189" s="370" t="n"/>
      <c r="T189" s="34" t="n"/>
      <c r="U189" s="34" t="n"/>
      <c r="V189" s="35" t="inlineStr">
        <is>
          <t>кг</t>
        </is>
      </c>
      <c r="W189" s="753" t="n">
        <v>0</v>
      </c>
      <c r="X189" s="754">
        <f>IFERROR(IF(W189="",0,CEILING((W189/$H189),1)*$H189),"")</f>
        <v/>
      </c>
      <c r="Y189" s="36">
        <f>IFERROR(IF(X189=0,"",ROUNDUP(X189/H189,0)*0.00937),"")</f>
        <v/>
      </c>
      <c r="Z189" s="56" t="n"/>
      <c r="AA189" s="57" t="n"/>
      <c r="AE189" s="58" t="n"/>
      <c r="BB189" s="169" t="inlineStr">
        <is>
          <t>КИ</t>
        </is>
      </c>
    </row>
    <row r="190" ht="27" customHeight="1">
      <c r="A190" s="54" t="inlineStr">
        <is>
          <t>SU002799</t>
        </is>
      </c>
      <c r="B190" s="54" t="inlineStr">
        <is>
          <t>P003217</t>
        </is>
      </c>
      <c r="C190" s="31" t="n">
        <v>4301051384</v>
      </c>
      <c r="D190" s="369" t="n">
        <v>4680115881211</v>
      </c>
      <c r="E190" s="370" t="n"/>
      <c r="F190" s="752" t="n">
        <v>0.4</v>
      </c>
      <c r="G190" s="32" t="n">
        <v>6</v>
      </c>
      <c r="H190" s="752" t="n">
        <v>2.4</v>
      </c>
      <c r="I190" s="752" t="n">
        <v>2.6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3" t="n"/>
      <c r="N190" s="32" t="n">
        <v>45</v>
      </c>
      <c r="O190" s="69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0" s="372" t="n"/>
      <c r="Q190" s="372" t="n"/>
      <c r="R190" s="372" t="n"/>
      <c r="S190" s="370" t="n"/>
      <c r="T190" s="34" t="n"/>
      <c r="U190" s="34" t="n"/>
      <c r="V190" s="35" t="inlineStr">
        <is>
          <t>кг</t>
        </is>
      </c>
      <c r="W190" s="753" t="n">
        <v>0</v>
      </c>
      <c r="X190" s="754">
        <f>IFERROR(IF(W190="",0,CEILING((W190/$H190),1)*$H190),"")</f>
        <v/>
      </c>
      <c r="Y190" s="36">
        <f>IFERROR(IF(X190=0,"",ROUNDUP(X190/H190,0)*0.00753),"")</f>
        <v/>
      </c>
      <c r="Z190" s="56" t="n"/>
      <c r="AA190" s="57" t="n"/>
      <c r="AE190" s="58" t="n"/>
      <c r="BB190" s="170" t="inlineStr">
        <is>
          <t>КИ</t>
        </is>
      </c>
    </row>
    <row r="191" ht="27" customHeight="1">
      <c r="A191" s="54" t="inlineStr">
        <is>
          <t>SU002800</t>
        </is>
      </c>
      <c r="B191" s="54" t="inlineStr">
        <is>
          <t>P003201</t>
        </is>
      </c>
      <c r="C191" s="31" t="n">
        <v>4301051378</v>
      </c>
      <c r="D191" s="369" t="n">
        <v>4680115881020</v>
      </c>
      <c r="E191" s="370" t="n"/>
      <c r="F191" s="752" t="n">
        <v>0.84</v>
      </c>
      <c r="G191" s="32" t="n">
        <v>4</v>
      </c>
      <c r="H191" s="752" t="n">
        <v>3.36</v>
      </c>
      <c r="I191" s="752" t="n">
        <v>3.57</v>
      </c>
      <c r="J191" s="32" t="n">
        <v>120</v>
      </c>
      <c r="K191" s="32" t="inlineStr">
        <is>
          <t>12</t>
        </is>
      </c>
      <c r="L191" s="33" t="inlineStr">
        <is>
          <t>СК2</t>
        </is>
      </c>
      <c r="M191" s="33" t="n"/>
      <c r="N191" s="32" t="n">
        <v>45</v>
      </c>
      <c r="O191" s="50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1" s="372" t="n"/>
      <c r="Q191" s="372" t="n"/>
      <c r="R191" s="372" t="n"/>
      <c r="S191" s="370" t="n"/>
      <c r="T191" s="34" t="n"/>
      <c r="U191" s="34" t="n"/>
      <c r="V191" s="35" t="inlineStr">
        <is>
          <t>кг</t>
        </is>
      </c>
      <c r="W191" s="753" t="n">
        <v>0</v>
      </c>
      <c r="X191" s="754">
        <f>IFERROR(IF(W191="",0,CEILING((W191/$H191),1)*$H191),"")</f>
        <v/>
      </c>
      <c r="Y191" s="36">
        <f>IFERROR(IF(X191=0,"",ROUNDUP(X191/H191,0)*0.00937),"")</f>
        <v/>
      </c>
      <c r="Z191" s="56" t="n"/>
      <c r="AA191" s="57" t="n"/>
      <c r="AE191" s="58" t="n"/>
      <c r="BB191" s="171" t="inlineStr">
        <is>
          <t>КИ</t>
        </is>
      </c>
    </row>
    <row r="192" ht="27" customHeight="1">
      <c r="A192" s="54" t="inlineStr">
        <is>
          <t>SU002842</t>
        </is>
      </c>
      <c r="B192" s="54" t="inlineStr">
        <is>
          <t>P003262</t>
        </is>
      </c>
      <c r="C192" s="31" t="n">
        <v>4301051407</v>
      </c>
      <c r="D192" s="369" t="n">
        <v>4680115882195</v>
      </c>
      <c r="E192" s="370" t="n"/>
      <c r="F192" s="752" t="n">
        <v>0.4</v>
      </c>
      <c r="G192" s="32" t="n">
        <v>6</v>
      </c>
      <c r="H192" s="752" t="n">
        <v>2.4</v>
      </c>
      <c r="I192" s="752" t="n">
        <v>2.69</v>
      </c>
      <c r="J192" s="32" t="n">
        <v>156</v>
      </c>
      <c r="K192" s="32" t="inlineStr">
        <is>
          <t>12</t>
        </is>
      </c>
      <c r="L192" s="33" t="inlineStr">
        <is>
          <t>СК3</t>
        </is>
      </c>
      <c r="M192" s="33" t="n"/>
      <c r="N192" s="32" t="n">
        <v>40</v>
      </c>
      <c r="O192" s="51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2" s="372" t="n"/>
      <c r="Q192" s="372" t="n"/>
      <c r="R192" s="372" t="n"/>
      <c r="S192" s="370" t="n"/>
      <c r="T192" s="34" t="n"/>
      <c r="U192" s="34" t="n"/>
      <c r="V192" s="35" t="inlineStr">
        <is>
          <t>кг</t>
        </is>
      </c>
      <c r="W192" s="753" t="n">
        <v>0</v>
      </c>
      <c r="X192" s="754">
        <f>IFERROR(IF(W192="",0,CEILING((W192/$H192),1)*$H192),"")</f>
        <v/>
      </c>
      <c r="Y192" s="36">
        <f>IFERROR(IF(X192=0,"",ROUNDUP(X192/H192,0)*0.00753),"")</f>
        <v/>
      </c>
      <c r="Z192" s="56" t="n"/>
      <c r="AA192" s="57" t="n"/>
      <c r="AE192" s="58" t="n"/>
      <c r="BB192" s="172" t="inlineStr">
        <is>
          <t>КИ</t>
        </is>
      </c>
    </row>
    <row r="193" ht="27" customHeight="1">
      <c r="A193" s="54" t="inlineStr">
        <is>
          <t>SU002992</t>
        </is>
      </c>
      <c r="B193" s="54" t="inlineStr">
        <is>
          <t>P003443</t>
        </is>
      </c>
      <c r="C193" s="31" t="n">
        <v>4301051479</v>
      </c>
      <c r="D193" s="369" t="n">
        <v>4680115882607</v>
      </c>
      <c r="E193" s="370" t="n"/>
      <c r="F193" s="752" t="n">
        <v>0.3</v>
      </c>
      <c r="G193" s="32" t="n">
        <v>6</v>
      </c>
      <c r="H193" s="752" t="n">
        <v>1.8</v>
      </c>
      <c r="I193" s="752" t="n">
        <v>2.072</v>
      </c>
      <c r="J193" s="32" t="n">
        <v>156</v>
      </c>
      <c r="K193" s="32" t="inlineStr">
        <is>
          <t>12</t>
        </is>
      </c>
      <c r="L193" s="33" t="inlineStr">
        <is>
          <t>СК3</t>
        </is>
      </c>
      <c r="M193" s="33" t="n"/>
      <c r="N193" s="32" t="n">
        <v>45</v>
      </c>
      <c r="O193" s="59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93" s="372" t="n"/>
      <c r="Q193" s="372" t="n"/>
      <c r="R193" s="372" t="n"/>
      <c r="S193" s="370" t="n"/>
      <c r="T193" s="34" t="n"/>
      <c r="U193" s="34" t="n"/>
      <c r="V193" s="35" t="inlineStr">
        <is>
          <t>кг</t>
        </is>
      </c>
      <c r="W193" s="753" t="n">
        <v>0</v>
      </c>
      <c r="X193" s="754">
        <f>IFERROR(IF(W193="",0,CEILING((W193/$H193),1)*$H193),"")</f>
        <v/>
      </c>
      <c r="Y193" s="36">
        <f>IFERROR(IF(X193=0,"",ROUNDUP(X193/H193,0)*0.00753),"")</f>
        <v/>
      </c>
      <c r="Z193" s="56" t="n"/>
      <c r="AA193" s="57" t="n"/>
      <c r="AE193" s="58" t="n"/>
      <c r="BB193" s="173" t="inlineStr">
        <is>
          <t>КИ</t>
        </is>
      </c>
    </row>
    <row r="194" ht="27" customHeight="1">
      <c r="A194" s="54" t="inlineStr">
        <is>
          <t>SU002618</t>
        </is>
      </c>
      <c r="B194" s="54" t="inlineStr">
        <is>
          <t>P003398</t>
        </is>
      </c>
      <c r="C194" s="31" t="n">
        <v>4301051468</v>
      </c>
      <c r="D194" s="369" t="n">
        <v>4680115880092</v>
      </c>
      <c r="E194" s="370" t="n"/>
      <c r="F194" s="752" t="n">
        <v>0.4</v>
      </c>
      <c r="G194" s="32" t="n">
        <v>6</v>
      </c>
      <c r="H194" s="752" t="n">
        <v>2.4</v>
      </c>
      <c r="I194" s="752" t="n">
        <v>2.672</v>
      </c>
      <c r="J194" s="32" t="n">
        <v>156</v>
      </c>
      <c r="K194" s="32" t="inlineStr">
        <is>
          <t>12</t>
        </is>
      </c>
      <c r="L194" s="33" t="inlineStr">
        <is>
          <t>СК3</t>
        </is>
      </c>
      <c r="M194" s="33" t="n"/>
      <c r="N194" s="32" t="n">
        <v>45</v>
      </c>
      <c r="O194" s="54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4" s="372" t="n"/>
      <c r="Q194" s="372" t="n"/>
      <c r="R194" s="372" t="n"/>
      <c r="S194" s="370" t="n"/>
      <c r="T194" s="34" t="n"/>
      <c r="U194" s="34" t="n"/>
      <c r="V194" s="35" t="inlineStr">
        <is>
          <t>кг</t>
        </is>
      </c>
      <c r="W194" s="753" t="n">
        <v>0</v>
      </c>
      <c r="X194" s="754">
        <f>IFERROR(IF(W194="",0,CEILING((W194/$H194),1)*$H194),"")</f>
        <v/>
      </c>
      <c r="Y194" s="36">
        <f>IFERROR(IF(X194=0,"",ROUNDUP(X194/H194,0)*0.00753),"")</f>
        <v/>
      </c>
      <c r="Z194" s="56" t="n"/>
      <c r="AA194" s="57" t="n"/>
      <c r="AE194" s="58" t="n"/>
      <c r="BB194" s="174" t="inlineStr">
        <is>
          <t>КИ</t>
        </is>
      </c>
    </row>
    <row r="195" ht="27" customHeight="1">
      <c r="A195" s="54" t="inlineStr">
        <is>
          <t>SU002621</t>
        </is>
      </c>
      <c r="B195" s="54" t="inlineStr">
        <is>
          <t>P003399</t>
        </is>
      </c>
      <c r="C195" s="31" t="n">
        <v>4301051469</v>
      </c>
      <c r="D195" s="369" t="n">
        <v>4680115880221</v>
      </c>
      <c r="E195" s="370" t="n"/>
      <c r="F195" s="752" t="n">
        <v>0.4</v>
      </c>
      <c r="G195" s="32" t="n">
        <v>6</v>
      </c>
      <c r="H195" s="752" t="n">
        <v>2.4</v>
      </c>
      <c r="I195" s="752" t="n">
        <v>2.672</v>
      </c>
      <c r="J195" s="32" t="n">
        <v>156</v>
      </c>
      <c r="K195" s="32" t="inlineStr">
        <is>
          <t>12</t>
        </is>
      </c>
      <c r="L195" s="33" t="inlineStr">
        <is>
          <t>СК3</t>
        </is>
      </c>
      <c r="M195" s="33" t="n"/>
      <c r="N195" s="32" t="n">
        <v>45</v>
      </c>
      <c r="O195" s="41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5" s="372" t="n"/>
      <c r="Q195" s="372" t="n"/>
      <c r="R195" s="372" t="n"/>
      <c r="S195" s="370" t="n"/>
      <c r="T195" s="34" t="n"/>
      <c r="U195" s="34" t="n"/>
      <c r="V195" s="35" t="inlineStr">
        <is>
          <t>кг</t>
        </is>
      </c>
      <c r="W195" s="753" t="n">
        <v>0</v>
      </c>
      <c r="X195" s="754">
        <f>IFERROR(IF(W195="",0,CEILING((W195/$H195),1)*$H195),"")</f>
        <v/>
      </c>
      <c r="Y195" s="36">
        <f>IFERROR(IF(X195=0,"",ROUNDUP(X195/H195,0)*0.00753),"")</f>
        <v/>
      </c>
      <c r="Z195" s="56" t="n"/>
      <c r="AA195" s="57" t="n"/>
      <c r="AE195" s="58" t="n"/>
      <c r="BB195" s="175" t="inlineStr">
        <is>
          <t>КИ</t>
        </is>
      </c>
    </row>
    <row r="196" ht="16.5" customHeight="1">
      <c r="A196" s="54" t="inlineStr">
        <is>
          <t>SU003073</t>
        </is>
      </c>
      <c r="B196" s="54" t="inlineStr">
        <is>
          <t>P003613</t>
        </is>
      </c>
      <c r="C196" s="31" t="n">
        <v>4301051523</v>
      </c>
      <c r="D196" s="369" t="n">
        <v>4680115882942</v>
      </c>
      <c r="E196" s="370" t="n"/>
      <c r="F196" s="752" t="n">
        <v>0.3</v>
      </c>
      <c r="G196" s="32" t="n">
        <v>6</v>
      </c>
      <c r="H196" s="752" t="n">
        <v>1.8</v>
      </c>
      <c r="I196" s="752" t="n">
        <v>2.072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3" t="n"/>
      <c r="N196" s="32" t="n">
        <v>40</v>
      </c>
      <c r="O196" s="72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6" s="372" t="n"/>
      <c r="Q196" s="372" t="n"/>
      <c r="R196" s="372" t="n"/>
      <c r="S196" s="370" t="n"/>
      <c r="T196" s="34" t="n"/>
      <c r="U196" s="34" t="n"/>
      <c r="V196" s="35" t="inlineStr">
        <is>
          <t>кг</t>
        </is>
      </c>
      <c r="W196" s="753" t="n">
        <v>0</v>
      </c>
      <c r="X196" s="754">
        <f>IFERROR(IF(W196="",0,CEILING((W196/$H196),1)*$H196),"")</f>
        <v/>
      </c>
      <c r="Y196" s="36">
        <f>IFERROR(IF(X196=0,"",ROUNDUP(X196/H196,0)*0.00753),"")</f>
        <v/>
      </c>
      <c r="Z196" s="56" t="n"/>
      <c r="AA196" s="57" t="n"/>
      <c r="AE196" s="58" t="n"/>
      <c r="BB196" s="176" t="inlineStr">
        <is>
          <t>КИ</t>
        </is>
      </c>
    </row>
    <row r="197" ht="16.5" customHeight="1">
      <c r="A197" s="54" t="inlineStr">
        <is>
          <t>SU002686</t>
        </is>
      </c>
      <c r="B197" s="54" t="inlineStr">
        <is>
          <t>P003071</t>
        </is>
      </c>
      <c r="C197" s="31" t="n">
        <v>4301051326</v>
      </c>
      <c r="D197" s="369" t="n">
        <v>4680115880504</v>
      </c>
      <c r="E197" s="370" t="n"/>
      <c r="F197" s="752" t="n">
        <v>0.4</v>
      </c>
      <c r="G197" s="32" t="n">
        <v>6</v>
      </c>
      <c r="H197" s="752" t="n">
        <v>2.4</v>
      </c>
      <c r="I197" s="752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3" t="n"/>
      <c r="N197" s="32" t="n">
        <v>40</v>
      </c>
      <c r="O197" s="575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7" s="372" t="n"/>
      <c r="Q197" s="372" t="n"/>
      <c r="R197" s="372" t="n"/>
      <c r="S197" s="370" t="n"/>
      <c r="T197" s="34" t="n"/>
      <c r="U197" s="34" t="n"/>
      <c r="V197" s="35" t="inlineStr">
        <is>
          <t>кг</t>
        </is>
      </c>
      <c r="W197" s="753" t="n">
        <v>0</v>
      </c>
      <c r="X197" s="754">
        <f>IFERROR(IF(W197="",0,CEILING((W197/$H197),1)*$H197),"")</f>
        <v/>
      </c>
      <c r="Y197" s="36">
        <f>IFERROR(IF(X197=0,"",ROUNDUP(X197/H197,0)*0.00753),"")</f>
        <v/>
      </c>
      <c r="Z197" s="56" t="n"/>
      <c r="AA197" s="57" t="n"/>
      <c r="AE197" s="58" t="n"/>
      <c r="BB197" s="177" t="inlineStr">
        <is>
          <t>КИ</t>
        </is>
      </c>
    </row>
    <row r="198" ht="27" customHeight="1">
      <c r="A198" s="54" t="inlineStr">
        <is>
          <t>SU002844</t>
        </is>
      </c>
      <c r="B198" s="54" t="inlineStr">
        <is>
          <t>P003265</t>
        </is>
      </c>
      <c r="C198" s="31" t="n">
        <v>4301051410</v>
      </c>
      <c r="D198" s="369" t="n">
        <v>4680115882164</v>
      </c>
      <c r="E198" s="370" t="n"/>
      <c r="F198" s="752" t="n">
        <v>0.4</v>
      </c>
      <c r="G198" s="32" t="n">
        <v>6</v>
      </c>
      <c r="H198" s="752" t="n">
        <v>2.4</v>
      </c>
      <c r="I198" s="752" t="n">
        <v>2.678</v>
      </c>
      <c r="J198" s="32" t="n">
        <v>156</v>
      </c>
      <c r="K198" s="32" t="inlineStr">
        <is>
          <t>12</t>
        </is>
      </c>
      <c r="L198" s="33" t="inlineStr">
        <is>
          <t>СК3</t>
        </is>
      </c>
      <c r="M198" s="33" t="n"/>
      <c r="N198" s="32" t="n">
        <v>40</v>
      </c>
      <c r="O198" s="7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8" s="372" t="n"/>
      <c r="Q198" s="372" t="n"/>
      <c r="R198" s="372" t="n"/>
      <c r="S198" s="370" t="n"/>
      <c r="T198" s="34" t="n"/>
      <c r="U198" s="34" t="n"/>
      <c r="V198" s="35" t="inlineStr">
        <is>
          <t>кг</t>
        </is>
      </c>
      <c r="W198" s="753" t="n">
        <v>0</v>
      </c>
      <c r="X198" s="754">
        <f>IFERROR(IF(W198="",0,CEILING((W198/$H198),1)*$H198),"")</f>
        <v/>
      </c>
      <c r="Y198" s="36">
        <f>IFERROR(IF(X198=0,"",ROUNDUP(X198/H198,0)*0.00753),"")</f>
        <v/>
      </c>
      <c r="Z198" s="56" t="n"/>
      <c r="AA198" s="57" t="n"/>
      <c r="AE198" s="58" t="n"/>
      <c r="BB198" s="178" t="inlineStr">
        <is>
          <t>КИ</t>
        </is>
      </c>
    </row>
    <row r="199">
      <c r="A199" s="396" t="n"/>
      <c r="B199" s="376" t="n"/>
      <c r="C199" s="376" t="n"/>
      <c r="D199" s="376" t="n"/>
      <c r="E199" s="376" t="n"/>
      <c r="F199" s="376" t="n"/>
      <c r="G199" s="376" t="n"/>
      <c r="H199" s="376" t="n"/>
      <c r="I199" s="376" t="n"/>
      <c r="J199" s="376" t="n"/>
      <c r="K199" s="376" t="n"/>
      <c r="L199" s="376" t="n"/>
      <c r="M199" s="376" t="n"/>
      <c r="N199" s="397" t="n"/>
      <c r="O199" s="391" t="inlineStr">
        <is>
          <t>Итого</t>
        </is>
      </c>
      <c r="P199" s="392" t="n"/>
      <c r="Q199" s="392" t="n"/>
      <c r="R199" s="392" t="n"/>
      <c r="S199" s="392" t="n"/>
      <c r="T199" s="392" t="n"/>
      <c r="U199" s="393" t="n"/>
      <c r="V199" s="37" t="inlineStr">
        <is>
          <t>кор</t>
        </is>
      </c>
      <c r="W199" s="755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/>
      </c>
      <c r="X199" s="755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/>
      </c>
      <c r="Y199" s="755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/>
      </c>
      <c r="Z199" s="756" t="n"/>
      <c r="AA199" s="756" t="n"/>
    </row>
    <row r="200">
      <c r="A200" s="376" t="n"/>
      <c r="B200" s="376" t="n"/>
      <c r="C200" s="376" t="n"/>
      <c r="D200" s="376" t="n"/>
      <c r="E200" s="376" t="n"/>
      <c r="F200" s="376" t="n"/>
      <c r="G200" s="376" t="n"/>
      <c r="H200" s="376" t="n"/>
      <c r="I200" s="376" t="n"/>
      <c r="J200" s="376" t="n"/>
      <c r="K200" s="376" t="n"/>
      <c r="L200" s="376" t="n"/>
      <c r="M200" s="376" t="n"/>
      <c r="N200" s="397" t="n"/>
      <c r="O200" s="391" t="inlineStr">
        <is>
          <t>Итого</t>
        </is>
      </c>
      <c r="P200" s="392" t="n"/>
      <c r="Q200" s="392" t="n"/>
      <c r="R200" s="392" t="n"/>
      <c r="S200" s="392" t="n"/>
      <c r="T200" s="392" t="n"/>
      <c r="U200" s="393" t="n"/>
      <c r="V200" s="37" t="inlineStr">
        <is>
          <t>кг</t>
        </is>
      </c>
      <c r="W200" s="755">
        <f>IFERROR(SUM(W182:W198),"0")</f>
        <v/>
      </c>
      <c r="X200" s="755">
        <f>IFERROR(SUM(X182:X198),"0")</f>
        <v/>
      </c>
      <c r="Y200" s="37" t="n"/>
      <c r="Z200" s="756" t="n"/>
      <c r="AA200" s="756" t="n"/>
    </row>
    <row r="201" ht="14.25" customHeight="1">
      <c r="A201" s="375" t="inlineStr">
        <is>
          <t>Сардельки</t>
        </is>
      </c>
      <c r="B201" s="376" t="n"/>
      <c r="C201" s="376" t="n"/>
      <c r="D201" s="376" t="n"/>
      <c r="E201" s="376" t="n"/>
      <c r="F201" s="376" t="n"/>
      <c r="G201" s="376" t="n"/>
      <c r="H201" s="376" t="n"/>
      <c r="I201" s="376" t="n"/>
      <c r="J201" s="376" t="n"/>
      <c r="K201" s="376" t="n"/>
      <c r="L201" s="376" t="n"/>
      <c r="M201" s="376" t="n"/>
      <c r="N201" s="376" t="n"/>
      <c r="O201" s="376" t="n"/>
      <c r="P201" s="376" t="n"/>
      <c r="Q201" s="376" t="n"/>
      <c r="R201" s="376" t="n"/>
      <c r="S201" s="376" t="n"/>
      <c r="T201" s="376" t="n"/>
      <c r="U201" s="376" t="n"/>
      <c r="V201" s="376" t="n"/>
      <c r="W201" s="376" t="n"/>
      <c r="X201" s="376" t="n"/>
      <c r="Y201" s="376" t="n"/>
      <c r="Z201" s="375" t="n"/>
      <c r="AA201" s="375" t="n"/>
    </row>
    <row r="202" ht="16.5" customHeight="1">
      <c r="A202" s="54" t="inlineStr">
        <is>
          <t>SU003042</t>
        </is>
      </c>
      <c r="B202" s="54" t="inlineStr">
        <is>
          <t>P003608</t>
        </is>
      </c>
      <c r="C202" s="31" t="n">
        <v>4301060360</v>
      </c>
      <c r="D202" s="369" t="n">
        <v>4680115882874</v>
      </c>
      <c r="E202" s="370" t="n"/>
      <c r="F202" s="752" t="n">
        <v>0.8</v>
      </c>
      <c r="G202" s="32" t="n">
        <v>4</v>
      </c>
      <c r="H202" s="752" t="n">
        <v>3.2</v>
      </c>
      <c r="I202" s="752" t="n">
        <v>3.466</v>
      </c>
      <c r="J202" s="32" t="n">
        <v>120</v>
      </c>
      <c r="K202" s="32" t="inlineStr">
        <is>
          <t>12</t>
        </is>
      </c>
      <c r="L202" s="33" t="inlineStr">
        <is>
          <t>СК2</t>
        </is>
      </c>
      <c r="M202" s="33" t="n"/>
      <c r="N202" s="32" t="n">
        <v>30</v>
      </c>
      <c r="O202" s="400">
        <f>HYPERLINK("https://abi.ru/products/Охлажденные/Стародворье/Сочинка/Сардельки/P003608/","Сардельки «Сочинки» Весовой н/о ТМ «Стародворье»")</f>
        <v/>
      </c>
      <c r="P202" s="372" t="n"/>
      <c r="Q202" s="372" t="n"/>
      <c r="R202" s="372" t="n"/>
      <c r="S202" s="370" t="n"/>
      <c r="T202" s="34" t="n"/>
      <c r="U202" s="34" t="n"/>
      <c r="V202" s="35" t="inlineStr">
        <is>
          <t>кг</t>
        </is>
      </c>
      <c r="W202" s="753" t="n">
        <v>0</v>
      </c>
      <c r="X202" s="754">
        <f>IFERROR(IF(W202="",0,CEILING((W202/$H202),1)*$H202),"")</f>
        <v/>
      </c>
      <c r="Y202" s="36">
        <f>IFERROR(IF(X202=0,"",ROUNDUP(X202/H202,0)*0.00937),"")</f>
        <v/>
      </c>
      <c r="Z202" s="56" t="n"/>
      <c r="AA202" s="57" t="n"/>
      <c r="AE202" s="58" t="n"/>
      <c r="BB202" s="179" t="inlineStr">
        <is>
          <t>КИ</t>
        </is>
      </c>
    </row>
    <row r="203" ht="16.5" customHeight="1">
      <c r="A203" s="54" t="inlineStr">
        <is>
          <t>SU003043</t>
        </is>
      </c>
      <c r="B203" s="54" t="inlineStr">
        <is>
          <t>P003604</t>
        </is>
      </c>
      <c r="C203" s="31" t="n">
        <v>4301060359</v>
      </c>
      <c r="D203" s="369" t="n">
        <v>4680115884434</v>
      </c>
      <c r="E203" s="370" t="n"/>
      <c r="F203" s="752" t="n">
        <v>0.8</v>
      </c>
      <c r="G203" s="32" t="n">
        <v>4</v>
      </c>
      <c r="H203" s="752" t="n">
        <v>3.2</v>
      </c>
      <c r="I203" s="752" t="n">
        <v>3.466</v>
      </c>
      <c r="J203" s="32" t="n">
        <v>120</v>
      </c>
      <c r="K203" s="32" t="inlineStr">
        <is>
          <t>12</t>
        </is>
      </c>
      <c r="L203" s="33" t="inlineStr">
        <is>
          <t>СК2</t>
        </is>
      </c>
      <c r="M203" s="33" t="n"/>
      <c r="N203" s="32" t="n">
        <v>30</v>
      </c>
      <c r="O203" s="60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3" s="372" t="n"/>
      <c r="Q203" s="372" t="n"/>
      <c r="R203" s="372" t="n"/>
      <c r="S203" s="370" t="n"/>
      <c r="T203" s="34" t="n"/>
      <c r="U203" s="34" t="n"/>
      <c r="V203" s="35" t="inlineStr">
        <is>
          <t>кг</t>
        </is>
      </c>
      <c r="W203" s="753" t="n">
        <v>0</v>
      </c>
      <c r="X203" s="754">
        <f>IFERROR(IF(W203="",0,CEILING((W203/$H203),1)*$H203),"")</f>
        <v/>
      </c>
      <c r="Y203" s="36">
        <f>IFERROR(IF(X203=0,"",ROUNDUP(X203/H203,0)*0.00937),"")</f>
        <v/>
      </c>
      <c r="Z203" s="56" t="n"/>
      <c r="AA203" s="57" t="n"/>
      <c r="AE203" s="58" t="n"/>
      <c r="BB203" s="180" t="inlineStr">
        <is>
          <t>КИ</t>
        </is>
      </c>
    </row>
    <row r="204" ht="16.5" customHeight="1">
      <c r="A204" s="54" t="inlineStr">
        <is>
          <t>SU002758</t>
        </is>
      </c>
      <c r="B204" s="54" t="inlineStr">
        <is>
          <t>P003129</t>
        </is>
      </c>
      <c r="C204" s="31" t="n">
        <v>4301060338</v>
      </c>
      <c r="D204" s="369" t="n">
        <v>4680115880801</v>
      </c>
      <c r="E204" s="370" t="n"/>
      <c r="F204" s="752" t="n">
        <v>0.4</v>
      </c>
      <c r="G204" s="32" t="n">
        <v>6</v>
      </c>
      <c r="H204" s="752" t="n">
        <v>2.4</v>
      </c>
      <c r="I204" s="752" t="n">
        <v>2.672</v>
      </c>
      <c r="J204" s="32" t="n">
        <v>156</v>
      </c>
      <c r="K204" s="32" t="inlineStr">
        <is>
          <t>12</t>
        </is>
      </c>
      <c r="L204" s="33" t="inlineStr">
        <is>
          <t>СК2</t>
        </is>
      </c>
      <c r="M204" s="33" t="n"/>
      <c r="N204" s="32" t="n">
        <v>40</v>
      </c>
      <c r="O204" s="61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4" s="372" t="n"/>
      <c r="Q204" s="372" t="n"/>
      <c r="R204" s="372" t="n"/>
      <c r="S204" s="370" t="n"/>
      <c r="T204" s="34" t="n"/>
      <c r="U204" s="34" t="n"/>
      <c r="V204" s="35" t="inlineStr">
        <is>
          <t>кг</t>
        </is>
      </c>
      <c r="W204" s="753" t="n">
        <v>0</v>
      </c>
      <c r="X204" s="754">
        <f>IFERROR(IF(W204="",0,CEILING((W204/$H204),1)*$H204),"")</f>
        <v/>
      </c>
      <c r="Y204" s="36">
        <f>IFERROR(IF(X204=0,"",ROUNDUP(X204/H204,0)*0.00753),"")</f>
        <v/>
      </c>
      <c r="Z204" s="56" t="n"/>
      <c r="AA204" s="57" t="n"/>
      <c r="AE204" s="58" t="n"/>
      <c r="BB204" s="181" t="inlineStr">
        <is>
          <t>КИ</t>
        </is>
      </c>
    </row>
    <row r="205" ht="27" customHeight="1">
      <c r="A205" s="54" t="inlineStr">
        <is>
          <t>SU002759</t>
        </is>
      </c>
      <c r="B205" s="54" t="inlineStr">
        <is>
          <t>P003130</t>
        </is>
      </c>
      <c r="C205" s="31" t="n">
        <v>4301060339</v>
      </c>
      <c r="D205" s="369" t="n">
        <v>4680115880818</v>
      </c>
      <c r="E205" s="370" t="n"/>
      <c r="F205" s="752" t="n">
        <v>0.4</v>
      </c>
      <c r="G205" s="32" t="n">
        <v>6</v>
      </c>
      <c r="H205" s="752" t="n">
        <v>2.4</v>
      </c>
      <c r="I205" s="752" t="n">
        <v>2.672</v>
      </c>
      <c r="J205" s="32" t="n">
        <v>156</v>
      </c>
      <c r="K205" s="32" t="inlineStr">
        <is>
          <t>12</t>
        </is>
      </c>
      <c r="L205" s="33" t="inlineStr">
        <is>
          <t>СК2</t>
        </is>
      </c>
      <c r="M205" s="33" t="n"/>
      <c r="N205" s="32" t="n">
        <v>40</v>
      </c>
      <c r="O205" s="55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5" s="372" t="n"/>
      <c r="Q205" s="372" t="n"/>
      <c r="R205" s="372" t="n"/>
      <c r="S205" s="370" t="n"/>
      <c r="T205" s="34" t="n"/>
      <c r="U205" s="34" t="n"/>
      <c r="V205" s="35" t="inlineStr">
        <is>
          <t>кг</t>
        </is>
      </c>
      <c r="W205" s="753" t="n">
        <v>0</v>
      </c>
      <c r="X205" s="754">
        <f>IFERROR(IF(W205="",0,CEILING((W205/$H205),1)*$H205),"")</f>
        <v/>
      </c>
      <c r="Y205" s="36">
        <f>IFERROR(IF(X205=0,"",ROUNDUP(X205/H205,0)*0.00753),"")</f>
        <v/>
      </c>
      <c r="Z205" s="56" t="n"/>
      <c r="AA205" s="57" t="n"/>
      <c r="AE205" s="58" t="n"/>
      <c r="BB205" s="182" t="inlineStr">
        <is>
          <t>КИ</t>
        </is>
      </c>
    </row>
    <row r="206">
      <c r="A206" s="396" t="n"/>
      <c r="B206" s="376" t="n"/>
      <c r="C206" s="376" t="n"/>
      <c r="D206" s="376" t="n"/>
      <c r="E206" s="376" t="n"/>
      <c r="F206" s="376" t="n"/>
      <c r="G206" s="376" t="n"/>
      <c r="H206" s="376" t="n"/>
      <c r="I206" s="376" t="n"/>
      <c r="J206" s="376" t="n"/>
      <c r="K206" s="376" t="n"/>
      <c r="L206" s="376" t="n"/>
      <c r="M206" s="376" t="n"/>
      <c r="N206" s="397" t="n"/>
      <c r="O206" s="391" t="inlineStr">
        <is>
          <t>Итого</t>
        </is>
      </c>
      <c r="P206" s="392" t="n"/>
      <c r="Q206" s="392" t="n"/>
      <c r="R206" s="392" t="n"/>
      <c r="S206" s="392" t="n"/>
      <c r="T206" s="392" t="n"/>
      <c r="U206" s="393" t="n"/>
      <c r="V206" s="37" t="inlineStr">
        <is>
          <t>кор</t>
        </is>
      </c>
      <c r="W206" s="755">
        <f>IFERROR(W202/H202,"0")+IFERROR(W203/H203,"0")+IFERROR(W204/H204,"0")+IFERROR(W205/H205,"0")</f>
        <v/>
      </c>
      <c r="X206" s="755">
        <f>IFERROR(X202/H202,"0")+IFERROR(X203/H203,"0")+IFERROR(X204/H204,"0")+IFERROR(X205/H205,"0")</f>
        <v/>
      </c>
      <c r="Y206" s="755">
        <f>IFERROR(IF(Y202="",0,Y202),"0")+IFERROR(IF(Y203="",0,Y203),"0")+IFERROR(IF(Y204="",0,Y204),"0")+IFERROR(IF(Y205="",0,Y205),"0")</f>
        <v/>
      </c>
      <c r="Z206" s="756" t="n"/>
      <c r="AA206" s="756" t="n"/>
    </row>
    <row r="207">
      <c r="A207" s="376" t="n"/>
      <c r="B207" s="376" t="n"/>
      <c r="C207" s="376" t="n"/>
      <c r="D207" s="376" t="n"/>
      <c r="E207" s="376" t="n"/>
      <c r="F207" s="376" t="n"/>
      <c r="G207" s="376" t="n"/>
      <c r="H207" s="376" t="n"/>
      <c r="I207" s="376" t="n"/>
      <c r="J207" s="376" t="n"/>
      <c r="K207" s="376" t="n"/>
      <c r="L207" s="376" t="n"/>
      <c r="M207" s="376" t="n"/>
      <c r="N207" s="397" t="n"/>
      <c r="O207" s="391" t="inlineStr">
        <is>
          <t>Итого</t>
        </is>
      </c>
      <c r="P207" s="392" t="n"/>
      <c r="Q207" s="392" t="n"/>
      <c r="R207" s="392" t="n"/>
      <c r="S207" s="392" t="n"/>
      <c r="T207" s="392" t="n"/>
      <c r="U207" s="393" t="n"/>
      <c r="V207" s="37" t="inlineStr">
        <is>
          <t>кг</t>
        </is>
      </c>
      <c r="W207" s="755">
        <f>IFERROR(SUM(W202:W205),"0")</f>
        <v/>
      </c>
      <c r="X207" s="755">
        <f>IFERROR(SUM(X202:X205),"0")</f>
        <v/>
      </c>
      <c r="Y207" s="37" t="n"/>
      <c r="Z207" s="756" t="n"/>
      <c r="AA207" s="756" t="n"/>
    </row>
    <row r="208" ht="16.5" customHeight="1">
      <c r="A208" s="378" t="inlineStr">
        <is>
          <t>Филедворская</t>
        </is>
      </c>
      <c r="B208" s="376" t="n"/>
      <c r="C208" s="376" t="n"/>
      <c r="D208" s="376" t="n"/>
      <c r="E208" s="376" t="n"/>
      <c r="F208" s="376" t="n"/>
      <c r="G208" s="376" t="n"/>
      <c r="H208" s="376" t="n"/>
      <c r="I208" s="376" t="n"/>
      <c r="J208" s="376" t="n"/>
      <c r="K208" s="376" t="n"/>
      <c r="L208" s="376" t="n"/>
      <c r="M208" s="376" t="n"/>
      <c r="N208" s="376" t="n"/>
      <c r="O208" s="376" t="n"/>
      <c r="P208" s="376" t="n"/>
      <c r="Q208" s="376" t="n"/>
      <c r="R208" s="376" t="n"/>
      <c r="S208" s="376" t="n"/>
      <c r="T208" s="376" t="n"/>
      <c r="U208" s="376" t="n"/>
      <c r="V208" s="376" t="n"/>
      <c r="W208" s="376" t="n"/>
      <c r="X208" s="376" t="n"/>
      <c r="Y208" s="376" t="n"/>
      <c r="Z208" s="378" t="n"/>
      <c r="AA208" s="378" t="n"/>
    </row>
    <row r="209" ht="14.25" customHeight="1">
      <c r="A209" s="375" t="inlineStr">
        <is>
          <t>Вареные колбасы</t>
        </is>
      </c>
      <c r="B209" s="376" t="n"/>
      <c r="C209" s="376" t="n"/>
      <c r="D209" s="376" t="n"/>
      <c r="E209" s="376" t="n"/>
      <c r="F209" s="376" t="n"/>
      <c r="G209" s="376" t="n"/>
      <c r="H209" s="376" t="n"/>
      <c r="I209" s="376" t="n"/>
      <c r="J209" s="376" t="n"/>
      <c r="K209" s="376" t="n"/>
      <c r="L209" s="376" t="n"/>
      <c r="M209" s="376" t="n"/>
      <c r="N209" s="376" t="n"/>
      <c r="O209" s="376" t="n"/>
      <c r="P209" s="376" t="n"/>
      <c r="Q209" s="376" t="n"/>
      <c r="R209" s="376" t="n"/>
      <c r="S209" s="376" t="n"/>
      <c r="T209" s="376" t="n"/>
      <c r="U209" s="376" t="n"/>
      <c r="V209" s="376" t="n"/>
      <c r="W209" s="376" t="n"/>
      <c r="X209" s="376" t="n"/>
      <c r="Y209" s="376" t="n"/>
      <c r="Z209" s="375" t="n"/>
      <c r="AA209" s="375" t="n"/>
    </row>
    <row r="210" ht="27" customHeight="1">
      <c r="A210" s="54" t="inlineStr">
        <is>
          <t>SU003267</t>
        </is>
      </c>
      <c r="B210" s="54" t="inlineStr">
        <is>
          <t>P003941</t>
        </is>
      </c>
      <c r="C210" s="31" t="n">
        <v>4301011717</v>
      </c>
      <c r="D210" s="369" t="n">
        <v>4680115884274</v>
      </c>
      <c r="E210" s="370" t="n"/>
      <c r="F210" s="752" t="n">
        <v>1.45</v>
      </c>
      <c r="G210" s="32" t="n">
        <v>8</v>
      </c>
      <c r="H210" s="752" t="n">
        <v>11.6</v>
      </c>
      <c r="I210" s="752" t="n">
        <v>12.08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3" t="n"/>
      <c r="N210" s="32" t="n">
        <v>55</v>
      </c>
      <c r="O210" s="59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0" s="372" t="n"/>
      <c r="Q210" s="372" t="n"/>
      <c r="R210" s="372" t="n"/>
      <c r="S210" s="370" t="n"/>
      <c r="T210" s="34" t="n"/>
      <c r="U210" s="34" t="n"/>
      <c r="V210" s="35" t="inlineStr">
        <is>
          <t>кг</t>
        </is>
      </c>
      <c r="W210" s="753" t="n">
        <v>0</v>
      </c>
      <c r="X210" s="754">
        <f>IFERROR(IF(W210="",0,CEILING((W210/$H210),1)*$H210),"")</f>
        <v/>
      </c>
      <c r="Y210" s="36">
        <f>IFERROR(IF(X210=0,"",ROUNDUP(X210/H210,0)*0.02175),"")</f>
        <v/>
      </c>
      <c r="Z210" s="56" t="n"/>
      <c r="AA210" s="57" t="n"/>
      <c r="AE210" s="58" t="n"/>
      <c r="BB210" s="183" t="inlineStr">
        <is>
          <t>КИ</t>
        </is>
      </c>
    </row>
    <row r="211" ht="27" customHeight="1">
      <c r="A211" s="54" t="inlineStr">
        <is>
          <t>SU003269</t>
        </is>
      </c>
      <c r="B211" s="54" t="inlineStr">
        <is>
          <t>P003943</t>
        </is>
      </c>
      <c r="C211" s="31" t="n">
        <v>4301011719</v>
      </c>
      <c r="D211" s="369" t="n">
        <v>4680115884298</v>
      </c>
      <c r="E211" s="370" t="n"/>
      <c r="F211" s="752" t="n">
        <v>1.45</v>
      </c>
      <c r="G211" s="32" t="n">
        <v>8</v>
      </c>
      <c r="H211" s="752" t="n">
        <v>11.6</v>
      </c>
      <c r="I211" s="752" t="n">
        <v>12.08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3" t="n"/>
      <c r="N211" s="32" t="n">
        <v>55</v>
      </c>
      <c r="O211" s="739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1" s="372" t="n"/>
      <c r="Q211" s="372" t="n"/>
      <c r="R211" s="372" t="n"/>
      <c r="S211" s="370" t="n"/>
      <c r="T211" s="34" t="n"/>
      <c r="U211" s="34" t="n"/>
      <c r="V211" s="35" t="inlineStr">
        <is>
          <t>кг</t>
        </is>
      </c>
      <c r="W211" s="753" t="n">
        <v>0</v>
      </c>
      <c r="X211" s="754">
        <f>IFERROR(IF(W211="",0,CEILING((W211/$H211),1)*$H211),"")</f>
        <v/>
      </c>
      <c r="Y211" s="36">
        <f>IFERROR(IF(X211=0,"",ROUNDUP(X211/H211,0)*0.02175),"")</f>
        <v/>
      </c>
      <c r="Z211" s="56" t="n"/>
      <c r="AA211" s="57" t="n"/>
      <c r="AE211" s="58" t="n"/>
      <c r="BB211" s="184" t="inlineStr">
        <is>
          <t>КИ</t>
        </is>
      </c>
    </row>
    <row r="212" ht="27" customHeight="1">
      <c r="A212" s="54" t="inlineStr">
        <is>
          <t>SU003265</t>
        </is>
      </c>
      <c r="B212" s="54" t="inlineStr">
        <is>
          <t>P003939</t>
        </is>
      </c>
      <c r="C212" s="31" t="n">
        <v>4301011733</v>
      </c>
      <c r="D212" s="369" t="n">
        <v>4680115884250</v>
      </c>
      <c r="E212" s="370" t="n"/>
      <c r="F212" s="752" t="n">
        <v>1.45</v>
      </c>
      <c r="G212" s="32" t="n">
        <v>8</v>
      </c>
      <c r="H212" s="752" t="n">
        <v>11.6</v>
      </c>
      <c r="I212" s="752" t="n">
        <v>12.08</v>
      </c>
      <c r="J212" s="32" t="n">
        <v>56</v>
      </c>
      <c r="K212" s="32" t="inlineStr">
        <is>
          <t>8</t>
        </is>
      </c>
      <c r="L212" s="33" t="inlineStr">
        <is>
          <t>СК3</t>
        </is>
      </c>
      <c r="M212" s="33" t="n"/>
      <c r="N212" s="32" t="n">
        <v>55</v>
      </c>
      <c r="O212" s="633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2" s="372" t="n"/>
      <c r="Q212" s="372" t="n"/>
      <c r="R212" s="372" t="n"/>
      <c r="S212" s="370" t="n"/>
      <c r="T212" s="34" t="n"/>
      <c r="U212" s="34" t="n"/>
      <c r="V212" s="35" t="inlineStr">
        <is>
          <t>кг</t>
        </is>
      </c>
      <c r="W212" s="753" t="n">
        <v>0</v>
      </c>
      <c r="X212" s="754">
        <f>IFERROR(IF(W212="",0,CEILING((W212/$H212),1)*$H212),"")</f>
        <v/>
      </c>
      <c r="Y212" s="36">
        <f>IFERROR(IF(X212=0,"",ROUNDUP(X212/H212,0)*0.02175),"")</f>
        <v/>
      </c>
      <c r="Z212" s="56" t="n"/>
      <c r="AA212" s="57" t="n"/>
      <c r="AE212" s="58" t="n"/>
      <c r="BB212" s="185" t="inlineStr">
        <is>
          <t>КИ</t>
        </is>
      </c>
    </row>
    <row r="213" ht="27" customHeight="1">
      <c r="A213" s="54" t="inlineStr">
        <is>
          <t>SU003268</t>
        </is>
      </c>
      <c r="B213" s="54" t="inlineStr">
        <is>
          <t>P003942</t>
        </is>
      </c>
      <c r="C213" s="31" t="n">
        <v>4301011718</v>
      </c>
      <c r="D213" s="369" t="n">
        <v>4680115884281</v>
      </c>
      <c r="E213" s="370" t="n"/>
      <c r="F213" s="752" t="n">
        <v>0.4</v>
      </c>
      <c r="G213" s="32" t="n">
        <v>10</v>
      </c>
      <c r="H213" s="752" t="n">
        <v>4</v>
      </c>
      <c r="I213" s="752" t="n">
        <v>4.24</v>
      </c>
      <c r="J213" s="32" t="n">
        <v>120</v>
      </c>
      <c r="K213" s="32" t="inlineStr">
        <is>
          <t>12</t>
        </is>
      </c>
      <c r="L213" s="33" t="inlineStr">
        <is>
          <t>СК1</t>
        </is>
      </c>
      <c r="M213" s="33" t="n"/>
      <c r="N213" s="32" t="n">
        <v>55</v>
      </c>
      <c r="O213" s="55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3" s="372" t="n"/>
      <c r="Q213" s="372" t="n"/>
      <c r="R213" s="372" t="n"/>
      <c r="S213" s="370" t="n"/>
      <c r="T213" s="34" t="n"/>
      <c r="U213" s="34" t="n"/>
      <c r="V213" s="35" t="inlineStr">
        <is>
          <t>кг</t>
        </is>
      </c>
      <c r="W213" s="753" t="n">
        <v>0</v>
      </c>
      <c r="X213" s="754">
        <f>IFERROR(IF(W213="",0,CEILING((W213/$H213),1)*$H213),"")</f>
        <v/>
      </c>
      <c r="Y213" s="36">
        <f>IFERROR(IF(X213=0,"",ROUNDUP(X213/H213,0)*0.00937),"")</f>
        <v/>
      </c>
      <c r="Z213" s="56" t="n"/>
      <c r="AA213" s="57" t="n"/>
      <c r="AE213" s="58" t="n"/>
      <c r="BB213" s="186" t="inlineStr">
        <is>
          <t>КИ</t>
        </is>
      </c>
    </row>
    <row r="214" ht="27" customHeight="1">
      <c r="A214" s="54" t="inlineStr">
        <is>
          <t>SU003270</t>
        </is>
      </c>
      <c r="B214" s="54" t="inlineStr">
        <is>
          <t>P003944</t>
        </is>
      </c>
      <c r="C214" s="31" t="n">
        <v>4301011720</v>
      </c>
      <c r="D214" s="369" t="n">
        <v>4680115884199</v>
      </c>
      <c r="E214" s="370" t="n"/>
      <c r="F214" s="752" t="n">
        <v>0.37</v>
      </c>
      <c r="G214" s="32" t="n">
        <v>10</v>
      </c>
      <c r="H214" s="752" t="n">
        <v>3.7</v>
      </c>
      <c r="I214" s="752" t="n">
        <v>3.94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3" t="n"/>
      <c r="N214" s="32" t="n">
        <v>55</v>
      </c>
      <c r="O214" s="636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4" s="372" t="n"/>
      <c r="Q214" s="372" t="n"/>
      <c r="R214" s="372" t="n"/>
      <c r="S214" s="370" t="n"/>
      <c r="T214" s="34" t="n"/>
      <c r="U214" s="34" t="n"/>
      <c r="V214" s="35" t="inlineStr">
        <is>
          <t>кг</t>
        </is>
      </c>
      <c r="W214" s="753" t="n">
        <v>0</v>
      </c>
      <c r="X214" s="754">
        <f>IFERROR(IF(W214="",0,CEILING((W214/$H214),1)*$H214),"")</f>
        <v/>
      </c>
      <c r="Y214" s="36">
        <f>IFERROR(IF(X214=0,"",ROUNDUP(X214/H214,0)*0.00937),"")</f>
        <v/>
      </c>
      <c r="Z214" s="56" t="n"/>
      <c r="AA214" s="57" t="n"/>
      <c r="AE214" s="58" t="n"/>
      <c r="BB214" s="187" t="inlineStr">
        <is>
          <t>КИ</t>
        </is>
      </c>
    </row>
    <row r="215" ht="27" customHeight="1">
      <c r="A215" s="54" t="inlineStr">
        <is>
          <t>SU003266</t>
        </is>
      </c>
      <c r="B215" s="54" t="inlineStr">
        <is>
          <t>P003940</t>
        </is>
      </c>
      <c r="C215" s="31" t="n">
        <v>4301011716</v>
      </c>
      <c r="D215" s="369" t="n">
        <v>4680115884267</v>
      </c>
      <c r="E215" s="370" t="n"/>
      <c r="F215" s="752" t="n">
        <v>0.4</v>
      </c>
      <c r="G215" s="32" t="n">
        <v>10</v>
      </c>
      <c r="H215" s="752" t="n">
        <v>4</v>
      </c>
      <c r="I215" s="752" t="n">
        <v>4.24</v>
      </c>
      <c r="J215" s="32" t="n">
        <v>120</v>
      </c>
      <c r="K215" s="32" t="inlineStr">
        <is>
          <t>12</t>
        </is>
      </c>
      <c r="L215" s="33" t="inlineStr">
        <is>
          <t>СК1</t>
        </is>
      </c>
      <c r="M215" s="33" t="n"/>
      <c r="N215" s="32" t="n">
        <v>55</v>
      </c>
      <c r="O215" s="42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5" s="372" t="n"/>
      <c r="Q215" s="372" t="n"/>
      <c r="R215" s="372" t="n"/>
      <c r="S215" s="370" t="n"/>
      <c r="T215" s="34" t="n"/>
      <c r="U215" s="34" t="n"/>
      <c r="V215" s="35" t="inlineStr">
        <is>
          <t>кг</t>
        </is>
      </c>
      <c r="W215" s="753" t="n">
        <v>0</v>
      </c>
      <c r="X215" s="754">
        <f>IFERROR(IF(W215="",0,CEILING((W215/$H215),1)*$H215),"")</f>
        <v/>
      </c>
      <c r="Y215" s="36">
        <f>IFERROR(IF(X215=0,"",ROUNDUP(X215/H215,0)*0.00937),"")</f>
        <v/>
      </c>
      <c r="Z215" s="56" t="n"/>
      <c r="AA215" s="57" t="n"/>
      <c r="AE215" s="58" t="n"/>
      <c r="BB215" s="188" t="inlineStr">
        <is>
          <t>КИ</t>
        </is>
      </c>
    </row>
    <row r="216">
      <c r="A216" s="396" t="n"/>
      <c r="B216" s="376" t="n"/>
      <c r="C216" s="376" t="n"/>
      <c r="D216" s="376" t="n"/>
      <c r="E216" s="376" t="n"/>
      <c r="F216" s="376" t="n"/>
      <c r="G216" s="376" t="n"/>
      <c r="H216" s="376" t="n"/>
      <c r="I216" s="376" t="n"/>
      <c r="J216" s="376" t="n"/>
      <c r="K216" s="376" t="n"/>
      <c r="L216" s="376" t="n"/>
      <c r="M216" s="376" t="n"/>
      <c r="N216" s="397" t="n"/>
      <c r="O216" s="391" t="inlineStr">
        <is>
          <t>Итого</t>
        </is>
      </c>
      <c r="P216" s="392" t="n"/>
      <c r="Q216" s="392" t="n"/>
      <c r="R216" s="392" t="n"/>
      <c r="S216" s="392" t="n"/>
      <c r="T216" s="392" t="n"/>
      <c r="U216" s="393" t="n"/>
      <c r="V216" s="37" t="inlineStr">
        <is>
          <t>кор</t>
        </is>
      </c>
      <c r="W216" s="755">
        <f>IFERROR(W210/H210,"0")+IFERROR(W211/H211,"0")+IFERROR(W212/H212,"0")+IFERROR(W213/H213,"0")+IFERROR(W214/H214,"0")+IFERROR(W215/H215,"0")</f>
        <v/>
      </c>
      <c r="X216" s="755">
        <f>IFERROR(X210/H210,"0")+IFERROR(X211/H211,"0")+IFERROR(X212/H212,"0")+IFERROR(X213/H213,"0")+IFERROR(X214/H214,"0")+IFERROR(X215/H215,"0")</f>
        <v/>
      </c>
      <c r="Y216" s="755">
        <f>IFERROR(IF(Y210="",0,Y210),"0")+IFERROR(IF(Y211="",0,Y211),"0")+IFERROR(IF(Y212="",0,Y212),"0")+IFERROR(IF(Y213="",0,Y213),"0")+IFERROR(IF(Y214="",0,Y214),"0")+IFERROR(IF(Y215="",0,Y215),"0")</f>
        <v/>
      </c>
      <c r="Z216" s="756" t="n"/>
      <c r="AA216" s="756" t="n"/>
    </row>
    <row r="217">
      <c r="A217" s="376" t="n"/>
      <c r="B217" s="376" t="n"/>
      <c r="C217" s="376" t="n"/>
      <c r="D217" s="376" t="n"/>
      <c r="E217" s="376" t="n"/>
      <c r="F217" s="376" t="n"/>
      <c r="G217" s="376" t="n"/>
      <c r="H217" s="376" t="n"/>
      <c r="I217" s="376" t="n"/>
      <c r="J217" s="376" t="n"/>
      <c r="K217" s="376" t="n"/>
      <c r="L217" s="376" t="n"/>
      <c r="M217" s="376" t="n"/>
      <c r="N217" s="397" t="n"/>
      <c r="O217" s="391" t="inlineStr">
        <is>
          <t>Итого</t>
        </is>
      </c>
      <c r="P217" s="392" t="n"/>
      <c r="Q217" s="392" t="n"/>
      <c r="R217" s="392" t="n"/>
      <c r="S217" s="392" t="n"/>
      <c r="T217" s="392" t="n"/>
      <c r="U217" s="393" t="n"/>
      <c r="V217" s="37" t="inlineStr">
        <is>
          <t>кг</t>
        </is>
      </c>
      <c r="W217" s="755">
        <f>IFERROR(SUM(W210:W215),"0")</f>
        <v/>
      </c>
      <c r="X217" s="755">
        <f>IFERROR(SUM(X210:X215),"0")</f>
        <v/>
      </c>
      <c r="Y217" s="37" t="n"/>
      <c r="Z217" s="756" t="n"/>
      <c r="AA217" s="756" t="n"/>
    </row>
    <row r="218" ht="14.25" customHeight="1">
      <c r="A218" s="375" t="inlineStr">
        <is>
          <t>Копченые колбасы</t>
        </is>
      </c>
      <c r="B218" s="376" t="n"/>
      <c r="C218" s="376" t="n"/>
      <c r="D218" s="376" t="n"/>
      <c r="E218" s="376" t="n"/>
      <c r="F218" s="376" t="n"/>
      <c r="G218" s="376" t="n"/>
      <c r="H218" s="376" t="n"/>
      <c r="I218" s="376" t="n"/>
      <c r="J218" s="376" t="n"/>
      <c r="K218" s="376" t="n"/>
      <c r="L218" s="376" t="n"/>
      <c r="M218" s="376" t="n"/>
      <c r="N218" s="376" t="n"/>
      <c r="O218" s="376" t="n"/>
      <c r="P218" s="376" t="n"/>
      <c r="Q218" s="376" t="n"/>
      <c r="R218" s="376" t="n"/>
      <c r="S218" s="376" t="n"/>
      <c r="T218" s="376" t="n"/>
      <c r="U218" s="376" t="n"/>
      <c r="V218" s="376" t="n"/>
      <c r="W218" s="376" t="n"/>
      <c r="X218" s="376" t="n"/>
      <c r="Y218" s="376" t="n"/>
      <c r="Z218" s="375" t="n"/>
      <c r="AA218" s="375" t="n"/>
    </row>
    <row r="219" ht="27" customHeight="1">
      <c r="A219" s="54" t="inlineStr">
        <is>
          <t>SU002617</t>
        </is>
      </c>
      <c r="B219" s="54" t="inlineStr">
        <is>
          <t>P002951</t>
        </is>
      </c>
      <c r="C219" s="31" t="n">
        <v>4301031151</v>
      </c>
      <c r="D219" s="369" t="n">
        <v>4607091389845</v>
      </c>
      <c r="E219" s="370" t="n"/>
      <c r="F219" s="752" t="n">
        <v>0.35</v>
      </c>
      <c r="G219" s="32" t="n">
        <v>6</v>
      </c>
      <c r="H219" s="752" t="n">
        <v>2.1</v>
      </c>
      <c r="I219" s="752" t="n">
        <v>2.2</v>
      </c>
      <c r="J219" s="32" t="n">
        <v>234</v>
      </c>
      <c r="K219" s="32" t="inlineStr">
        <is>
          <t>18</t>
        </is>
      </c>
      <c r="L219" s="33" t="inlineStr">
        <is>
          <t>СК2</t>
        </is>
      </c>
      <c r="M219" s="33" t="n"/>
      <c r="N219" s="32" t="n">
        <v>40</v>
      </c>
      <c r="O219" s="51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9" s="372" t="n"/>
      <c r="Q219" s="372" t="n"/>
      <c r="R219" s="372" t="n"/>
      <c r="S219" s="370" t="n"/>
      <c r="T219" s="34" t="n"/>
      <c r="U219" s="34" t="n"/>
      <c r="V219" s="35" t="inlineStr">
        <is>
          <t>кг</t>
        </is>
      </c>
      <c r="W219" s="753" t="n">
        <v>0</v>
      </c>
      <c r="X219" s="754">
        <f>IFERROR(IF(W219="",0,CEILING((W219/$H219),1)*$H219),"")</f>
        <v/>
      </c>
      <c r="Y219" s="36">
        <f>IFERROR(IF(X219=0,"",ROUNDUP(X219/H219,0)*0.00502),"")</f>
        <v/>
      </c>
      <c r="Z219" s="56" t="n"/>
      <c r="AA219" s="57" t="n"/>
      <c r="AE219" s="58" t="n"/>
      <c r="BB219" s="189" t="inlineStr">
        <is>
          <t>КИ</t>
        </is>
      </c>
    </row>
    <row r="220" ht="27" customHeight="1">
      <c r="A220" s="54" t="inlineStr">
        <is>
          <t>SU003084</t>
        </is>
      </c>
      <c r="B220" s="54" t="inlineStr">
        <is>
          <t>P003649</t>
        </is>
      </c>
      <c r="C220" s="31" t="n">
        <v>4301031259</v>
      </c>
      <c r="D220" s="369" t="n">
        <v>4680115882881</v>
      </c>
      <c r="E220" s="370" t="n"/>
      <c r="F220" s="752" t="n">
        <v>0.28</v>
      </c>
      <c r="G220" s="32" t="n">
        <v>6</v>
      </c>
      <c r="H220" s="752" t="n">
        <v>1.68</v>
      </c>
      <c r="I220" s="752" t="n">
        <v>1.81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3" t="n"/>
      <c r="N220" s="32" t="n">
        <v>40</v>
      </c>
      <c r="O220" s="415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0" s="372" t="n"/>
      <c r="Q220" s="372" t="n"/>
      <c r="R220" s="372" t="n"/>
      <c r="S220" s="370" t="n"/>
      <c r="T220" s="34" t="n"/>
      <c r="U220" s="34" t="n"/>
      <c r="V220" s="35" t="inlineStr">
        <is>
          <t>кг</t>
        </is>
      </c>
      <c r="W220" s="753" t="n">
        <v>0</v>
      </c>
      <c r="X220" s="754">
        <f>IFERROR(IF(W220="",0,CEILING((W220/$H220),1)*$H220),"")</f>
        <v/>
      </c>
      <c r="Y220" s="36">
        <f>IFERROR(IF(X220=0,"",ROUNDUP(X220/H220,0)*0.00502),"")</f>
        <v/>
      </c>
      <c r="Z220" s="56" t="n"/>
      <c r="AA220" s="57" t="n"/>
      <c r="AE220" s="58" t="n"/>
      <c r="BB220" s="190" t="inlineStr">
        <is>
          <t>КИ</t>
        </is>
      </c>
    </row>
    <row r="221">
      <c r="A221" s="396" t="n"/>
      <c r="B221" s="376" t="n"/>
      <c r="C221" s="376" t="n"/>
      <c r="D221" s="376" t="n"/>
      <c r="E221" s="376" t="n"/>
      <c r="F221" s="376" t="n"/>
      <c r="G221" s="376" t="n"/>
      <c r="H221" s="376" t="n"/>
      <c r="I221" s="376" t="n"/>
      <c r="J221" s="376" t="n"/>
      <c r="K221" s="376" t="n"/>
      <c r="L221" s="376" t="n"/>
      <c r="M221" s="376" t="n"/>
      <c r="N221" s="397" t="n"/>
      <c r="O221" s="391" t="inlineStr">
        <is>
          <t>Итого</t>
        </is>
      </c>
      <c r="P221" s="392" t="n"/>
      <c r="Q221" s="392" t="n"/>
      <c r="R221" s="392" t="n"/>
      <c r="S221" s="392" t="n"/>
      <c r="T221" s="392" t="n"/>
      <c r="U221" s="393" t="n"/>
      <c r="V221" s="37" t="inlineStr">
        <is>
          <t>кор</t>
        </is>
      </c>
      <c r="W221" s="755">
        <f>IFERROR(W219/H219,"0")+IFERROR(W220/H220,"0")</f>
        <v/>
      </c>
      <c r="X221" s="755">
        <f>IFERROR(X219/H219,"0")+IFERROR(X220/H220,"0")</f>
        <v/>
      </c>
      <c r="Y221" s="755">
        <f>IFERROR(IF(Y219="",0,Y219),"0")+IFERROR(IF(Y220="",0,Y220),"0")</f>
        <v/>
      </c>
      <c r="Z221" s="756" t="n"/>
      <c r="AA221" s="756" t="n"/>
    </row>
    <row r="222">
      <c r="A222" s="376" t="n"/>
      <c r="B222" s="376" t="n"/>
      <c r="C222" s="376" t="n"/>
      <c r="D222" s="376" t="n"/>
      <c r="E222" s="376" t="n"/>
      <c r="F222" s="376" t="n"/>
      <c r="G222" s="376" t="n"/>
      <c r="H222" s="376" t="n"/>
      <c r="I222" s="376" t="n"/>
      <c r="J222" s="376" t="n"/>
      <c r="K222" s="376" t="n"/>
      <c r="L222" s="376" t="n"/>
      <c r="M222" s="376" t="n"/>
      <c r="N222" s="397" t="n"/>
      <c r="O222" s="391" t="inlineStr">
        <is>
          <t>Итого</t>
        </is>
      </c>
      <c r="P222" s="392" t="n"/>
      <c r="Q222" s="392" t="n"/>
      <c r="R222" s="392" t="n"/>
      <c r="S222" s="392" t="n"/>
      <c r="T222" s="392" t="n"/>
      <c r="U222" s="393" t="n"/>
      <c r="V222" s="37" t="inlineStr">
        <is>
          <t>кг</t>
        </is>
      </c>
      <c r="W222" s="755">
        <f>IFERROR(SUM(W219:W220),"0")</f>
        <v/>
      </c>
      <c r="X222" s="755">
        <f>IFERROR(SUM(X219:X220),"0")</f>
        <v/>
      </c>
      <c r="Y222" s="37" t="n"/>
      <c r="Z222" s="756" t="n"/>
      <c r="AA222" s="756" t="n"/>
    </row>
    <row r="223" ht="16.5" customHeight="1">
      <c r="A223" s="378" t="inlineStr">
        <is>
          <t>Стародворская</t>
        </is>
      </c>
      <c r="B223" s="376" t="n"/>
      <c r="C223" s="376" t="n"/>
      <c r="D223" s="376" t="n"/>
      <c r="E223" s="376" t="n"/>
      <c r="F223" s="376" t="n"/>
      <c r="G223" s="376" t="n"/>
      <c r="H223" s="376" t="n"/>
      <c r="I223" s="376" t="n"/>
      <c r="J223" s="376" t="n"/>
      <c r="K223" s="376" t="n"/>
      <c r="L223" s="376" t="n"/>
      <c r="M223" s="376" t="n"/>
      <c r="N223" s="376" t="n"/>
      <c r="O223" s="376" t="n"/>
      <c r="P223" s="376" t="n"/>
      <c r="Q223" s="376" t="n"/>
      <c r="R223" s="376" t="n"/>
      <c r="S223" s="376" t="n"/>
      <c r="T223" s="376" t="n"/>
      <c r="U223" s="376" t="n"/>
      <c r="V223" s="376" t="n"/>
      <c r="W223" s="376" t="n"/>
      <c r="X223" s="376" t="n"/>
      <c r="Y223" s="376" t="n"/>
      <c r="Z223" s="378" t="n"/>
      <c r="AA223" s="378" t="n"/>
    </row>
    <row r="224" ht="14.25" customHeight="1">
      <c r="A224" s="375" t="inlineStr">
        <is>
          <t>Вареные колбасы</t>
        </is>
      </c>
      <c r="B224" s="376" t="n"/>
      <c r="C224" s="376" t="n"/>
      <c r="D224" s="376" t="n"/>
      <c r="E224" s="376" t="n"/>
      <c r="F224" s="376" t="n"/>
      <c r="G224" s="376" t="n"/>
      <c r="H224" s="376" t="n"/>
      <c r="I224" s="376" t="n"/>
      <c r="J224" s="376" t="n"/>
      <c r="K224" s="376" t="n"/>
      <c r="L224" s="376" t="n"/>
      <c r="M224" s="376" t="n"/>
      <c r="N224" s="376" t="n"/>
      <c r="O224" s="376" t="n"/>
      <c r="P224" s="376" t="n"/>
      <c r="Q224" s="376" t="n"/>
      <c r="R224" s="376" t="n"/>
      <c r="S224" s="376" t="n"/>
      <c r="T224" s="376" t="n"/>
      <c r="U224" s="376" t="n"/>
      <c r="V224" s="376" t="n"/>
      <c r="W224" s="376" t="n"/>
      <c r="X224" s="376" t="n"/>
      <c r="Y224" s="376" t="n"/>
      <c r="Z224" s="375" t="n"/>
      <c r="AA224" s="375" t="n"/>
    </row>
    <row r="225" ht="27" customHeight="1">
      <c r="A225" s="54" t="inlineStr">
        <is>
          <t>SU003273</t>
        </is>
      </c>
      <c r="B225" s="54" t="inlineStr">
        <is>
          <t>P004070</t>
        </is>
      </c>
      <c r="C225" s="31" t="n">
        <v>4301011826</v>
      </c>
      <c r="D225" s="369" t="n">
        <v>4680115884137</v>
      </c>
      <c r="E225" s="370" t="n"/>
      <c r="F225" s="752" t="n">
        <v>1.45</v>
      </c>
      <c r="G225" s="32" t="n">
        <v>8</v>
      </c>
      <c r="H225" s="752" t="n">
        <v>11.6</v>
      </c>
      <c r="I225" s="752" t="n">
        <v>12.08</v>
      </c>
      <c r="J225" s="32" t="n">
        <v>56</v>
      </c>
      <c r="K225" s="32" t="inlineStr">
        <is>
          <t>8</t>
        </is>
      </c>
      <c r="L225" s="33" t="inlineStr">
        <is>
          <t>СК1</t>
        </is>
      </c>
      <c r="M225" s="33" t="n"/>
      <c r="N225" s="32" t="n">
        <v>55</v>
      </c>
      <c r="O225" s="64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5" s="372" t="n"/>
      <c r="Q225" s="372" t="n"/>
      <c r="R225" s="372" t="n"/>
      <c r="S225" s="370" t="n"/>
      <c r="T225" s="34" t="n"/>
      <c r="U225" s="34" t="n"/>
      <c r="V225" s="35" t="inlineStr">
        <is>
          <t>кг</t>
        </is>
      </c>
      <c r="W225" s="753" t="n">
        <v>0</v>
      </c>
      <c r="X225" s="754">
        <f>IFERROR(IF(W225="",0,CEILING((W225/$H225),1)*$H225),"")</f>
        <v/>
      </c>
      <c r="Y225" s="36">
        <f>IFERROR(IF(X225=0,"",ROUNDUP(X225/H225,0)*0.02175),"")</f>
        <v/>
      </c>
      <c r="Z225" s="56" t="n"/>
      <c r="AA225" s="57" t="n"/>
      <c r="AE225" s="58" t="n"/>
      <c r="BB225" s="191" t="inlineStr">
        <is>
          <t>КИ</t>
        </is>
      </c>
    </row>
    <row r="226" ht="27" customHeight="1">
      <c r="A226" s="54" t="inlineStr">
        <is>
          <t>SU003275</t>
        </is>
      </c>
      <c r="B226" s="54" t="inlineStr">
        <is>
          <t>P003950</t>
        </is>
      </c>
      <c r="C226" s="31" t="n">
        <v>4301011724</v>
      </c>
      <c r="D226" s="369" t="n">
        <v>4680115884236</v>
      </c>
      <c r="E226" s="370" t="n"/>
      <c r="F226" s="752" t="n">
        <v>1.45</v>
      </c>
      <c r="G226" s="32" t="n">
        <v>8</v>
      </c>
      <c r="H226" s="752" t="n">
        <v>11.6</v>
      </c>
      <c r="I226" s="752" t="n">
        <v>12.08</v>
      </c>
      <c r="J226" s="32" t="n">
        <v>56</v>
      </c>
      <c r="K226" s="32" t="inlineStr">
        <is>
          <t>8</t>
        </is>
      </c>
      <c r="L226" s="33" t="inlineStr">
        <is>
          <t>СК1</t>
        </is>
      </c>
      <c r="M226" s="33" t="n"/>
      <c r="N226" s="32" t="n">
        <v>55</v>
      </c>
      <c r="O226" s="679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6" s="372" t="n"/>
      <c r="Q226" s="372" t="n"/>
      <c r="R226" s="372" t="n"/>
      <c r="S226" s="370" t="n"/>
      <c r="T226" s="34" t="n"/>
      <c r="U226" s="34" t="n"/>
      <c r="V226" s="35" t="inlineStr">
        <is>
          <t>кг</t>
        </is>
      </c>
      <c r="W226" s="753" t="n">
        <v>0</v>
      </c>
      <c r="X226" s="754">
        <f>IFERROR(IF(W226="",0,CEILING((W226/$H226),1)*$H226),"")</f>
        <v/>
      </c>
      <c r="Y226" s="36">
        <f>IFERROR(IF(X226=0,"",ROUNDUP(X226/H226,0)*0.02175),"")</f>
        <v/>
      </c>
      <c r="Z226" s="56" t="n"/>
      <c r="AA226" s="57" t="n"/>
      <c r="AE226" s="58" t="n"/>
      <c r="BB226" s="192" t="inlineStr">
        <is>
          <t>КИ</t>
        </is>
      </c>
    </row>
    <row r="227" ht="27" customHeight="1">
      <c r="A227" s="54" t="inlineStr">
        <is>
          <t>SU003271</t>
        </is>
      </c>
      <c r="B227" s="54" t="inlineStr">
        <is>
          <t>P003945</t>
        </is>
      </c>
      <c r="C227" s="31" t="n">
        <v>4301011721</v>
      </c>
      <c r="D227" s="369" t="n">
        <v>4680115884175</v>
      </c>
      <c r="E227" s="370" t="n"/>
      <c r="F227" s="752" t="n">
        <v>1.45</v>
      </c>
      <c r="G227" s="32" t="n">
        <v>8</v>
      </c>
      <c r="H227" s="752" t="n">
        <v>11.6</v>
      </c>
      <c r="I227" s="752" t="n">
        <v>12.08</v>
      </c>
      <c r="J227" s="32" t="n">
        <v>56</v>
      </c>
      <c r="K227" s="32" t="inlineStr">
        <is>
          <t>8</t>
        </is>
      </c>
      <c r="L227" s="33" t="inlineStr">
        <is>
          <t>СК1</t>
        </is>
      </c>
      <c r="M227" s="33" t="n"/>
      <c r="N227" s="32" t="n">
        <v>55</v>
      </c>
      <c r="O227" s="65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7" s="372" t="n"/>
      <c r="Q227" s="372" t="n"/>
      <c r="R227" s="372" t="n"/>
      <c r="S227" s="370" t="n"/>
      <c r="T227" s="34" t="n"/>
      <c r="U227" s="34" t="n"/>
      <c r="V227" s="35" t="inlineStr">
        <is>
          <t>кг</t>
        </is>
      </c>
      <c r="W227" s="753" t="n">
        <v>0</v>
      </c>
      <c r="X227" s="754">
        <f>IFERROR(IF(W227="",0,CEILING((W227/$H227),1)*$H227),"")</f>
        <v/>
      </c>
      <c r="Y227" s="36">
        <f>IFERROR(IF(X227=0,"",ROUNDUP(X227/H227,0)*0.02175),"")</f>
        <v/>
      </c>
      <c r="Z227" s="56" t="n"/>
      <c r="AA227" s="57" t="n"/>
      <c r="AE227" s="58" t="n"/>
      <c r="BB227" s="193" t="inlineStr">
        <is>
          <t>КИ</t>
        </is>
      </c>
    </row>
    <row r="228" ht="27" customHeight="1">
      <c r="A228" s="54" t="inlineStr">
        <is>
          <t>SU003274</t>
        </is>
      </c>
      <c r="B228" s="54" t="inlineStr">
        <is>
          <t>P004067</t>
        </is>
      </c>
      <c r="C228" s="31" t="n">
        <v>4301011824</v>
      </c>
      <c r="D228" s="369" t="n">
        <v>4680115884144</v>
      </c>
      <c r="E228" s="370" t="n"/>
      <c r="F228" s="752" t="n">
        <v>0.4</v>
      </c>
      <c r="G228" s="32" t="n">
        <v>10</v>
      </c>
      <c r="H228" s="752" t="n">
        <v>4</v>
      </c>
      <c r="I228" s="752" t="n">
        <v>4.24</v>
      </c>
      <c r="J228" s="32" t="n">
        <v>120</v>
      </c>
      <c r="K228" s="32" t="inlineStr">
        <is>
          <t>12</t>
        </is>
      </c>
      <c r="L228" s="33" t="inlineStr">
        <is>
          <t>СК1</t>
        </is>
      </c>
      <c r="M228" s="33" t="n"/>
      <c r="N228" s="32" t="n">
        <v>55</v>
      </c>
      <c r="O228" s="68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8" s="372" t="n"/>
      <c r="Q228" s="372" t="n"/>
      <c r="R228" s="372" t="n"/>
      <c r="S228" s="370" t="n"/>
      <c r="T228" s="34" t="n"/>
      <c r="U228" s="34" t="n"/>
      <c r="V228" s="35" t="inlineStr">
        <is>
          <t>кг</t>
        </is>
      </c>
      <c r="W228" s="753" t="n">
        <v>0</v>
      </c>
      <c r="X228" s="754">
        <f>IFERROR(IF(W228="",0,CEILING((W228/$H228),1)*$H228),"")</f>
        <v/>
      </c>
      <c r="Y228" s="36">
        <f>IFERROR(IF(X228=0,"",ROUNDUP(X228/H228,0)*0.00937),"")</f>
        <v/>
      </c>
      <c r="Z228" s="56" t="n"/>
      <c r="AA228" s="57" t="n"/>
      <c r="AE228" s="58" t="n"/>
      <c r="BB228" s="194" t="inlineStr">
        <is>
          <t>КИ</t>
        </is>
      </c>
    </row>
    <row r="229" ht="27" customHeight="1">
      <c r="A229" s="54" t="inlineStr">
        <is>
          <t>SU003276</t>
        </is>
      </c>
      <c r="B229" s="54" t="inlineStr">
        <is>
          <t>P003956</t>
        </is>
      </c>
      <c r="C229" s="31" t="n">
        <v>4301011726</v>
      </c>
      <c r="D229" s="369" t="n">
        <v>4680115884182</v>
      </c>
      <c r="E229" s="370" t="n"/>
      <c r="F229" s="752" t="n">
        <v>0.37</v>
      </c>
      <c r="G229" s="32" t="n">
        <v>10</v>
      </c>
      <c r="H229" s="752" t="n">
        <v>3.7</v>
      </c>
      <c r="I229" s="752" t="n">
        <v>3.94</v>
      </c>
      <c r="J229" s="32" t="n">
        <v>120</v>
      </c>
      <c r="K229" s="32" t="inlineStr">
        <is>
          <t>12</t>
        </is>
      </c>
      <c r="L229" s="33" t="inlineStr">
        <is>
          <t>СК1</t>
        </is>
      </c>
      <c r="M229" s="33" t="n"/>
      <c r="N229" s="32" t="n">
        <v>55</v>
      </c>
      <c r="O229" s="501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9" s="372" t="n"/>
      <c r="Q229" s="372" t="n"/>
      <c r="R229" s="372" t="n"/>
      <c r="S229" s="370" t="n"/>
      <c r="T229" s="34" t="n"/>
      <c r="U229" s="34" t="n"/>
      <c r="V229" s="35" t="inlineStr">
        <is>
          <t>кг</t>
        </is>
      </c>
      <c r="W229" s="753" t="n">
        <v>0</v>
      </c>
      <c r="X229" s="754">
        <f>IFERROR(IF(W229="",0,CEILING((W229/$H229),1)*$H229),"")</f>
        <v/>
      </c>
      <c r="Y229" s="36">
        <f>IFERROR(IF(X229=0,"",ROUNDUP(X229/H229,0)*0.00937),"")</f>
        <v/>
      </c>
      <c r="Z229" s="56" t="n"/>
      <c r="AA229" s="57" t="n"/>
      <c r="AE229" s="58" t="n"/>
      <c r="BB229" s="195" t="inlineStr">
        <is>
          <t>КИ</t>
        </is>
      </c>
    </row>
    <row r="230" ht="27" customHeight="1">
      <c r="A230" s="54" t="inlineStr">
        <is>
          <t>SU003272</t>
        </is>
      </c>
      <c r="B230" s="54" t="inlineStr">
        <is>
          <t>P003947</t>
        </is>
      </c>
      <c r="C230" s="31" t="n">
        <v>4301011722</v>
      </c>
      <c r="D230" s="369" t="n">
        <v>4680115884205</v>
      </c>
      <c r="E230" s="370" t="n"/>
      <c r="F230" s="752" t="n">
        <v>0.4</v>
      </c>
      <c r="G230" s="32" t="n">
        <v>10</v>
      </c>
      <c r="H230" s="752" t="n">
        <v>4</v>
      </c>
      <c r="I230" s="752" t="n">
        <v>4.24</v>
      </c>
      <c r="J230" s="32" t="n">
        <v>120</v>
      </c>
      <c r="K230" s="32" t="inlineStr">
        <is>
          <t>12</t>
        </is>
      </c>
      <c r="L230" s="33" t="inlineStr">
        <is>
          <t>СК1</t>
        </is>
      </c>
      <c r="M230" s="33" t="n"/>
      <c r="N230" s="32" t="n">
        <v>55</v>
      </c>
      <c r="O230" s="536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0" s="372" t="n"/>
      <c r="Q230" s="372" t="n"/>
      <c r="R230" s="372" t="n"/>
      <c r="S230" s="370" t="n"/>
      <c r="T230" s="34" t="n"/>
      <c r="U230" s="34" t="n"/>
      <c r="V230" s="35" t="inlineStr">
        <is>
          <t>кг</t>
        </is>
      </c>
      <c r="W230" s="753" t="n">
        <v>0</v>
      </c>
      <c r="X230" s="754">
        <f>IFERROR(IF(W230="",0,CEILING((W230/$H230),1)*$H230),"")</f>
        <v/>
      </c>
      <c r="Y230" s="36">
        <f>IFERROR(IF(X230=0,"",ROUNDUP(X230/H230,0)*0.00937),"")</f>
        <v/>
      </c>
      <c r="Z230" s="56" t="n"/>
      <c r="AA230" s="57" t="n"/>
      <c r="AE230" s="58" t="n"/>
      <c r="BB230" s="196" t="inlineStr">
        <is>
          <t>КИ</t>
        </is>
      </c>
    </row>
    <row r="231">
      <c r="A231" s="396" t="n"/>
      <c r="B231" s="376" t="n"/>
      <c r="C231" s="376" t="n"/>
      <c r="D231" s="376" t="n"/>
      <c r="E231" s="376" t="n"/>
      <c r="F231" s="376" t="n"/>
      <c r="G231" s="376" t="n"/>
      <c r="H231" s="376" t="n"/>
      <c r="I231" s="376" t="n"/>
      <c r="J231" s="376" t="n"/>
      <c r="K231" s="376" t="n"/>
      <c r="L231" s="376" t="n"/>
      <c r="M231" s="376" t="n"/>
      <c r="N231" s="397" t="n"/>
      <c r="O231" s="391" t="inlineStr">
        <is>
          <t>Итого</t>
        </is>
      </c>
      <c r="P231" s="392" t="n"/>
      <c r="Q231" s="392" t="n"/>
      <c r="R231" s="392" t="n"/>
      <c r="S231" s="392" t="n"/>
      <c r="T231" s="392" t="n"/>
      <c r="U231" s="393" t="n"/>
      <c r="V231" s="37" t="inlineStr">
        <is>
          <t>кор</t>
        </is>
      </c>
      <c r="W231" s="755">
        <f>IFERROR(W225/H225,"0")+IFERROR(W226/H226,"0")+IFERROR(W227/H227,"0")+IFERROR(W228/H228,"0")+IFERROR(W229/H229,"0")+IFERROR(W230/H230,"0")</f>
        <v/>
      </c>
      <c r="X231" s="755">
        <f>IFERROR(X225/H225,"0")+IFERROR(X226/H226,"0")+IFERROR(X227/H227,"0")+IFERROR(X228/H228,"0")+IFERROR(X229/H229,"0")+IFERROR(X230/H230,"0")</f>
        <v/>
      </c>
      <c r="Y231" s="755">
        <f>IFERROR(IF(Y225="",0,Y225),"0")+IFERROR(IF(Y226="",0,Y226),"0")+IFERROR(IF(Y227="",0,Y227),"0")+IFERROR(IF(Y228="",0,Y228),"0")+IFERROR(IF(Y229="",0,Y229),"0")+IFERROR(IF(Y230="",0,Y230),"0")</f>
        <v/>
      </c>
      <c r="Z231" s="756" t="n"/>
      <c r="AA231" s="756" t="n"/>
    </row>
    <row r="232">
      <c r="A232" s="376" t="n"/>
      <c r="B232" s="376" t="n"/>
      <c r="C232" s="376" t="n"/>
      <c r="D232" s="376" t="n"/>
      <c r="E232" s="376" t="n"/>
      <c r="F232" s="376" t="n"/>
      <c r="G232" s="376" t="n"/>
      <c r="H232" s="376" t="n"/>
      <c r="I232" s="376" t="n"/>
      <c r="J232" s="376" t="n"/>
      <c r="K232" s="376" t="n"/>
      <c r="L232" s="376" t="n"/>
      <c r="M232" s="376" t="n"/>
      <c r="N232" s="397" t="n"/>
      <c r="O232" s="391" t="inlineStr">
        <is>
          <t>Итого</t>
        </is>
      </c>
      <c r="P232" s="392" t="n"/>
      <c r="Q232" s="392" t="n"/>
      <c r="R232" s="392" t="n"/>
      <c r="S232" s="392" t="n"/>
      <c r="T232" s="392" t="n"/>
      <c r="U232" s="393" t="n"/>
      <c r="V232" s="37" t="inlineStr">
        <is>
          <t>кг</t>
        </is>
      </c>
      <c r="W232" s="755">
        <f>IFERROR(SUM(W225:W230),"0")</f>
        <v/>
      </c>
      <c r="X232" s="755">
        <f>IFERROR(SUM(X225:X230),"0")</f>
        <v/>
      </c>
      <c r="Y232" s="37" t="n"/>
      <c r="Z232" s="756" t="n"/>
      <c r="AA232" s="756" t="n"/>
    </row>
    <row r="233" ht="16.5" customHeight="1">
      <c r="A233" s="378" t="inlineStr">
        <is>
          <t>Бордо</t>
        </is>
      </c>
      <c r="B233" s="376" t="n"/>
      <c r="C233" s="376" t="n"/>
      <c r="D233" s="376" t="n"/>
      <c r="E233" s="376" t="n"/>
      <c r="F233" s="376" t="n"/>
      <c r="G233" s="376" t="n"/>
      <c r="H233" s="376" t="n"/>
      <c r="I233" s="376" t="n"/>
      <c r="J233" s="376" t="n"/>
      <c r="K233" s="376" t="n"/>
      <c r="L233" s="376" t="n"/>
      <c r="M233" s="376" t="n"/>
      <c r="N233" s="376" t="n"/>
      <c r="O233" s="376" t="n"/>
      <c r="P233" s="376" t="n"/>
      <c r="Q233" s="376" t="n"/>
      <c r="R233" s="376" t="n"/>
      <c r="S233" s="376" t="n"/>
      <c r="T233" s="376" t="n"/>
      <c r="U233" s="376" t="n"/>
      <c r="V233" s="376" t="n"/>
      <c r="W233" s="376" t="n"/>
      <c r="X233" s="376" t="n"/>
      <c r="Y233" s="376" t="n"/>
      <c r="Z233" s="378" t="n"/>
      <c r="AA233" s="378" t="n"/>
    </row>
    <row r="234" ht="14.25" customHeight="1">
      <c r="A234" s="375" t="inlineStr">
        <is>
          <t>Вареные колбасы</t>
        </is>
      </c>
      <c r="B234" s="376" t="n"/>
      <c r="C234" s="376" t="n"/>
      <c r="D234" s="376" t="n"/>
      <c r="E234" s="376" t="n"/>
      <c r="F234" s="376" t="n"/>
      <c r="G234" s="376" t="n"/>
      <c r="H234" s="376" t="n"/>
      <c r="I234" s="376" t="n"/>
      <c r="J234" s="376" t="n"/>
      <c r="K234" s="376" t="n"/>
      <c r="L234" s="376" t="n"/>
      <c r="M234" s="376" t="n"/>
      <c r="N234" s="376" t="n"/>
      <c r="O234" s="376" t="n"/>
      <c r="P234" s="376" t="n"/>
      <c r="Q234" s="376" t="n"/>
      <c r="R234" s="376" t="n"/>
      <c r="S234" s="376" t="n"/>
      <c r="T234" s="376" t="n"/>
      <c r="U234" s="376" t="n"/>
      <c r="V234" s="376" t="n"/>
      <c r="W234" s="376" t="n"/>
      <c r="X234" s="376" t="n"/>
      <c r="Y234" s="376" t="n"/>
      <c r="Z234" s="375" t="n"/>
      <c r="AA234" s="375" t="n"/>
    </row>
    <row r="235" ht="27" customHeight="1">
      <c r="A235" s="54" t="inlineStr">
        <is>
          <t>SU000057</t>
        </is>
      </c>
      <c r="B235" s="54" t="inlineStr">
        <is>
          <t>P002047</t>
        </is>
      </c>
      <c r="C235" s="31" t="n">
        <v>4301011346</v>
      </c>
      <c r="D235" s="369" t="n">
        <v>4607091387445</v>
      </c>
      <c r="E235" s="370" t="n"/>
      <c r="F235" s="752" t="n">
        <v>0.9</v>
      </c>
      <c r="G235" s="32" t="n">
        <v>10</v>
      </c>
      <c r="H235" s="752" t="n">
        <v>9</v>
      </c>
      <c r="I235" s="752" t="n">
        <v>9.630000000000001</v>
      </c>
      <c r="J235" s="32" t="n">
        <v>56</v>
      </c>
      <c r="K235" s="32" t="inlineStr">
        <is>
          <t>8</t>
        </is>
      </c>
      <c r="L235" s="33" t="inlineStr">
        <is>
          <t>СК1</t>
        </is>
      </c>
      <c r="M235" s="33" t="n"/>
      <c r="N235" s="32" t="n">
        <v>31</v>
      </c>
      <c r="O235" s="55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5" s="372" t="n"/>
      <c r="Q235" s="372" t="n"/>
      <c r="R235" s="372" t="n"/>
      <c r="S235" s="370" t="n"/>
      <c r="T235" s="34" t="n"/>
      <c r="U235" s="34" t="n"/>
      <c r="V235" s="35" t="inlineStr">
        <is>
          <t>кг</t>
        </is>
      </c>
      <c r="W235" s="753" t="n">
        <v>0</v>
      </c>
      <c r="X235" s="754">
        <f>IFERROR(IF(W235="",0,CEILING((W235/$H235),1)*$H235),"")</f>
        <v/>
      </c>
      <c r="Y235" s="36">
        <f>IFERROR(IF(X235=0,"",ROUNDUP(X235/H235,0)*0.02175),"")</f>
        <v/>
      </c>
      <c r="Z235" s="56" t="n"/>
      <c r="AA235" s="57" t="n"/>
      <c r="AE235" s="58" t="n"/>
      <c r="BB235" s="197" t="inlineStr">
        <is>
          <t>КИ</t>
        </is>
      </c>
    </row>
    <row r="236" ht="27" customHeight="1">
      <c r="A236" s="54" t="inlineStr">
        <is>
          <t>SU001777</t>
        </is>
      </c>
      <c r="B236" s="54" t="inlineStr">
        <is>
          <t>P001777</t>
        </is>
      </c>
      <c r="C236" s="31" t="n">
        <v>4301011308</v>
      </c>
      <c r="D236" s="369" t="n">
        <v>4607091386004</v>
      </c>
      <c r="E236" s="370" t="n"/>
      <c r="F236" s="752" t="n">
        <v>1.35</v>
      </c>
      <c r="G236" s="32" t="n">
        <v>8</v>
      </c>
      <c r="H236" s="752" t="n">
        <v>10.8</v>
      </c>
      <c r="I236" s="752" t="n">
        <v>11.28</v>
      </c>
      <c r="J236" s="32" t="n">
        <v>56</v>
      </c>
      <c r="K236" s="32" t="inlineStr">
        <is>
          <t>8</t>
        </is>
      </c>
      <c r="L236" s="33" t="inlineStr">
        <is>
          <t>СК1</t>
        </is>
      </c>
      <c r="M236" s="33" t="n"/>
      <c r="N236" s="32" t="n">
        <v>55</v>
      </c>
      <c r="O236" s="4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6" s="372" t="n"/>
      <c r="Q236" s="372" t="n"/>
      <c r="R236" s="372" t="n"/>
      <c r="S236" s="370" t="n"/>
      <c r="T236" s="34" t="n"/>
      <c r="U236" s="34" t="n"/>
      <c r="V236" s="35" t="inlineStr">
        <is>
          <t>кг</t>
        </is>
      </c>
      <c r="W236" s="753" t="n">
        <v>0</v>
      </c>
      <c r="X236" s="754">
        <f>IFERROR(IF(W236="",0,CEILING((W236/$H236),1)*$H236),"")</f>
        <v/>
      </c>
      <c r="Y236" s="36">
        <f>IFERROR(IF(X236=0,"",ROUNDUP(X236/H236,0)*0.02175),"")</f>
        <v/>
      </c>
      <c r="Z236" s="56" t="n"/>
      <c r="AA236" s="57" t="n"/>
      <c r="AE236" s="58" t="n"/>
      <c r="BB236" s="198" t="inlineStr">
        <is>
          <t>КИ</t>
        </is>
      </c>
    </row>
    <row r="237" ht="27" customHeight="1">
      <c r="A237" s="54" t="inlineStr">
        <is>
          <t>SU001777</t>
        </is>
      </c>
      <c r="B237" s="54" t="inlineStr">
        <is>
          <t>P002226</t>
        </is>
      </c>
      <c r="C237" s="31" t="n">
        <v>4301011362</v>
      </c>
      <c r="D237" s="369" t="n">
        <v>4607091386004</v>
      </c>
      <c r="E237" s="370" t="n"/>
      <c r="F237" s="752" t="n">
        <v>1.35</v>
      </c>
      <c r="G237" s="32" t="n">
        <v>8</v>
      </c>
      <c r="H237" s="752" t="n">
        <v>10.8</v>
      </c>
      <c r="I237" s="752" t="n">
        <v>11.28</v>
      </c>
      <c r="J237" s="32" t="n">
        <v>48</v>
      </c>
      <c r="K237" s="32" t="inlineStr">
        <is>
          <t>8</t>
        </is>
      </c>
      <c r="L237" s="33" t="inlineStr">
        <is>
          <t>ВЗ</t>
        </is>
      </c>
      <c r="M237" s="33" t="n"/>
      <c r="N237" s="32" t="n">
        <v>55</v>
      </c>
      <c r="O237" s="4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7" s="372" t="n"/>
      <c r="Q237" s="372" t="n"/>
      <c r="R237" s="372" t="n"/>
      <c r="S237" s="370" t="n"/>
      <c r="T237" s="34" t="n"/>
      <c r="U237" s="34" t="n"/>
      <c r="V237" s="35" t="inlineStr">
        <is>
          <t>кг</t>
        </is>
      </c>
      <c r="W237" s="753" t="n">
        <v>0</v>
      </c>
      <c r="X237" s="754">
        <f>IFERROR(IF(W237="",0,CEILING((W237/$H237),1)*$H237),"")</f>
        <v/>
      </c>
      <c r="Y237" s="36">
        <f>IFERROR(IF(X237=0,"",ROUNDUP(X237/H237,0)*0.02039),"")</f>
        <v/>
      </c>
      <c r="Z237" s="56" t="n"/>
      <c r="AA237" s="57" t="n"/>
      <c r="AE237" s="58" t="n"/>
      <c r="BB237" s="199" t="inlineStr">
        <is>
          <t>КИ</t>
        </is>
      </c>
    </row>
    <row r="238" ht="27" customHeight="1">
      <c r="A238" s="54" t="inlineStr">
        <is>
          <t>SU000058</t>
        </is>
      </c>
      <c r="B238" s="54" t="inlineStr">
        <is>
          <t>P002048</t>
        </is>
      </c>
      <c r="C238" s="31" t="n">
        <v>4301011347</v>
      </c>
      <c r="D238" s="369" t="n">
        <v>4607091386073</v>
      </c>
      <c r="E238" s="370" t="n"/>
      <c r="F238" s="752" t="n">
        <v>0.9</v>
      </c>
      <c r="G238" s="32" t="n">
        <v>10</v>
      </c>
      <c r="H238" s="752" t="n">
        <v>9</v>
      </c>
      <c r="I238" s="752" t="n">
        <v>9.630000000000001</v>
      </c>
      <c r="J238" s="32" t="n">
        <v>56</v>
      </c>
      <c r="K238" s="32" t="inlineStr">
        <is>
          <t>8</t>
        </is>
      </c>
      <c r="L238" s="33" t="inlineStr">
        <is>
          <t>СК1</t>
        </is>
      </c>
      <c r="M238" s="33" t="n"/>
      <c r="N238" s="32" t="n">
        <v>31</v>
      </c>
      <c r="O238" s="6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8" s="372" t="n"/>
      <c r="Q238" s="372" t="n"/>
      <c r="R238" s="372" t="n"/>
      <c r="S238" s="370" t="n"/>
      <c r="T238" s="34" t="n"/>
      <c r="U238" s="34" t="n"/>
      <c r="V238" s="35" t="inlineStr">
        <is>
          <t>кг</t>
        </is>
      </c>
      <c r="W238" s="753" t="n">
        <v>0</v>
      </c>
      <c r="X238" s="754">
        <f>IFERROR(IF(W238="",0,CEILING((W238/$H238),1)*$H238),"")</f>
        <v/>
      </c>
      <c r="Y238" s="36">
        <f>IFERROR(IF(X238=0,"",ROUNDUP(X238/H238,0)*0.02175),"")</f>
        <v/>
      </c>
      <c r="Z238" s="56" t="n"/>
      <c r="AA238" s="57" t="n"/>
      <c r="AE238" s="58" t="n"/>
      <c r="BB238" s="200" t="inlineStr">
        <is>
          <t>КИ</t>
        </is>
      </c>
    </row>
    <row r="239" ht="27" customHeight="1">
      <c r="A239" s="54" t="inlineStr">
        <is>
          <t>SU001780</t>
        </is>
      </c>
      <c r="B239" s="54" t="inlineStr">
        <is>
          <t>P001780</t>
        </is>
      </c>
      <c r="C239" s="31" t="n">
        <v>4301010928</v>
      </c>
      <c r="D239" s="369" t="n">
        <v>4607091387322</v>
      </c>
      <c r="E239" s="370" t="n"/>
      <c r="F239" s="752" t="n">
        <v>1.35</v>
      </c>
      <c r="G239" s="32" t="n">
        <v>8</v>
      </c>
      <c r="H239" s="752" t="n">
        <v>10.8</v>
      </c>
      <c r="I239" s="752" t="n">
        <v>11.28</v>
      </c>
      <c r="J239" s="32" t="n">
        <v>56</v>
      </c>
      <c r="K239" s="32" t="inlineStr">
        <is>
          <t>8</t>
        </is>
      </c>
      <c r="L239" s="33" t="inlineStr">
        <is>
          <t>СК1</t>
        </is>
      </c>
      <c r="M239" s="33" t="n"/>
      <c r="N239" s="32" t="n">
        <v>55</v>
      </c>
      <c r="O239" s="5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9" s="372" t="n"/>
      <c r="Q239" s="372" t="n"/>
      <c r="R239" s="372" t="n"/>
      <c r="S239" s="370" t="n"/>
      <c r="T239" s="34" t="n"/>
      <c r="U239" s="34" t="n"/>
      <c r="V239" s="35" t="inlineStr">
        <is>
          <t>кг</t>
        </is>
      </c>
      <c r="W239" s="753" t="n">
        <v>0</v>
      </c>
      <c r="X239" s="754">
        <f>IFERROR(IF(W239="",0,CEILING((W239/$H239),1)*$H239),"")</f>
        <v/>
      </c>
      <c r="Y239" s="36">
        <f>IFERROR(IF(X239=0,"",ROUNDUP(X239/H239,0)*0.02175),"")</f>
        <v/>
      </c>
      <c r="Z239" s="56" t="n"/>
      <c r="AA239" s="57" t="n"/>
      <c r="AE239" s="58" t="n"/>
      <c r="BB239" s="201" t="inlineStr">
        <is>
          <t>КИ</t>
        </is>
      </c>
    </row>
    <row r="240" ht="27" customHeight="1">
      <c r="A240" s="54" t="inlineStr">
        <is>
          <t>SU001780</t>
        </is>
      </c>
      <c r="B240" s="54" t="inlineStr">
        <is>
          <t>P003075</t>
        </is>
      </c>
      <c r="C240" s="31" t="n">
        <v>4301011395</v>
      </c>
      <c r="D240" s="369" t="n">
        <v>4607091387322</v>
      </c>
      <c r="E240" s="370" t="n"/>
      <c r="F240" s="752" t="n">
        <v>1.35</v>
      </c>
      <c r="G240" s="32" t="n">
        <v>8</v>
      </c>
      <c r="H240" s="752" t="n">
        <v>10.8</v>
      </c>
      <c r="I240" s="752" t="n">
        <v>11.28</v>
      </c>
      <c r="J240" s="32" t="n">
        <v>48</v>
      </c>
      <c r="K240" s="32" t="inlineStr">
        <is>
          <t>8</t>
        </is>
      </c>
      <c r="L240" s="33" t="inlineStr">
        <is>
          <t>ВЗ</t>
        </is>
      </c>
      <c r="M240" s="33" t="n"/>
      <c r="N240" s="32" t="n">
        <v>55</v>
      </c>
      <c r="O240" s="56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P240" s="372" t="n"/>
      <c r="Q240" s="372" t="n"/>
      <c r="R240" s="372" t="n"/>
      <c r="S240" s="370" t="n"/>
      <c r="T240" s="34" t="n"/>
      <c r="U240" s="34" t="n"/>
      <c r="V240" s="35" t="inlineStr">
        <is>
          <t>кг</t>
        </is>
      </c>
      <c r="W240" s="753" t="n">
        <v>0</v>
      </c>
      <c r="X240" s="754">
        <f>IFERROR(IF(W240="",0,CEILING((W240/$H240),1)*$H240),"")</f>
        <v/>
      </c>
      <c r="Y240" s="36">
        <f>IFERROR(IF(X240=0,"",ROUNDUP(X240/H240,0)*0.02039),"")</f>
        <v/>
      </c>
      <c r="Z240" s="56" t="n"/>
      <c r="AA240" s="57" t="n"/>
      <c r="AE240" s="58" t="n"/>
      <c r="BB240" s="202" t="inlineStr">
        <is>
          <t>КИ</t>
        </is>
      </c>
    </row>
    <row r="241" ht="27" customHeight="1">
      <c r="A241" s="54" t="inlineStr">
        <is>
          <t>SU001778</t>
        </is>
      </c>
      <c r="B241" s="54" t="inlineStr">
        <is>
          <t>P001778</t>
        </is>
      </c>
      <c r="C241" s="31" t="n">
        <v>4301011311</v>
      </c>
      <c r="D241" s="369" t="n">
        <v>4607091387377</v>
      </c>
      <c r="E241" s="370" t="n"/>
      <c r="F241" s="752" t="n">
        <v>1.35</v>
      </c>
      <c r="G241" s="32" t="n">
        <v>8</v>
      </c>
      <c r="H241" s="752" t="n">
        <v>10.8</v>
      </c>
      <c r="I241" s="752" t="n">
        <v>11.28</v>
      </c>
      <c r="J241" s="32" t="n">
        <v>56</v>
      </c>
      <c r="K241" s="32" t="inlineStr">
        <is>
          <t>8</t>
        </is>
      </c>
      <c r="L241" s="33" t="inlineStr">
        <is>
          <t>СК1</t>
        </is>
      </c>
      <c r="M241" s="33" t="n"/>
      <c r="N241" s="32" t="n">
        <v>55</v>
      </c>
      <c r="O241" s="6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41" s="372" t="n"/>
      <c r="Q241" s="372" t="n"/>
      <c r="R241" s="372" t="n"/>
      <c r="S241" s="370" t="n"/>
      <c r="T241" s="34" t="n"/>
      <c r="U241" s="34" t="n"/>
      <c r="V241" s="35" t="inlineStr">
        <is>
          <t>кг</t>
        </is>
      </c>
      <c r="W241" s="753" t="n">
        <v>0</v>
      </c>
      <c r="X241" s="754">
        <f>IFERROR(IF(W241="",0,CEILING((W241/$H241),1)*$H241),"")</f>
        <v/>
      </c>
      <c r="Y241" s="36">
        <f>IFERROR(IF(X241=0,"",ROUNDUP(X241/H241,0)*0.02175),"")</f>
        <v/>
      </c>
      <c r="Z241" s="56" t="n"/>
      <c r="AA241" s="57" t="n"/>
      <c r="AE241" s="58" t="n"/>
      <c r="BB241" s="203" t="inlineStr">
        <is>
          <t>КИ</t>
        </is>
      </c>
    </row>
    <row r="242" ht="27" customHeight="1">
      <c r="A242" s="54" t="inlineStr">
        <is>
          <t>SU000043</t>
        </is>
      </c>
      <c r="B242" s="54" t="inlineStr">
        <is>
          <t>P001807</t>
        </is>
      </c>
      <c r="C242" s="31" t="n">
        <v>4301010945</v>
      </c>
      <c r="D242" s="369" t="n">
        <v>4607091387353</v>
      </c>
      <c r="E242" s="370" t="n"/>
      <c r="F242" s="752" t="n">
        <v>1.35</v>
      </c>
      <c r="G242" s="32" t="n">
        <v>8</v>
      </c>
      <c r="H242" s="752" t="n">
        <v>10.8</v>
      </c>
      <c r="I242" s="752" t="n">
        <v>11.28</v>
      </c>
      <c r="J242" s="32" t="n">
        <v>56</v>
      </c>
      <c r="K242" s="32" t="inlineStr">
        <is>
          <t>8</t>
        </is>
      </c>
      <c r="L242" s="33" t="inlineStr">
        <is>
          <t>СК1</t>
        </is>
      </c>
      <c r="M242" s="33" t="n"/>
      <c r="N242" s="32" t="n">
        <v>55</v>
      </c>
      <c r="O242" s="51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2" s="372" t="n"/>
      <c r="Q242" s="372" t="n"/>
      <c r="R242" s="372" t="n"/>
      <c r="S242" s="370" t="n"/>
      <c r="T242" s="34" t="n"/>
      <c r="U242" s="34" t="n"/>
      <c r="V242" s="35" t="inlineStr">
        <is>
          <t>кг</t>
        </is>
      </c>
      <c r="W242" s="753" t="n">
        <v>0</v>
      </c>
      <c r="X242" s="754">
        <f>IFERROR(IF(W242="",0,CEILING((W242/$H242),1)*$H242),"")</f>
        <v/>
      </c>
      <c r="Y242" s="36">
        <f>IFERROR(IF(X242=0,"",ROUNDUP(X242/H242,0)*0.02175),"")</f>
        <v/>
      </c>
      <c r="Z242" s="56" t="n"/>
      <c r="AA242" s="57" t="n"/>
      <c r="AE242" s="58" t="n"/>
      <c r="BB242" s="204" t="inlineStr">
        <is>
          <t>КИ</t>
        </is>
      </c>
    </row>
    <row r="243" ht="27" customHeight="1">
      <c r="A243" s="54" t="inlineStr">
        <is>
          <t>SU001800</t>
        </is>
      </c>
      <c r="B243" s="54" t="inlineStr">
        <is>
          <t>P001800</t>
        </is>
      </c>
      <c r="C243" s="31" t="n">
        <v>4301011328</v>
      </c>
      <c r="D243" s="369" t="n">
        <v>4607091386011</v>
      </c>
      <c r="E243" s="370" t="n"/>
      <c r="F243" s="752" t="n">
        <v>0.5</v>
      </c>
      <c r="G243" s="32" t="n">
        <v>10</v>
      </c>
      <c r="H243" s="752" t="n">
        <v>5</v>
      </c>
      <c r="I243" s="752" t="n">
        <v>5.21</v>
      </c>
      <c r="J243" s="32" t="n">
        <v>120</v>
      </c>
      <c r="K243" s="32" t="inlineStr">
        <is>
          <t>12</t>
        </is>
      </c>
      <c r="L243" s="33" t="inlineStr">
        <is>
          <t>СК2</t>
        </is>
      </c>
      <c r="M243" s="33" t="n"/>
      <c r="N243" s="32" t="n">
        <v>55</v>
      </c>
      <c r="O243" s="6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3" s="372" t="n"/>
      <c r="Q243" s="372" t="n"/>
      <c r="R243" s="372" t="n"/>
      <c r="S243" s="370" t="n"/>
      <c r="T243" s="34" t="n"/>
      <c r="U243" s="34" t="n"/>
      <c r="V243" s="35" t="inlineStr">
        <is>
          <t>кг</t>
        </is>
      </c>
      <c r="W243" s="753" t="n">
        <v>0</v>
      </c>
      <c r="X243" s="754">
        <f>IFERROR(IF(W243="",0,CEILING((W243/$H243),1)*$H243),"")</f>
        <v/>
      </c>
      <c r="Y243" s="36">
        <f>IFERROR(IF(X243=0,"",ROUNDUP(X243/H243,0)*0.00937),"")</f>
        <v/>
      </c>
      <c r="Z243" s="56" t="n"/>
      <c r="AA243" s="57" t="n"/>
      <c r="AE243" s="58" t="n"/>
      <c r="BB243" s="205" t="inlineStr">
        <is>
          <t>КИ</t>
        </is>
      </c>
    </row>
    <row r="244" ht="27" customHeight="1">
      <c r="A244" s="54" t="inlineStr">
        <is>
          <t>SU001805</t>
        </is>
      </c>
      <c r="B244" s="54" t="inlineStr">
        <is>
          <t>P001805</t>
        </is>
      </c>
      <c r="C244" s="31" t="n">
        <v>4301011329</v>
      </c>
      <c r="D244" s="369" t="n">
        <v>4607091387308</v>
      </c>
      <c r="E244" s="370" t="n"/>
      <c r="F244" s="752" t="n">
        <v>0.5</v>
      </c>
      <c r="G244" s="32" t="n">
        <v>10</v>
      </c>
      <c r="H244" s="752" t="n">
        <v>5</v>
      </c>
      <c r="I244" s="752" t="n">
        <v>5.21</v>
      </c>
      <c r="J244" s="32" t="n">
        <v>120</v>
      </c>
      <c r="K244" s="32" t="inlineStr">
        <is>
          <t>12</t>
        </is>
      </c>
      <c r="L244" s="33" t="inlineStr">
        <is>
          <t>СК2</t>
        </is>
      </c>
      <c r="M244" s="33" t="n"/>
      <c r="N244" s="32" t="n">
        <v>55</v>
      </c>
      <c r="O244" s="49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4" s="372" t="n"/>
      <c r="Q244" s="372" t="n"/>
      <c r="R244" s="372" t="n"/>
      <c r="S244" s="370" t="n"/>
      <c r="T244" s="34" t="n"/>
      <c r="U244" s="34" t="n"/>
      <c r="V244" s="35" t="inlineStr">
        <is>
          <t>кг</t>
        </is>
      </c>
      <c r="W244" s="753" t="n">
        <v>0</v>
      </c>
      <c r="X244" s="754">
        <f>IFERROR(IF(W244="",0,CEILING((W244/$H244),1)*$H244),"")</f>
        <v/>
      </c>
      <c r="Y244" s="36">
        <f>IFERROR(IF(X244=0,"",ROUNDUP(X244/H244,0)*0.00937),"")</f>
        <v/>
      </c>
      <c r="Z244" s="56" t="n"/>
      <c r="AA244" s="57" t="n"/>
      <c r="AE244" s="58" t="n"/>
      <c r="BB244" s="206" t="inlineStr">
        <is>
          <t>КИ</t>
        </is>
      </c>
    </row>
    <row r="245" ht="27" customHeight="1">
      <c r="A245" s="54" t="inlineStr">
        <is>
          <t>SU001829</t>
        </is>
      </c>
      <c r="B245" s="54" t="inlineStr">
        <is>
          <t>P001829</t>
        </is>
      </c>
      <c r="C245" s="31" t="n">
        <v>4301011049</v>
      </c>
      <c r="D245" s="369" t="n">
        <v>4607091387339</v>
      </c>
      <c r="E245" s="370" t="n"/>
      <c r="F245" s="752" t="n">
        <v>0.5</v>
      </c>
      <c r="G245" s="32" t="n">
        <v>10</v>
      </c>
      <c r="H245" s="752" t="n">
        <v>5</v>
      </c>
      <c r="I245" s="752" t="n">
        <v>5.24</v>
      </c>
      <c r="J245" s="32" t="n">
        <v>120</v>
      </c>
      <c r="K245" s="32" t="inlineStr">
        <is>
          <t>12</t>
        </is>
      </c>
      <c r="L245" s="33" t="inlineStr">
        <is>
          <t>СК1</t>
        </is>
      </c>
      <c r="M245" s="33" t="n"/>
      <c r="N245" s="32" t="n">
        <v>55</v>
      </c>
      <c r="O245" s="5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5" s="372" t="n"/>
      <c r="Q245" s="372" t="n"/>
      <c r="R245" s="372" t="n"/>
      <c r="S245" s="370" t="n"/>
      <c r="T245" s="34" t="n"/>
      <c r="U245" s="34" t="n"/>
      <c r="V245" s="35" t="inlineStr">
        <is>
          <t>кг</t>
        </is>
      </c>
      <c r="W245" s="753" t="n">
        <v>0</v>
      </c>
      <c r="X245" s="754">
        <f>IFERROR(IF(W245="",0,CEILING((W245/$H245),1)*$H245),"")</f>
        <v/>
      </c>
      <c r="Y245" s="36">
        <f>IFERROR(IF(X245=0,"",ROUNDUP(X245/H245,0)*0.00937),"")</f>
        <v/>
      </c>
      <c r="Z245" s="56" t="n"/>
      <c r="AA245" s="57" t="n"/>
      <c r="AE245" s="58" t="n"/>
      <c r="BB245" s="207" t="inlineStr">
        <is>
          <t>КИ</t>
        </is>
      </c>
    </row>
    <row r="246" ht="27" customHeight="1">
      <c r="A246" s="54" t="inlineStr">
        <is>
          <t>SU002787</t>
        </is>
      </c>
      <c r="B246" s="54" t="inlineStr">
        <is>
          <t>P003189</t>
        </is>
      </c>
      <c r="C246" s="31" t="n">
        <v>4301011433</v>
      </c>
      <c r="D246" s="369" t="n">
        <v>4680115882638</v>
      </c>
      <c r="E246" s="370" t="n"/>
      <c r="F246" s="752" t="n">
        <v>0.4</v>
      </c>
      <c r="G246" s="32" t="n">
        <v>10</v>
      </c>
      <c r="H246" s="752" t="n">
        <v>4</v>
      </c>
      <c r="I246" s="752" t="n">
        <v>4.24</v>
      </c>
      <c r="J246" s="32" t="n">
        <v>120</v>
      </c>
      <c r="K246" s="32" t="inlineStr">
        <is>
          <t>12</t>
        </is>
      </c>
      <c r="L246" s="33" t="inlineStr">
        <is>
          <t>СК1</t>
        </is>
      </c>
      <c r="M246" s="33" t="n"/>
      <c r="N246" s="32" t="n">
        <v>90</v>
      </c>
      <c r="O246" s="67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6" s="372" t="n"/>
      <c r="Q246" s="372" t="n"/>
      <c r="R246" s="372" t="n"/>
      <c r="S246" s="370" t="n"/>
      <c r="T246" s="34" t="n"/>
      <c r="U246" s="34" t="n"/>
      <c r="V246" s="35" t="inlineStr">
        <is>
          <t>кг</t>
        </is>
      </c>
      <c r="W246" s="753" t="n">
        <v>0</v>
      </c>
      <c r="X246" s="754">
        <f>IFERROR(IF(W246="",0,CEILING((W246/$H246),1)*$H246),"")</f>
        <v/>
      </c>
      <c r="Y246" s="36">
        <f>IFERROR(IF(X246=0,"",ROUNDUP(X246/H246,0)*0.00937),"")</f>
        <v/>
      </c>
      <c r="Z246" s="56" t="n"/>
      <c r="AA246" s="57" t="n"/>
      <c r="AE246" s="58" t="n"/>
      <c r="BB246" s="208" t="inlineStr">
        <is>
          <t>КИ</t>
        </is>
      </c>
    </row>
    <row r="247" ht="27" customHeight="1">
      <c r="A247" s="54" t="inlineStr">
        <is>
          <t>SU002894</t>
        </is>
      </c>
      <c r="B247" s="54" t="inlineStr">
        <is>
          <t>P003314</t>
        </is>
      </c>
      <c r="C247" s="31" t="n">
        <v>4301011573</v>
      </c>
      <c r="D247" s="369" t="n">
        <v>4680115881938</v>
      </c>
      <c r="E247" s="370" t="n"/>
      <c r="F247" s="752" t="n">
        <v>0.4</v>
      </c>
      <c r="G247" s="32" t="n">
        <v>10</v>
      </c>
      <c r="H247" s="752" t="n">
        <v>4</v>
      </c>
      <c r="I247" s="752" t="n">
        <v>4.24</v>
      </c>
      <c r="J247" s="32" t="n">
        <v>120</v>
      </c>
      <c r="K247" s="32" t="inlineStr">
        <is>
          <t>12</t>
        </is>
      </c>
      <c r="L247" s="33" t="inlineStr">
        <is>
          <t>СК1</t>
        </is>
      </c>
      <c r="M247" s="33" t="n"/>
      <c r="N247" s="32" t="n">
        <v>90</v>
      </c>
      <c r="O247" s="7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7" s="372" t="n"/>
      <c r="Q247" s="372" t="n"/>
      <c r="R247" s="372" t="n"/>
      <c r="S247" s="370" t="n"/>
      <c r="T247" s="34" t="n"/>
      <c r="U247" s="34" t="n"/>
      <c r="V247" s="35" t="inlineStr">
        <is>
          <t>кг</t>
        </is>
      </c>
      <c r="W247" s="753" t="n">
        <v>0</v>
      </c>
      <c r="X247" s="754">
        <f>IFERROR(IF(W247="",0,CEILING((W247/$H247),1)*$H247),"")</f>
        <v/>
      </c>
      <c r="Y247" s="36">
        <f>IFERROR(IF(X247=0,"",ROUNDUP(X247/H247,0)*0.00937),"")</f>
        <v/>
      </c>
      <c r="Z247" s="56" t="n"/>
      <c r="AA247" s="57" t="n"/>
      <c r="AE247" s="58" t="n"/>
      <c r="BB247" s="209" t="inlineStr">
        <is>
          <t>КИ</t>
        </is>
      </c>
    </row>
    <row r="248" ht="27" customHeight="1">
      <c r="A248" s="54" t="inlineStr">
        <is>
          <t>SU000078</t>
        </is>
      </c>
      <c r="B248" s="54" t="inlineStr">
        <is>
          <t>P001806</t>
        </is>
      </c>
      <c r="C248" s="31" t="n">
        <v>4301010944</v>
      </c>
      <c r="D248" s="369" t="n">
        <v>4607091387346</v>
      </c>
      <c r="E248" s="370" t="n"/>
      <c r="F248" s="752" t="n">
        <v>0.4</v>
      </c>
      <c r="G248" s="32" t="n">
        <v>10</v>
      </c>
      <c r="H248" s="752" t="n">
        <v>4</v>
      </c>
      <c r="I248" s="752" t="n">
        <v>4.24</v>
      </c>
      <c r="J248" s="32" t="n">
        <v>120</v>
      </c>
      <c r="K248" s="32" t="inlineStr">
        <is>
          <t>12</t>
        </is>
      </c>
      <c r="L248" s="33" t="inlineStr">
        <is>
          <t>СК1</t>
        </is>
      </c>
      <c r="M248" s="33" t="n"/>
      <c r="N248" s="32" t="n">
        <v>55</v>
      </c>
      <c r="O248" s="67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8" s="372" t="n"/>
      <c r="Q248" s="372" t="n"/>
      <c r="R248" s="372" t="n"/>
      <c r="S248" s="370" t="n"/>
      <c r="T248" s="34" t="n"/>
      <c r="U248" s="34" t="n"/>
      <c r="V248" s="35" t="inlineStr">
        <is>
          <t>кг</t>
        </is>
      </c>
      <c r="W248" s="753" t="n">
        <v>0</v>
      </c>
      <c r="X248" s="754">
        <f>IFERROR(IF(W248="",0,CEILING((W248/$H248),1)*$H248),"")</f>
        <v/>
      </c>
      <c r="Y248" s="36">
        <f>IFERROR(IF(X248=0,"",ROUNDUP(X248/H248,0)*0.00937),"")</f>
        <v/>
      </c>
      <c r="Z248" s="56" t="n"/>
      <c r="AA248" s="57" t="n"/>
      <c r="AE248" s="58" t="n"/>
      <c r="BB248" s="210" t="inlineStr">
        <is>
          <t>КИ</t>
        </is>
      </c>
    </row>
    <row r="249" ht="27" customHeight="1">
      <c r="A249" s="54" t="inlineStr">
        <is>
          <t>SU002681</t>
        </is>
      </c>
      <c r="B249" s="54" t="inlineStr">
        <is>
          <t>P003059</t>
        </is>
      </c>
      <c r="C249" s="31" t="n">
        <v>4301011402</v>
      </c>
      <c r="D249" s="369" t="n">
        <v>4680115880375</v>
      </c>
      <c r="E249" s="370" t="n"/>
      <c r="F249" s="752" t="n">
        <v>0.775</v>
      </c>
      <c r="G249" s="32" t="n">
        <v>10</v>
      </c>
      <c r="H249" s="752" t="n">
        <v>7.75</v>
      </c>
      <c r="I249" s="752" t="n">
        <v>8.23</v>
      </c>
      <c r="J249" s="32" t="n">
        <v>56</v>
      </c>
      <c r="K249" s="32" t="inlineStr">
        <is>
          <t>8</t>
        </is>
      </c>
      <c r="L249" s="33" t="inlineStr">
        <is>
          <t>СК3</t>
        </is>
      </c>
      <c r="M249" s="33" t="n"/>
      <c r="N249" s="32" t="n">
        <v>45</v>
      </c>
      <c r="O249" s="713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/>
      </c>
      <c r="P249" s="372" t="n"/>
      <c r="Q249" s="372" t="n"/>
      <c r="R249" s="372" t="n"/>
      <c r="S249" s="370" t="n"/>
      <c r="T249" s="34" t="n"/>
      <c r="U249" s="34" t="n"/>
      <c r="V249" s="35" t="inlineStr">
        <is>
          <t>кг</t>
        </is>
      </c>
      <c r="W249" s="753" t="n">
        <v>0</v>
      </c>
      <c r="X249" s="754">
        <f>IFERROR(IF(W249="",0,CEILING((W249/$H249),1)*$H249),"")</f>
        <v/>
      </c>
      <c r="Y249" s="36">
        <f>IFERROR(IF(X249=0,"",ROUNDUP(X249/H249,0)*0.02175),"")</f>
        <v/>
      </c>
      <c r="Z249" s="56" t="n"/>
      <c r="AA249" s="57" t="n"/>
      <c r="AE249" s="58" t="n"/>
      <c r="BB249" s="211" t="inlineStr">
        <is>
          <t>КИ</t>
        </is>
      </c>
    </row>
    <row r="250" ht="27" customHeight="1">
      <c r="A250" s="54" t="inlineStr">
        <is>
          <t>SU002616</t>
        </is>
      </c>
      <c r="B250" s="54" t="inlineStr">
        <is>
          <t>P002950</t>
        </is>
      </c>
      <c r="C250" s="31" t="n">
        <v>4301011353</v>
      </c>
      <c r="D250" s="369" t="n">
        <v>4607091389807</v>
      </c>
      <c r="E250" s="370" t="n"/>
      <c r="F250" s="752" t="n">
        <v>0.4</v>
      </c>
      <c r="G250" s="32" t="n">
        <v>10</v>
      </c>
      <c r="H250" s="752" t="n">
        <v>4</v>
      </c>
      <c r="I250" s="752" t="n">
        <v>4.24</v>
      </c>
      <c r="J250" s="32" t="n">
        <v>120</v>
      </c>
      <c r="K250" s="32" t="inlineStr">
        <is>
          <t>12</t>
        </is>
      </c>
      <c r="L250" s="33" t="inlineStr">
        <is>
          <t>СК1</t>
        </is>
      </c>
      <c r="M250" s="33" t="n"/>
      <c r="N250" s="32" t="n">
        <v>55</v>
      </c>
      <c r="O250" s="63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0" s="372" t="n"/>
      <c r="Q250" s="372" t="n"/>
      <c r="R250" s="372" t="n"/>
      <c r="S250" s="370" t="n"/>
      <c r="T250" s="34" t="n"/>
      <c r="U250" s="34" t="n"/>
      <c r="V250" s="35" t="inlineStr">
        <is>
          <t>кг</t>
        </is>
      </c>
      <c r="W250" s="753" t="n">
        <v>0</v>
      </c>
      <c r="X250" s="754">
        <f>IFERROR(IF(W250="",0,CEILING((W250/$H250),1)*$H250),"")</f>
        <v/>
      </c>
      <c r="Y250" s="36">
        <f>IFERROR(IF(X250=0,"",ROUNDUP(X250/H250,0)*0.00937),"")</f>
        <v/>
      </c>
      <c r="Z250" s="56" t="n"/>
      <c r="AA250" s="57" t="n"/>
      <c r="AE250" s="58" t="n"/>
      <c r="BB250" s="212" t="inlineStr">
        <is>
          <t>КИ</t>
        </is>
      </c>
    </row>
    <row r="251">
      <c r="A251" s="396" t="n"/>
      <c r="B251" s="376" t="n"/>
      <c r="C251" s="376" t="n"/>
      <c r="D251" s="376" t="n"/>
      <c r="E251" s="376" t="n"/>
      <c r="F251" s="376" t="n"/>
      <c r="G251" s="376" t="n"/>
      <c r="H251" s="376" t="n"/>
      <c r="I251" s="376" t="n"/>
      <c r="J251" s="376" t="n"/>
      <c r="K251" s="376" t="n"/>
      <c r="L251" s="376" t="n"/>
      <c r="M251" s="376" t="n"/>
      <c r="N251" s="397" t="n"/>
      <c r="O251" s="391" t="inlineStr">
        <is>
          <t>Итого</t>
        </is>
      </c>
      <c r="P251" s="392" t="n"/>
      <c r="Q251" s="392" t="n"/>
      <c r="R251" s="392" t="n"/>
      <c r="S251" s="392" t="n"/>
      <c r="T251" s="392" t="n"/>
      <c r="U251" s="393" t="n"/>
      <c r="V251" s="37" t="inlineStr">
        <is>
          <t>кор</t>
        </is>
      </c>
      <c r="W251" s="755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/>
      </c>
      <c r="X251" s="755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/>
      </c>
      <c r="Y251" s="755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/>
      </c>
      <c r="Z251" s="756" t="n"/>
      <c r="AA251" s="756" t="n"/>
    </row>
    <row r="252">
      <c r="A252" s="376" t="n"/>
      <c r="B252" s="376" t="n"/>
      <c r="C252" s="376" t="n"/>
      <c r="D252" s="376" t="n"/>
      <c r="E252" s="376" t="n"/>
      <c r="F252" s="376" t="n"/>
      <c r="G252" s="376" t="n"/>
      <c r="H252" s="376" t="n"/>
      <c r="I252" s="376" t="n"/>
      <c r="J252" s="376" t="n"/>
      <c r="K252" s="376" t="n"/>
      <c r="L252" s="376" t="n"/>
      <c r="M252" s="376" t="n"/>
      <c r="N252" s="397" t="n"/>
      <c r="O252" s="391" t="inlineStr">
        <is>
          <t>Итого</t>
        </is>
      </c>
      <c r="P252" s="392" t="n"/>
      <c r="Q252" s="392" t="n"/>
      <c r="R252" s="392" t="n"/>
      <c r="S252" s="392" t="n"/>
      <c r="T252" s="392" t="n"/>
      <c r="U252" s="393" t="n"/>
      <c r="V252" s="37" t="inlineStr">
        <is>
          <t>кг</t>
        </is>
      </c>
      <c r="W252" s="755">
        <f>IFERROR(SUM(W235:W250),"0")</f>
        <v/>
      </c>
      <c r="X252" s="755">
        <f>IFERROR(SUM(X235:X250),"0")</f>
        <v/>
      </c>
      <c r="Y252" s="37" t="n"/>
      <c r="Z252" s="756" t="n"/>
      <c r="AA252" s="756" t="n"/>
    </row>
    <row r="253" ht="14.25" customHeight="1">
      <c r="A253" s="375" t="inlineStr">
        <is>
          <t>Ветчины</t>
        </is>
      </c>
      <c r="B253" s="376" t="n"/>
      <c r="C253" s="376" t="n"/>
      <c r="D253" s="376" t="n"/>
      <c r="E253" s="376" t="n"/>
      <c r="F253" s="376" t="n"/>
      <c r="G253" s="376" t="n"/>
      <c r="H253" s="376" t="n"/>
      <c r="I253" s="376" t="n"/>
      <c r="J253" s="376" t="n"/>
      <c r="K253" s="376" t="n"/>
      <c r="L253" s="376" t="n"/>
      <c r="M253" s="376" t="n"/>
      <c r="N253" s="376" t="n"/>
      <c r="O253" s="376" t="n"/>
      <c r="P253" s="376" t="n"/>
      <c r="Q253" s="376" t="n"/>
      <c r="R253" s="376" t="n"/>
      <c r="S253" s="376" t="n"/>
      <c r="T253" s="376" t="n"/>
      <c r="U253" s="376" t="n"/>
      <c r="V253" s="376" t="n"/>
      <c r="W253" s="376" t="n"/>
      <c r="X253" s="376" t="n"/>
      <c r="Y253" s="376" t="n"/>
      <c r="Z253" s="375" t="n"/>
      <c r="AA253" s="375" t="n"/>
    </row>
    <row r="254" ht="27" customHeight="1">
      <c r="A254" s="54" t="inlineStr">
        <is>
          <t>SU002788</t>
        </is>
      </c>
      <c r="B254" s="54" t="inlineStr">
        <is>
          <t>P003190</t>
        </is>
      </c>
      <c r="C254" s="31" t="n">
        <v>4301020254</v>
      </c>
      <c r="D254" s="369" t="n">
        <v>4680115881914</v>
      </c>
      <c r="E254" s="370" t="n"/>
      <c r="F254" s="752" t="n">
        <v>0.4</v>
      </c>
      <c r="G254" s="32" t="n">
        <v>10</v>
      </c>
      <c r="H254" s="752" t="n">
        <v>4</v>
      </c>
      <c r="I254" s="752" t="n">
        <v>4.24</v>
      </c>
      <c r="J254" s="32" t="n">
        <v>120</v>
      </c>
      <c r="K254" s="32" t="inlineStr">
        <is>
          <t>12</t>
        </is>
      </c>
      <c r="L254" s="33" t="inlineStr">
        <is>
          <t>СК1</t>
        </is>
      </c>
      <c r="M254" s="33" t="n"/>
      <c r="N254" s="32" t="n">
        <v>90</v>
      </c>
      <c r="O254" s="5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54" s="372" t="n"/>
      <c r="Q254" s="372" t="n"/>
      <c r="R254" s="372" t="n"/>
      <c r="S254" s="370" t="n"/>
      <c r="T254" s="34" t="n"/>
      <c r="U254" s="34" t="n"/>
      <c r="V254" s="35" t="inlineStr">
        <is>
          <t>кг</t>
        </is>
      </c>
      <c r="W254" s="753" t="n">
        <v>0</v>
      </c>
      <c r="X254" s="754">
        <f>IFERROR(IF(W254="",0,CEILING((W254/$H254),1)*$H254),"")</f>
        <v/>
      </c>
      <c r="Y254" s="36">
        <f>IFERROR(IF(X254=0,"",ROUNDUP(X254/H254,0)*0.00937),"")</f>
        <v/>
      </c>
      <c r="Z254" s="56" t="n"/>
      <c r="AA254" s="57" t="n"/>
      <c r="AE254" s="58" t="n"/>
      <c r="BB254" s="213" t="inlineStr">
        <is>
          <t>КИ</t>
        </is>
      </c>
    </row>
    <row r="255">
      <c r="A255" s="396" t="n"/>
      <c r="B255" s="376" t="n"/>
      <c r="C255" s="376" t="n"/>
      <c r="D255" s="376" t="n"/>
      <c r="E255" s="376" t="n"/>
      <c r="F255" s="376" t="n"/>
      <c r="G255" s="376" t="n"/>
      <c r="H255" s="376" t="n"/>
      <c r="I255" s="376" t="n"/>
      <c r="J255" s="376" t="n"/>
      <c r="K255" s="376" t="n"/>
      <c r="L255" s="376" t="n"/>
      <c r="M255" s="376" t="n"/>
      <c r="N255" s="397" t="n"/>
      <c r="O255" s="391" t="inlineStr">
        <is>
          <t>Итого</t>
        </is>
      </c>
      <c r="P255" s="392" t="n"/>
      <c r="Q255" s="392" t="n"/>
      <c r="R255" s="392" t="n"/>
      <c r="S255" s="392" t="n"/>
      <c r="T255" s="392" t="n"/>
      <c r="U255" s="393" t="n"/>
      <c r="V255" s="37" t="inlineStr">
        <is>
          <t>кор</t>
        </is>
      </c>
      <c r="W255" s="755">
        <f>IFERROR(W254/H254,"0")</f>
        <v/>
      </c>
      <c r="X255" s="755">
        <f>IFERROR(X254/H254,"0")</f>
        <v/>
      </c>
      <c r="Y255" s="755">
        <f>IFERROR(IF(Y254="",0,Y254),"0")</f>
        <v/>
      </c>
      <c r="Z255" s="756" t="n"/>
      <c r="AA255" s="756" t="n"/>
    </row>
    <row r="256">
      <c r="A256" s="376" t="n"/>
      <c r="B256" s="376" t="n"/>
      <c r="C256" s="376" t="n"/>
      <c r="D256" s="376" t="n"/>
      <c r="E256" s="376" t="n"/>
      <c r="F256" s="376" t="n"/>
      <c r="G256" s="376" t="n"/>
      <c r="H256" s="376" t="n"/>
      <c r="I256" s="376" t="n"/>
      <c r="J256" s="376" t="n"/>
      <c r="K256" s="376" t="n"/>
      <c r="L256" s="376" t="n"/>
      <c r="M256" s="376" t="n"/>
      <c r="N256" s="397" t="n"/>
      <c r="O256" s="391" t="inlineStr">
        <is>
          <t>Итого</t>
        </is>
      </c>
      <c r="P256" s="392" t="n"/>
      <c r="Q256" s="392" t="n"/>
      <c r="R256" s="392" t="n"/>
      <c r="S256" s="392" t="n"/>
      <c r="T256" s="392" t="n"/>
      <c r="U256" s="393" t="n"/>
      <c r="V256" s="37" t="inlineStr">
        <is>
          <t>кг</t>
        </is>
      </c>
      <c r="W256" s="755">
        <f>IFERROR(SUM(W254:W254),"0")</f>
        <v/>
      </c>
      <c r="X256" s="755">
        <f>IFERROR(SUM(X254:X254),"0")</f>
        <v/>
      </c>
      <c r="Y256" s="37" t="n"/>
      <c r="Z256" s="756" t="n"/>
      <c r="AA256" s="756" t="n"/>
    </row>
    <row r="257" ht="14.25" customHeight="1">
      <c r="A257" s="375" t="inlineStr">
        <is>
          <t>Копченые колбасы</t>
        </is>
      </c>
      <c r="B257" s="376" t="n"/>
      <c r="C257" s="376" t="n"/>
      <c r="D257" s="376" t="n"/>
      <c r="E257" s="376" t="n"/>
      <c r="F257" s="376" t="n"/>
      <c r="G257" s="376" t="n"/>
      <c r="H257" s="376" t="n"/>
      <c r="I257" s="376" t="n"/>
      <c r="J257" s="376" t="n"/>
      <c r="K257" s="376" t="n"/>
      <c r="L257" s="376" t="n"/>
      <c r="M257" s="376" t="n"/>
      <c r="N257" s="376" t="n"/>
      <c r="O257" s="376" t="n"/>
      <c r="P257" s="376" t="n"/>
      <c r="Q257" s="376" t="n"/>
      <c r="R257" s="376" t="n"/>
      <c r="S257" s="376" t="n"/>
      <c r="T257" s="376" t="n"/>
      <c r="U257" s="376" t="n"/>
      <c r="V257" s="376" t="n"/>
      <c r="W257" s="376" t="n"/>
      <c r="X257" s="376" t="n"/>
      <c r="Y257" s="376" t="n"/>
      <c r="Z257" s="375" t="n"/>
      <c r="AA257" s="375" t="n"/>
    </row>
    <row r="258" ht="27" customHeight="1">
      <c r="A258" s="54" t="inlineStr">
        <is>
          <t>SU001820</t>
        </is>
      </c>
      <c r="B258" s="54" t="inlineStr">
        <is>
          <t>P001820</t>
        </is>
      </c>
      <c r="C258" s="31" t="n">
        <v>4301030878</v>
      </c>
      <c r="D258" s="369" t="n">
        <v>4607091387193</v>
      </c>
      <c r="E258" s="370" t="n"/>
      <c r="F258" s="752" t="n">
        <v>0.7</v>
      </c>
      <c r="G258" s="32" t="n">
        <v>6</v>
      </c>
      <c r="H258" s="752" t="n">
        <v>4.2</v>
      </c>
      <c r="I258" s="752" t="n">
        <v>4.46</v>
      </c>
      <c r="J258" s="32" t="n">
        <v>156</v>
      </c>
      <c r="K258" s="32" t="inlineStr">
        <is>
          <t>12</t>
        </is>
      </c>
      <c r="L258" s="33" t="inlineStr">
        <is>
          <t>СК2</t>
        </is>
      </c>
      <c r="M258" s="33" t="n"/>
      <c r="N258" s="32" t="n">
        <v>35</v>
      </c>
      <c r="O258" s="54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8" s="372" t="n"/>
      <c r="Q258" s="372" t="n"/>
      <c r="R258" s="372" t="n"/>
      <c r="S258" s="370" t="n"/>
      <c r="T258" s="34" t="n"/>
      <c r="U258" s="34" t="n"/>
      <c r="V258" s="35" t="inlineStr">
        <is>
          <t>кг</t>
        </is>
      </c>
      <c r="W258" s="753" t="n">
        <v>0</v>
      </c>
      <c r="X258" s="754">
        <f>IFERROR(IF(W258="",0,CEILING((W258/$H258),1)*$H258),"")</f>
        <v/>
      </c>
      <c r="Y258" s="36">
        <f>IFERROR(IF(X258=0,"",ROUNDUP(X258/H258,0)*0.00753),"")</f>
        <v/>
      </c>
      <c r="Z258" s="56" t="n"/>
      <c r="AA258" s="57" t="n"/>
      <c r="AE258" s="58" t="n"/>
      <c r="BB258" s="214" t="inlineStr">
        <is>
          <t>КИ</t>
        </is>
      </c>
    </row>
    <row r="259" ht="27" customHeight="1">
      <c r="A259" s="54" t="inlineStr">
        <is>
          <t>SU001822</t>
        </is>
      </c>
      <c r="B259" s="54" t="inlineStr">
        <is>
          <t>P003013</t>
        </is>
      </c>
      <c r="C259" s="31" t="n">
        <v>4301031153</v>
      </c>
      <c r="D259" s="369" t="n">
        <v>4607091387230</v>
      </c>
      <c r="E259" s="370" t="n"/>
      <c r="F259" s="752" t="n">
        <v>0.7</v>
      </c>
      <c r="G259" s="32" t="n">
        <v>6</v>
      </c>
      <c r="H259" s="752" t="n">
        <v>4.2</v>
      </c>
      <c r="I259" s="752" t="n">
        <v>4.46</v>
      </c>
      <c r="J259" s="32" t="n">
        <v>156</v>
      </c>
      <c r="K259" s="32" t="inlineStr">
        <is>
          <t>12</t>
        </is>
      </c>
      <c r="L259" s="33" t="inlineStr">
        <is>
          <t>СК2</t>
        </is>
      </c>
      <c r="M259" s="33" t="n"/>
      <c r="N259" s="32" t="n">
        <v>40</v>
      </c>
      <c r="O259" s="5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9" s="372" t="n"/>
      <c r="Q259" s="372" t="n"/>
      <c r="R259" s="372" t="n"/>
      <c r="S259" s="370" t="n"/>
      <c r="T259" s="34" t="n"/>
      <c r="U259" s="34" t="n"/>
      <c r="V259" s="35" t="inlineStr">
        <is>
          <t>кг</t>
        </is>
      </c>
      <c r="W259" s="753" t="n">
        <v>0</v>
      </c>
      <c r="X259" s="754">
        <f>IFERROR(IF(W259="",0,CEILING((W259/$H259),1)*$H259),"")</f>
        <v/>
      </c>
      <c r="Y259" s="36">
        <f>IFERROR(IF(X259=0,"",ROUNDUP(X259/H259,0)*0.00753),"")</f>
        <v/>
      </c>
      <c r="Z259" s="56" t="n"/>
      <c r="AA259" s="57" t="n"/>
      <c r="AE259" s="58" t="n"/>
      <c r="BB259" s="215" t="inlineStr">
        <is>
          <t>КИ</t>
        </is>
      </c>
    </row>
    <row r="260" ht="27" customHeight="1">
      <c r="A260" s="54" t="inlineStr">
        <is>
          <t>SU002579</t>
        </is>
      </c>
      <c r="B260" s="54" t="inlineStr">
        <is>
          <t>P003012</t>
        </is>
      </c>
      <c r="C260" s="31" t="n">
        <v>4301031152</v>
      </c>
      <c r="D260" s="369" t="n">
        <v>4607091387285</v>
      </c>
      <c r="E260" s="370" t="n"/>
      <c r="F260" s="752" t="n">
        <v>0.35</v>
      </c>
      <c r="G260" s="32" t="n">
        <v>6</v>
      </c>
      <c r="H260" s="752" t="n">
        <v>2.1</v>
      </c>
      <c r="I260" s="752" t="n">
        <v>2.23</v>
      </c>
      <c r="J260" s="32" t="n">
        <v>234</v>
      </c>
      <c r="K260" s="32" t="inlineStr">
        <is>
          <t>18</t>
        </is>
      </c>
      <c r="L260" s="33" t="inlineStr">
        <is>
          <t>СК2</t>
        </is>
      </c>
      <c r="M260" s="33" t="n"/>
      <c r="N260" s="32" t="n">
        <v>40</v>
      </c>
      <c r="O260" s="55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60" s="372" t="n"/>
      <c r="Q260" s="372" t="n"/>
      <c r="R260" s="372" t="n"/>
      <c r="S260" s="370" t="n"/>
      <c r="T260" s="34" t="n"/>
      <c r="U260" s="34" t="n"/>
      <c r="V260" s="35" t="inlineStr">
        <is>
          <t>кг</t>
        </is>
      </c>
      <c r="W260" s="753" t="n">
        <v>0</v>
      </c>
      <c r="X260" s="754">
        <f>IFERROR(IF(W260="",0,CEILING((W260/$H260),1)*$H260),"")</f>
        <v/>
      </c>
      <c r="Y260" s="36">
        <f>IFERROR(IF(X260=0,"",ROUNDUP(X260/H260,0)*0.00502),"")</f>
        <v/>
      </c>
      <c r="Z260" s="56" t="n"/>
      <c r="AA260" s="57" t="n"/>
      <c r="AE260" s="58" t="n"/>
      <c r="BB260" s="216" t="inlineStr">
        <is>
          <t>КИ</t>
        </is>
      </c>
    </row>
    <row r="261" ht="27" customHeight="1">
      <c r="A261" s="54" t="inlineStr">
        <is>
          <t>SU002699</t>
        </is>
      </c>
      <c r="B261" s="54" t="inlineStr">
        <is>
          <t>P003073</t>
        </is>
      </c>
      <c r="C261" s="31" t="n">
        <v>4301031164</v>
      </c>
      <c r="D261" s="369" t="n">
        <v>4680115880481</v>
      </c>
      <c r="E261" s="370" t="n"/>
      <c r="F261" s="752" t="n">
        <v>0.28</v>
      </c>
      <c r="G261" s="32" t="n">
        <v>6</v>
      </c>
      <c r="H261" s="752" t="n">
        <v>1.68</v>
      </c>
      <c r="I261" s="752" t="n">
        <v>1.78</v>
      </c>
      <c r="J261" s="32" t="n">
        <v>234</v>
      </c>
      <c r="K261" s="32" t="inlineStr">
        <is>
          <t>18</t>
        </is>
      </c>
      <c r="L261" s="33" t="inlineStr">
        <is>
          <t>СК2</t>
        </is>
      </c>
      <c r="M261" s="33" t="n"/>
      <c r="N261" s="32" t="n">
        <v>40</v>
      </c>
      <c r="O261" s="58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61" s="372" t="n"/>
      <c r="Q261" s="372" t="n"/>
      <c r="R261" s="372" t="n"/>
      <c r="S261" s="370" t="n"/>
      <c r="T261" s="34" t="n"/>
      <c r="U261" s="34" t="n"/>
      <c r="V261" s="35" t="inlineStr">
        <is>
          <t>кг</t>
        </is>
      </c>
      <c r="W261" s="753" t="n">
        <v>0</v>
      </c>
      <c r="X261" s="754">
        <f>IFERROR(IF(W261="",0,CEILING((W261/$H261),1)*$H261),"")</f>
        <v/>
      </c>
      <c r="Y261" s="36">
        <f>IFERROR(IF(X261=0,"",ROUNDUP(X261/H261,0)*0.00502),"")</f>
        <v/>
      </c>
      <c r="Z261" s="56" t="n"/>
      <c r="AA261" s="57" t="n"/>
      <c r="AE261" s="58" t="n"/>
      <c r="BB261" s="217" t="inlineStr">
        <is>
          <t>КИ</t>
        </is>
      </c>
    </row>
    <row r="262">
      <c r="A262" s="396" t="n"/>
      <c r="B262" s="376" t="n"/>
      <c r="C262" s="376" t="n"/>
      <c r="D262" s="376" t="n"/>
      <c r="E262" s="376" t="n"/>
      <c r="F262" s="376" t="n"/>
      <c r="G262" s="376" t="n"/>
      <c r="H262" s="376" t="n"/>
      <c r="I262" s="376" t="n"/>
      <c r="J262" s="376" t="n"/>
      <c r="K262" s="376" t="n"/>
      <c r="L262" s="376" t="n"/>
      <c r="M262" s="376" t="n"/>
      <c r="N262" s="397" t="n"/>
      <c r="O262" s="391" t="inlineStr">
        <is>
          <t>Итого</t>
        </is>
      </c>
      <c r="P262" s="392" t="n"/>
      <c r="Q262" s="392" t="n"/>
      <c r="R262" s="392" t="n"/>
      <c r="S262" s="392" t="n"/>
      <c r="T262" s="392" t="n"/>
      <c r="U262" s="393" t="n"/>
      <c r="V262" s="37" t="inlineStr">
        <is>
          <t>кор</t>
        </is>
      </c>
      <c r="W262" s="755">
        <f>IFERROR(W258/H258,"0")+IFERROR(W259/H259,"0")+IFERROR(W260/H260,"0")+IFERROR(W261/H261,"0")</f>
        <v/>
      </c>
      <c r="X262" s="755">
        <f>IFERROR(X258/H258,"0")+IFERROR(X259/H259,"0")+IFERROR(X260/H260,"0")+IFERROR(X261/H261,"0")</f>
        <v/>
      </c>
      <c r="Y262" s="755">
        <f>IFERROR(IF(Y258="",0,Y258),"0")+IFERROR(IF(Y259="",0,Y259),"0")+IFERROR(IF(Y260="",0,Y260),"0")+IFERROR(IF(Y261="",0,Y261),"0")</f>
        <v/>
      </c>
      <c r="Z262" s="756" t="n"/>
      <c r="AA262" s="756" t="n"/>
    </row>
    <row r="263">
      <c r="A263" s="376" t="n"/>
      <c r="B263" s="376" t="n"/>
      <c r="C263" s="376" t="n"/>
      <c r="D263" s="376" t="n"/>
      <c r="E263" s="376" t="n"/>
      <c r="F263" s="376" t="n"/>
      <c r="G263" s="376" t="n"/>
      <c r="H263" s="376" t="n"/>
      <c r="I263" s="376" t="n"/>
      <c r="J263" s="376" t="n"/>
      <c r="K263" s="376" t="n"/>
      <c r="L263" s="376" t="n"/>
      <c r="M263" s="376" t="n"/>
      <c r="N263" s="397" t="n"/>
      <c r="O263" s="391" t="inlineStr">
        <is>
          <t>Итого</t>
        </is>
      </c>
      <c r="P263" s="392" t="n"/>
      <c r="Q263" s="392" t="n"/>
      <c r="R263" s="392" t="n"/>
      <c r="S263" s="392" t="n"/>
      <c r="T263" s="392" t="n"/>
      <c r="U263" s="393" t="n"/>
      <c r="V263" s="37" t="inlineStr">
        <is>
          <t>кг</t>
        </is>
      </c>
      <c r="W263" s="755">
        <f>IFERROR(SUM(W258:W261),"0")</f>
        <v/>
      </c>
      <c r="X263" s="755">
        <f>IFERROR(SUM(X258:X261),"0")</f>
        <v/>
      </c>
      <c r="Y263" s="37" t="n"/>
      <c r="Z263" s="756" t="n"/>
      <c r="AA263" s="756" t="n"/>
    </row>
    <row r="264" ht="14.25" customHeight="1">
      <c r="A264" s="375" t="inlineStr">
        <is>
          <t>Сосиски</t>
        </is>
      </c>
      <c r="B264" s="376" t="n"/>
      <c r="C264" s="376" t="n"/>
      <c r="D264" s="376" t="n"/>
      <c r="E264" s="376" t="n"/>
      <c r="F264" s="376" t="n"/>
      <c r="G264" s="376" t="n"/>
      <c r="H264" s="376" t="n"/>
      <c r="I264" s="376" t="n"/>
      <c r="J264" s="376" t="n"/>
      <c r="K264" s="376" t="n"/>
      <c r="L264" s="376" t="n"/>
      <c r="M264" s="376" t="n"/>
      <c r="N264" s="376" t="n"/>
      <c r="O264" s="376" t="n"/>
      <c r="P264" s="376" t="n"/>
      <c r="Q264" s="376" t="n"/>
      <c r="R264" s="376" t="n"/>
      <c r="S264" s="376" t="n"/>
      <c r="T264" s="376" t="n"/>
      <c r="U264" s="376" t="n"/>
      <c r="V264" s="376" t="n"/>
      <c r="W264" s="376" t="n"/>
      <c r="X264" s="376" t="n"/>
      <c r="Y264" s="376" t="n"/>
      <c r="Z264" s="375" t="n"/>
      <c r="AA264" s="375" t="n"/>
    </row>
    <row r="265" ht="16.5" customHeight="1">
      <c r="A265" s="54" t="inlineStr">
        <is>
          <t>SU001340</t>
        </is>
      </c>
      <c r="B265" s="54" t="inlineStr">
        <is>
          <t>P002209</t>
        </is>
      </c>
      <c r="C265" s="31" t="n">
        <v>4301051100</v>
      </c>
      <c r="D265" s="369" t="n">
        <v>4607091387766</v>
      </c>
      <c r="E265" s="370" t="n"/>
      <c r="F265" s="752" t="n">
        <v>1.3</v>
      </c>
      <c r="G265" s="32" t="n">
        <v>6</v>
      </c>
      <c r="H265" s="752" t="n">
        <v>7.8</v>
      </c>
      <c r="I265" s="752" t="n">
        <v>8.358000000000001</v>
      </c>
      <c r="J265" s="32" t="n">
        <v>56</v>
      </c>
      <c r="K265" s="32" t="inlineStr">
        <is>
          <t>8</t>
        </is>
      </c>
      <c r="L265" s="33" t="inlineStr">
        <is>
          <t>СК3</t>
        </is>
      </c>
      <c r="M265" s="33" t="n"/>
      <c r="N265" s="32" t="n">
        <v>40</v>
      </c>
      <c r="O265" s="394">
        <f>HYPERLINK("https://abi.ru/products/Охлажденные/Стародворье/Бордо/Сосиски/P002209/","Сосиски Ганноверские Бордо Весовые П/а мгс Баварушка")</f>
        <v/>
      </c>
      <c r="P265" s="372" t="n"/>
      <c r="Q265" s="372" t="n"/>
      <c r="R265" s="372" t="n"/>
      <c r="S265" s="370" t="n"/>
      <c r="T265" s="34" t="n"/>
      <c r="U265" s="34" t="n"/>
      <c r="V265" s="35" t="inlineStr">
        <is>
          <t>кг</t>
        </is>
      </c>
      <c r="W265" s="753" t="n">
        <v>0</v>
      </c>
      <c r="X265" s="754">
        <f>IFERROR(IF(W265="",0,CEILING((W265/$H265),1)*$H265),"")</f>
        <v/>
      </c>
      <c r="Y265" s="36">
        <f>IFERROR(IF(X265=0,"",ROUNDUP(X265/H265,0)*0.02175),"")</f>
        <v/>
      </c>
      <c r="Z265" s="56" t="n"/>
      <c r="AA265" s="57" t="n"/>
      <c r="AE265" s="58" t="n"/>
      <c r="BB265" s="218" t="inlineStr">
        <is>
          <t>КИ</t>
        </is>
      </c>
    </row>
    <row r="266" ht="27" customHeight="1">
      <c r="A266" s="54" t="inlineStr">
        <is>
          <t>SU001727</t>
        </is>
      </c>
      <c r="B266" s="54" t="inlineStr">
        <is>
          <t>P002205</t>
        </is>
      </c>
      <c r="C266" s="31" t="n">
        <v>4301051116</v>
      </c>
      <c r="D266" s="369" t="n">
        <v>4607091387957</v>
      </c>
      <c r="E266" s="370" t="n"/>
      <c r="F266" s="752" t="n">
        <v>1.3</v>
      </c>
      <c r="G266" s="32" t="n">
        <v>6</v>
      </c>
      <c r="H266" s="752" t="n">
        <v>7.8</v>
      </c>
      <c r="I266" s="752" t="n">
        <v>8.364000000000001</v>
      </c>
      <c r="J266" s="32" t="n">
        <v>56</v>
      </c>
      <c r="K266" s="32" t="inlineStr">
        <is>
          <t>8</t>
        </is>
      </c>
      <c r="L266" s="33" t="inlineStr">
        <is>
          <t>СК2</t>
        </is>
      </c>
      <c r="M266" s="33" t="n"/>
      <c r="N266" s="32" t="n">
        <v>40</v>
      </c>
      <c r="O266" s="56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6" s="372" t="n"/>
      <c r="Q266" s="372" t="n"/>
      <c r="R266" s="372" t="n"/>
      <c r="S266" s="370" t="n"/>
      <c r="T266" s="34" t="n"/>
      <c r="U266" s="34" t="n"/>
      <c r="V266" s="35" t="inlineStr">
        <is>
          <t>кг</t>
        </is>
      </c>
      <c r="W266" s="753" t="n">
        <v>0</v>
      </c>
      <c r="X266" s="754">
        <f>IFERROR(IF(W266="",0,CEILING((W266/$H266),1)*$H266),"")</f>
        <v/>
      </c>
      <c r="Y266" s="36">
        <f>IFERROR(IF(X266=0,"",ROUNDUP(X266/H266,0)*0.02175),"")</f>
        <v/>
      </c>
      <c r="Z266" s="56" t="n"/>
      <c r="AA266" s="57" t="n"/>
      <c r="AE266" s="58" t="n"/>
      <c r="BB266" s="219" t="inlineStr">
        <is>
          <t>КИ</t>
        </is>
      </c>
    </row>
    <row r="267" ht="27" customHeight="1">
      <c r="A267" s="54" t="inlineStr">
        <is>
          <t>SU001728</t>
        </is>
      </c>
      <c r="B267" s="54" t="inlineStr">
        <is>
          <t>P002207</t>
        </is>
      </c>
      <c r="C267" s="31" t="n">
        <v>4301051115</v>
      </c>
      <c r="D267" s="369" t="n">
        <v>4607091387964</v>
      </c>
      <c r="E267" s="370" t="n"/>
      <c r="F267" s="752" t="n">
        <v>1.35</v>
      </c>
      <c r="G267" s="32" t="n">
        <v>6</v>
      </c>
      <c r="H267" s="752" t="n">
        <v>8.1</v>
      </c>
      <c r="I267" s="752" t="n">
        <v>8.646000000000001</v>
      </c>
      <c r="J267" s="32" t="n">
        <v>56</v>
      </c>
      <c r="K267" s="32" t="inlineStr">
        <is>
          <t>8</t>
        </is>
      </c>
      <c r="L267" s="33" t="inlineStr">
        <is>
          <t>СК2</t>
        </is>
      </c>
      <c r="M267" s="33" t="n"/>
      <c r="N267" s="32" t="n">
        <v>40</v>
      </c>
      <c r="O267" s="6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7" s="372" t="n"/>
      <c r="Q267" s="372" t="n"/>
      <c r="R267" s="372" t="n"/>
      <c r="S267" s="370" t="n"/>
      <c r="T267" s="34" t="n"/>
      <c r="U267" s="34" t="n"/>
      <c r="V267" s="35" t="inlineStr">
        <is>
          <t>кг</t>
        </is>
      </c>
      <c r="W267" s="753" t="n">
        <v>0</v>
      </c>
      <c r="X267" s="754">
        <f>IFERROR(IF(W267="",0,CEILING((W267/$H267),1)*$H267),"")</f>
        <v/>
      </c>
      <c r="Y267" s="36">
        <f>IFERROR(IF(X267=0,"",ROUNDUP(X267/H267,0)*0.02175),"")</f>
        <v/>
      </c>
      <c r="Z267" s="56" t="n"/>
      <c r="AA267" s="57" t="n"/>
      <c r="AE267" s="58" t="n"/>
      <c r="BB267" s="220" t="inlineStr">
        <is>
          <t>КИ</t>
        </is>
      </c>
    </row>
    <row r="268" ht="16.5" customHeight="1">
      <c r="A268" s="54" t="inlineStr">
        <is>
          <t>SU003340</t>
        </is>
      </c>
      <c r="B268" s="54" t="inlineStr">
        <is>
          <t>P004090</t>
        </is>
      </c>
      <c r="C268" s="31" t="n">
        <v>4301051731</v>
      </c>
      <c r="D268" s="369" t="n">
        <v>4680115884618</v>
      </c>
      <c r="E268" s="370" t="n"/>
      <c r="F268" s="752" t="n">
        <v>0.6</v>
      </c>
      <c r="G268" s="32" t="n">
        <v>6</v>
      </c>
      <c r="H268" s="752" t="n">
        <v>3.6</v>
      </c>
      <c r="I268" s="752" t="n">
        <v>3.81</v>
      </c>
      <c r="J268" s="32" t="n">
        <v>120</v>
      </c>
      <c r="K268" s="32" t="inlineStr">
        <is>
          <t>12</t>
        </is>
      </c>
      <c r="L268" s="33" t="inlineStr">
        <is>
          <t>СК2</t>
        </is>
      </c>
      <c r="M268" s="33" t="n"/>
      <c r="N268" s="32" t="n">
        <v>45</v>
      </c>
      <c r="O268" s="443">
        <f>HYPERLINK("https://abi.ru/products/Охлажденные/Стародворье/Бордо/Сосиски/P004090/","Сосиски «Венские» ф/в 0,6 п/а ТМ «Стародворье»")</f>
        <v/>
      </c>
      <c r="P268" s="372" t="n"/>
      <c r="Q268" s="372" t="n"/>
      <c r="R268" s="372" t="n"/>
      <c r="S268" s="370" t="n"/>
      <c r="T268" s="34" t="n"/>
      <c r="U268" s="34" t="n"/>
      <c r="V268" s="35" t="inlineStr">
        <is>
          <t>кг</t>
        </is>
      </c>
      <c r="W268" s="753" t="n">
        <v>0</v>
      </c>
      <c r="X268" s="754">
        <f>IFERROR(IF(W268="",0,CEILING((W268/$H268),1)*$H268),"")</f>
        <v/>
      </c>
      <c r="Y268" s="36">
        <f>IFERROR(IF(X268=0,"",ROUNDUP(X268/H268,0)*0.00937),"")</f>
        <v/>
      </c>
      <c r="Z268" s="56" t="n"/>
      <c r="AA268" s="57" t="n"/>
      <c r="AE268" s="58" t="n"/>
      <c r="BB268" s="221" t="inlineStr">
        <is>
          <t>КИ</t>
        </is>
      </c>
    </row>
    <row r="269" ht="27" customHeight="1">
      <c r="A269" s="54" t="inlineStr">
        <is>
          <t>SU001341</t>
        </is>
      </c>
      <c r="B269" s="54" t="inlineStr">
        <is>
          <t>P002204</t>
        </is>
      </c>
      <c r="C269" s="31" t="n">
        <v>4301051134</v>
      </c>
      <c r="D269" s="369" t="n">
        <v>4607091381672</v>
      </c>
      <c r="E269" s="370" t="n"/>
      <c r="F269" s="752" t="n">
        <v>0.6</v>
      </c>
      <c r="G269" s="32" t="n">
        <v>6</v>
      </c>
      <c r="H269" s="752" t="n">
        <v>3.6</v>
      </c>
      <c r="I269" s="752" t="n">
        <v>3.876</v>
      </c>
      <c r="J269" s="32" t="n">
        <v>120</v>
      </c>
      <c r="K269" s="32" t="inlineStr">
        <is>
          <t>12</t>
        </is>
      </c>
      <c r="L269" s="33" t="inlineStr">
        <is>
          <t>СК2</t>
        </is>
      </c>
      <c r="M269" s="33" t="n"/>
      <c r="N269" s="32" t="n">
        <v>40</v>
      </c>
      <c r="O269" s="617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9" s="372" t="n"/>
      <c r="Q269" s="372" t="n"/>
      <c r="R269" s="372" t="n"/>
      <c r="S269" s="370" t="n"/>
      <c r="T269" s="34" t="n"/>
      <c r="U269" s="34" t="n"/>
      <c r="V269" s="35" t="inlineStr">
        <is>
          <t>кг</t>
        </is>
      </c>
      <c r="W269" s="753" t="n">
        <v>0</v>
      </c>
      <c r="X269" s="754">
        <f>IFERROR(IF(W269="",0,CEILING((W269/$H269),1)*$H269),"")</f>
        <v/>
      </c>
      <c r="Y269" s="36">
        <f>IFERROR(IF(X269=0,"",ROUNDUP(X269/H269,0)*0.00937),"")</f>
        <v/>
      </c>
      <c r="Z269" s="56" t="n"/>
      <c r="AA269" s="57" t="n"/>
      <c r="AE269" s="58" t="n"/>
      <c r="BB269" s="222" t="inlineStr">
        <is>
          <t>КИ</t>
        </is>
      </c>
    </row>
    <row r="270" ht="27" customHeight="1">
      <c r="A270" s="54" t="inlineStr">
        <is>
          <t>SU001763</t>
        </is>
      </c>
      <c r="B270" s="54" t="inlineStr">
        <is>
          <t>P002206</t>
        </is>
      </c>
      <c r="C270" s="31" t="n">
        <v>4301051130</v>
      </c>
      <c r="D270" s="369" t="n">
        <v>4607091387537</v>
      </c>
      <c r="E270" s="370" t="n"/>
      <c r="F270" s="752" t="n">
        <v>0.45</v>
      </c>
      <c r="G270" s="32" t="n">
        <v>6</v>
      </c>
      <c r="H270" s="752" t="n">
        <v>2.7</v>
      </c>
      <c r="I270" s="752" t="n">
        <v>2.99</v>
      </c>
      <c r="J270" s="32" t="n">
        <v>156</v>
      </c>
      <c r="K270" s="32" t="inlineStr">
        <is>
          <t>12</t>
        </is>
      </c>
      <c r="L270" s="33" t="inlineStr">
        <is>
          <t>СК2</t>
        </is>
      </c>
      <c r="M270" s="33" t="n"/>
      <c r="N270" s="32" t="n">
        <v>40</v>
      </c>
      <c r="O270" s="37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70" s="372" t="n"/>
      <c r="Q270" s="372" t="n"/>
      <c r="R270" s="372" t="n"/>
      <c r="S270" s="370" t="n"/>
      <c r="T270" s="34" t="n"/>
      <c r="U270" s="34" t="n"/>
      <c r="V270" s="35" t="inlineStr">
        <is>
          <t>кг</t>
        </is>
      </c>
      <c r="W270" s="753" t="n">
        <v>0</v>
      </c>
      <c r="X270" s="754">
        <f>IFERROR(IF(W270="",0,CEILING((W270/$H270),1)*$H270),"")</f>
        <v/>
      </c>
      <c r="Y270" s="36">
        <f>IFERROR(IF(X270=0,"",ROUNDUP(X270/H270,0)*0.00753),"")</f>
        <v/>
      </c>
      <c r="Z270" s="56" t="n"/>
      <c r="AA270" s="57" t="n"/>
      <c r="AE270" s="58" t="n"/>
      <c r="BB270" s="223" t="inlineStr">
        <is>
          <t>КИ</t>
        </is>
      </c>
    </row>
    <row r="271" ht="27" customHeight="1">
      <c r="A271" s="54" t="inlineStr">
        <is>
          <t>SU001762</t>
        </is>
      </c>
      <c r="B271" s="54" t="inlineStr">
        <is>
          <t>P002208</t>
        </is>
      </c>
      <c r="C271" s="31" t="n">
        <v>4301051132</v>
      </c>
      <c r="D271" s="369" t="n">
        <v>4607091387513</v>
      </c>
      <c r="E271" s="370" t="n"/>
      <c r="F271" s="752" t="n">
        <v>0.45</v>
      </c>
      <c r="G271" s="32" t="n">
        <v>6</v>
      </c>
      <c r="H271" s="752" t="n">
        <v>2.7</v>
      </c>
      <c r="I271" s="752" t="n">
        <v>2.978</v>
      </c>
      <c r="J271" s="32" t="n">
        <v>156</v>
      </c>
      <c r="K271" s="32" t="inlineStr">
        <is>
          <t>12</t>
        </is>
      </c>
      <c r="L271" s="33" t="inlineStr">
        <is>
          <t>СК2</t>
        </is>
      </c>
      <c r="M271" s="33" t="n"/>
      <c r="N271" s="32" t="n">
        <v>40</v>
      </c>
      <c r="O271" s="4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71" s="372" t="n"/>
      <c r="Q271" s="372" t="n"/>
      <c r="R271" s="372" t="n"/>
      <c r="S271" s="370" t="n"/>
      <c r="T271" s="34" t="n"/>
      <c r="U271" s="34" t="n"/>
      <c r="V271" s="35" t="inlineStr">
        <is>
          <t>кг</t>
        </is>
      </c>
      <c r="W271" s="753" t="n">
        <v>0</v>
      </c>
      <c r="X271" s="754">
        <f>IFERROR(IF(W271="",0,CEILING((W271/$H271),1)*$H271),"")</f>
        <v/>
      </c>
      <c r="Y271" s="36">
        <f>IFERROR(IF(X271=0,"",ROUNDUP(X271/H271,0)*0.00753),"")</f>
        <v/>
      </c>
      <c r="Z271" s="56" t="n"/>
      <c r="AA271" s="57" t="n"/>
      <c r="AE271" s="58" t="n"/>
      <c r="BB271" s="224" t="inlineStr">
        <is>
          <t>КИ</t>
        </is>
      </c>
    </row>
    <row r="272" ht="27" customHeight="1">
      <c r="A272" s="54" t="inlineStr">
        <is>
          <t>SU002619</t>
        </is>
      </c>
      <c r="B272" s="54" t="inlineStr">
        <is>
          <t>P002953</t>
        </is>
      </c>
      <c r="C272" s="31" t="n">
        <v>4301051277</v>
      </c>
      <c r="D272" s="369" t="n">
        <v>4680115880511</v>
      </c>
      <c r="E272" s="370" t="n"/>
      <c r="F272" s="752" t="n">
        <v>0.33</v>
      </c>
      <c r="G272" s="32" t="n">
        <v>6</v>
      </c>
      <c r="H272" s="752" t="n">
        <v>1.98</v>
      </c>
      <c r="I272" s="752" t="n">
        <v>2.18</v>
      </c>
      <c r="J272" s="32" t="n">
        <v>156</v>
      </c>
      <c r="K272" s="32" t="inlineStr">
        <is>
          <t>12</t>
        </is>
      </c>
      <c r="L272" s="33" t="inlineStr">
        <is>
          <t>СК3</t>
        </is>
      </c>
      <c r="M272" s="33" t="n"/>
      <c r="N272" s="32" t="n">
        <v>40</v>
      </c>
      <c r="O272" s="7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72" s="372" t="n"/>
      <c r="Q272" s="372" t="n"/>
      <c r="R272" s="372" t="n"/>
      <c r="S272" s="370" t="n"/>
      <c r="T272" s="34" t="n"/>
      <c r="U272" s="34" t="n"/>
      <c r="V272" s="35" t="inlineStr">
        <is>
          <t>кг</t>
        </is>
      </c>
      <c r="W272" s="753" t="n">
        <v>0</v>
      </c>
      <c r="X272" s="754">
        <f>IFERROR(IF(W272="",0,CEILING((W272/$H272),1)*$H272),"")</f>
        <v/>
      </c>
      <c r="Y272" s="36">
        <f>IFERROR(IF(X272=0,"",ROUNDUP(X272/H272,0)*0.00753),"")</f>
        <v/>
      </c>
      <c r="Z272" s="56" t="n"/>
      <c r="AA272" s="57" t="n"/>
      <c r="AE272" s="58" t="n"/>
      <c r="BB272" s="225" t="inlineStr">
        <is>
          <t>КИ</t>
        </is>
      </c>
    </row>
    <row r="273" ht="27" customHeight="1">
      <c r="A273" s="54" t="inlineStr">
        <is>
          <t>SU002723</t>
        </is>
      </c>
      <c r="B273" s="54" t="inlineStr">
        <is>
          <t>P003124</t>
        </is>
      </c>
      <c r="C273" s="31" t="n">
        <v>4301051344</v>
      </c>
      <c r="D273" s="369" t="n">
        <v>4680115880412</v>
      </c>
      <c r="E273" s="370" t="n"/>
      <c r="F273" s="752" t="n">
        <v>0.33</v>
      </c>
      <c r="G273" s="32" t="n">
        <v>6</v>
      </c>
      <c r="H273" s="752" t="n">
        <v>1.98</v>
      </c>
      <c r="I273" s="752" t="n">
        <v>2.246</v>
      </c>
      <c r="J273" s="32" t="n">
        <v>156</v>
      </c>
      <c r="K273" s="32" t="inlineStr">
        <is>
          <t>12</t>
        </is>
      </c>
      <c r="L273" s="33" t="inlineStr">
        <is>
          <t>СК3</t>
        </is>
      </c>
      <c r="M273" s="33" t="n"/>
      <c r="N273" s="32" t="n">
        <v>45</v>
      </c>
      <c r="O273" s="43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3" s="372" t="n"/>
      <c r="Q273" s="372" t="n"/>
      <c r="R273" s="372" t="n"/>
      <c r="S273" s="370" t="n"/>
      <c r="T273" s="34" t="n"/>
      <c r="U273" s="34" t="n"/>
      <c r="V273" s="35" t="inlineStr">
        <is>
          <t>кг</t>
        </is>
      </c>
      <c r="W273" s="753" t="n">
        <v>0</v>
      </c>
      <c r="X273" s="754">
        <f>IFERROR(IF(W273="",0,CEILING((W273/$H273),1)*$H273),"")</f>
        <v/>
      </c>
      <c r="Y273" s="36">
        <f>IFERROR(IF(X273=0,"",ROUNDUP(X273/H273,0)*0.00753),"")</f>
        <v/>
      </c>
      <c r="Z273" s="56" t="n"/>
      <c r="AA273" s="57" t="n"/>
      <c r="AE273" s="58" t="n"/>
      <c r="BB273" s="226" t="inlineStr">
        <is>
          <t>КИ</t>
        </is>
      </c>
    </row>
    <row r="274">
      <c r="A274" s="396" t="n"/>
      <c r="B274" s="376" t="n"/>
      <c r="C274" s="376" t="n"/>
      <c r="D274" s="376" t="n"/>
      <c r="E274" s="376" t="n"/>
      <c r="F274" s="376" t="n"/>
      <c r="G274" s="376" t="n"/>
      <c r="H274" s="376" t="n"/>
      <c r="I274" s="376" t="n"/>
      <c r="J274" s="376" t="n"/>
      <c r="K274" s="376" t="n"/>
      <c r="L274" s="376" t="n"/>
      <c r="M274" s="376" t="n"/>
      <c r="N274" s="397" t="n"/>
      <c r="O274" s="391" t="inlineStr">
        <is>
          <t>Итого</t>
        </is>
      </c>
      <c r="P274" s="392" t="n"/>
      <c r="Q274" s="392" t="n"/>
      <c r="R274" s="392" t="n"/>
      <c r="S274" s="392" t="n"/>
      <c r="T274" s="392" t="n"/>
      <c r="U274" s="393" t="n"/>
      <c r="V274" s="37" t="inlineStr">
        <is>
          <t>кор</t>
        </is>
      </c>
      <c r="W274" s="755">
        <f>IFERROR(W265/H265,"0")+IFERROR(W266/H266,"0")+IFERROR(W267/H267,"0")+IFERROR(W268/H268,"0")+IFERROR(W269/H269,"0")+IFERROR(W270/H270,"0")+IFERROR(W271/H271,"0")+IFERROR(W272/H272,"0")+IFERROR(W273/H273,"0")</f>
        <v/>
      </c>
      <c r="X274" s="755">
        <f>IFERROR(X265/H265,"0")+IFERROR(X266/H266,"0")+IFERROR(X267/H267,"0")+IFERROR(X268/H268,"0")+IFERROR(X269/H269,"0")+IFERROR(X270/H270,"0")+IFERROR(X271/H271,"0")+IFERROR(X272/H272,"0")+IFERROR(X273/H273,"0")</f>
        <v/>
      </c>
      <c r="Y274" s="755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/>
      </c>
      <c r="Z274" s="756" t="n"/>
      <c r="AA274" s="756" t="n"/>
    </row>
    <row r="275">
      <c r="A275" s="376" t="n"/>
      <c r="B275" s="376" t="n"/>
      <c r="C275" s="376" t="n"/>
      <c r="D275" s="376" t="n"/>
      <c r="E275" s="376" t="n"/>
      <c r="F275" s="376" t="n"/>
      <c r="G275" s="376" t="n"/>
      <c r="H275" s="376" t="n"/>
      <c r="I275" s="376" t="n"/>
      <c r="J275" s="376" t="n"/>
      <c r="K275" s="376" t="n"/>
      <c r="L275" s="376" t="n"/>
      <c r="M275" s="376" t="n"/>
      <c r="N275" s="397" t="n"/>
      <c r="O275" s="391" t="inlineStr">
        <is>
          <t>Итого</t>
        </is>
      </c>
      <c r="P275" s="392" t="n"/>
      <c r="Q275" s="392" t="n"/>
      <c r="R275" s="392" t="n"/>
      <c r="S275" s="392" t="n"/>
      <c r="T275" s="392" t="n"/>
      <c r="U275" s="393" t="n"/>
      <c r="V275" s="37" t="inlineStr">
        <is>
          <t>кг</t>
        </is>
      </c>
      <c r="W275" s="755">
        <f>IFERROR(SUM(W265:W273),"0")</f>
        <v/>
      </c>
      <c r="X275" s="755">
        <f>IFERROR(SUM(X265:X273),"0")</f>
        <v/>
      </c>
      <c r="Y275" s="37" t="n"/>
      <c r="Z275" s="756" t="n"/>
      <c r="AA275" s="756" t="n"/>
    </row>
    <row r="276" ht="14.25" customHeight="1">
      <c r="A276" s="375" t="inlineStr">
        <is>
          <t>Сардельки</t>
        </is>
      </c>
      <c r="B276" s="376" t="n"/>
      <c r="C276" s="376" t="n"/>
      <c r="D276" s="376" t="n"/>
      <c r="E276" s="376" t="n"/>
      <c r="F276" s="376" t="n"/>
      <c r="G276" s="376" t="n"/>
      <c r="H276" s="376" t="n"/>
      <c r="I276" s="376" t="n"/>
      <c r="J276" s="376" t="n"/>
      <c r="K276" s="376" t="n"/>
      <c r="L276" s="376" t="n"/>
      <c r="M276" s="376" t="n"/>
      <c r="N276" s="376" t="n"/>
      <c r="O276" s="376" t="n"/>
      <c r="P276" s="376" t="n"/>
      <c r="Q276" s="376" t="n"/>
      <c r="R276" s="376" t="n"/>
      <c r="S276" s="376" t="n"/>
      <c r="T276" s="376" t="n"/>
      <c r="U276" s="376" t="n"/>
      <c r="V276" s="376" t="n"/>
      <c r="W276" s="376" t="n"/>
      <c r="X276" s="376" t="n"/>
      <c r="Y276" s="376" t="n"/>
      <c r="Z276" s="375" t="n"/>
      <c r="AA276" s="375" t="n"/>
    </row>
    <row r="277" ht="16.5" customHeight="1">
      <c r="A277" s="54" t="inlineStr">
        <is>
          <t>SU001051</t>
        </is>
      </c>
      <c r="B277" s="54" t="inlineStr">
        <is>
          <t>P002061</t>
        </is>
      </c>
      <c r="C277" s="31" t="n">
        <v>4301060326</v>
      </c>
      <c r="D277" s="369" t="n">
        <v>4607091380880</v>
      </c>
      <c r="E277" s="370" t="n"/>
      <c r="F277" s="752" t="n">
        <v>1.4</v>
      </c>
      <c r="G277" s="32" t="n">
        <v>6</v>
      </c>
      <c r="H277" s="752" t="n">
        <v>8.4</v>
      </c>
      <c r="I277" s="752" t="n">
        <v>8.964</v>
      </c>
      <c r="J277" s="32" t="n">
        <v>56</v>
      </c>
      <c r="K277" s="32" t="inlineStr">
        <is>
          <t>8</t>
        </is>
      </c>
      <c r="L277" s="33" t="inlineStr">
        <is>
          <t>СК2</t>
        </is>
      </c>
      <c r="M277" s="33" t="n"/>
      <c r="N277" s="32" t="n">
        <v>30</v>
      </c>
      <c r="O277" s="746">
        <f>HYPERLINK("https://abi.ru/products/Охлажденные/Стародворье/Бордо/Сардельки/P002061/","Сардельки Нежные Бордо Весовые н/о мгс Стародворье")</f>
        <v/>
      </c>
      <c r="P277" s="372" t="n"/>
      <c r="Q277" s="372" t="n"/>
      <c r="R277" s="372" t="n"/>
      <c r="S277" s="370" t="n"/>
      <c r="T277" s="34" t="n"/>
      <c r="U277" s="34" t="n"/>
      <c r="V277" s="35" t="inlineStr">
        <is>
          <t>кг</t>
        </is>
      </c>
      <c r="W277" s="753" t="n">
        <v>0</v>
      </c>
      <c r="X277" s="754">
        <f>IFERROR(IF(W277="",0,CEILING((W277/$H277),1)*$H277),"")</f>
        <v/>
      </c>
      <c r="Y277" s="36">
        <f>IFERROR(IF(X277=0,"",ROUNDUP(X277/H277,0)*0.02175),"")</f>
        <v/>
      </c>
      <c r="Z277" s="56" t="n"/>
      <c r="AA277" s="57" t="n"/>
      <c r="AE277" s="58" t="n"/>
      <c r="BB277" s="227" t="inlineStr">
        <is>
          <t>КИ</t>
        </is>
      </c>
    </row>
    <row r="278" ht="27" customHeight="1">
      <c r="A278" s="54" t="inlineStr">
        <is>
          <t>SU000227</t>
        </is>
      </c>
      <c r="B278" s="54" t="inlineStr">
        <is>
          <t>P002536</t>
        </is>
      </c>
      <c r="C278" s="31" t="n">
        <v>4301060308</v>
      </c>
      <c r="D278" s="369" t="n">
        <v>4607091384482</v>
      </c>
      <c r="E278" s="370" t="n"/>
      <c r="F278" s="752" t="n">
        <v>1.3</v>
      </c>
      <c r="G278" s="32" t="n">
        <v>6</v>
      </c>
      <c r="H278" s="752" t="n">
        <v>7.8</v>
      </c>
      <c r="I278" s="752" t="n">
        <v>8.364000000000001</v>
      </c>
      <c r="J278" s="32" t="n">
        <v>56</v>
      </c>
      <c r="K278" s="32" t="inlineStr">
        <is>
          <t>8</t>
        </is>
      </c>
      <c r="L278" s="33" t="inlineStr">
        <is>
          <t>СК2</t>
        </is>
      </c>
      <c r="M278" s="33" t="n"/>
      <c r="N278" s="32" t="n">
        <v>30</v>
      </c>
      <c r="O278" s="66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8" s="372" t="n"/>
      <c r="Q278" s="372" t="n"/>
      <c r="R278" s="372" t="n"/>
      <c r="S278" s="370" t="n"/>
      <c r="T278" s="34" t="n"/>
      <c r="U278" s="34" t="n"/>
      <c r="V278" s="35" t="inlineStr">
        <is>
          <t>кг</t>
        </is>
      </c>
      <c r="W278" s="753" t="n">
        <v>0</v>
      </c>
      <c r="X278" s="754">
        <f>IFERROR(IF(W278="",0,CEILING((W278/$H278),1)*$H278),"")</f>
        <v/>
      </c>
      <c r="Y278" s="36">
        <f>IFERROR(IF(X278=0,"",ROUNDUP(X278/H278,0)*0.02175),"")</f>
        <v/>
      </c>
      <c r="Z278" s="56" t="n"/>
      <c r="AA278" s="57" t="n"/>
      <c r="AE278" s="58" t="n"/>
      <c r="BB278" s="228" t="inlineStr">
        <is>
          <t>КИ</t>
        </is>
      </c>
    </row>
    <row r="279" ht="16.5" customHeight="1">
      <c r="A279" s="54" t="inlineStr">
        <is>
          <t>SU001430</t>
        </is>
      </c>
      <c r="B279" s="54" t="inlineStr">
        <is>
          <t>P002036</t>
        </is>
      </c>
      <c r="C279" s="31" t="n">
        <v>4301060325</v>
      </c>
      <c r="D279" s="369" t="n">
        <v>4607091380897</v>
      </c>
      <c r="E279" s="370" t="n"/>
      <c r="F279" s="752" t="n">
        <v>1.4</v>
      </c>
      <c r="G279" s="32" t="n">
        <v>6</v>
      </c>
      <c r="H279" s="752" t="n">
        <v>8.4</v>
      </c>
      <c r="I279" s="752" t="n">
        <v>8.964</v>
      </c>
      <c r="J279" s="32" t="n">
        <v>56</v>
      </c>
      <c r="K279" s="32" t="inlineStr">
        <is>
          <t>8</t>
        </is>
      </c>
      <c r="L279" s="33" t="inlineStr">
        <is>
          <t>СК2</t>
        </is>
      </c>
      <c r="M279" s="33" t="n"/>
      <c r="N279" s="32" t="n">
        <v>30</v>
      </c>
      <c r="O279" s="588">
        <f>HYPERLINK("https://abi.ru/products/Охлажденные/Стародворье/Бордо/Сардельки/P002036/","Сардельки Шпикачки Бордо Весовые NDX мгс Стародворье")</f>
        <v/>
      </c>
      <c r="P279" s="372" t="n"/>
      <c r="Q279" s="372" t="n"/>
      <c r="R279" s="372" t="n"/>
      <c r="S279" s="370" t="n"/>
      <c r="T279" s="34" t="n"/>
      <c r="U279" s="34" t="n"/>
      <c r="V279" s="35" t="inlineStr">
        <is>
          <t>кг</t>
        </is>
      </c>
      <c r="W279" s="753" t="n">
        <v>0</v>
      </c>
      <c r="X279" s="754">
        <f>IFERROR(IF(W279="",0,CEILING((W279/$H279),1)*$H279),"")</f>
        <v/>
      </c>
      <c r="Y279" s="36">
        <f>IFERROR(IF(X279=0,"",ROUNDUP(X279/H279,0)*0.02175),"")</f>
        <v/>
      </c>
      <c r="Z279" s="56" t="n"/>
      <c r="AA279" s="57" t="n"/>
      <c r="AE279" s="58" t="n"/>
      <c r="BB279" s="229" t="inlineStr">
        <is>
          <t>КИ</t>
        </is>
      </c>
    </row>
    <row r="280">
      <c r="A280" s="396" t="n"/>
      <c r="B280" s="376" t="n"/>
      <c r="C280" s="376" t="n"/>
      <c r="D280" s="376" t="n"/>
      <c r="E280" s="376" t="n"/>
      <c r="F280" s="376" t="n"/>
      <c r="G280" s="376" t="n"/>
      <c r="H280" s="376" t="n"/>
      <c r="I280" s="376" t="n"/>
      <c r="J280" s="376" t="n"/>
      <c r="K280" s="376" t="n"/>
      <c r="L280" s="376" t="n"/>
      <c r="M280" s="376" t="n"/>
      <c r="N280" s="397" t="n"/>
      <c r="O280" s="391" t="inlineStr">
        <is>
          <t>Итого</t>
        </is>
      </c>
      <c r="P280" s="392" t="n"/>
      <c r="Q280" s="392" t="n"/>
      <c r="R280" s="392" t="n"/>
      <c r="S280" s="392" t="n"/>
      <c r="T280" s="392" t="n"/>
      <c r="U280" s="393" t="n"/>
      <c r="V280" s="37" t="inlineStr">
        <is>
          <t>кор</t>
        </is>
      </c>
      <c r="W280" s="755">
        <f>IFERROR(W277/H277,"0")+IFERROR(W278/H278,"0")+IFERROR(W279/H279,"0")</f>
        <v/>
      </c>
      <c r="X280" s="755">
        <f>IFERROR(X277/H277,"0")+IFERROR(X278/H278,"0")+IFERROR(X279/H279,"0")</f>
        <v/>
      </c>
      <c r="Y280" s="755">
        <f>IFERROR(IF(Y277="",0,Y277),"0")+IFERROR(IF(Y278="",0,Y278),"0")+IFERROR(IF(Y279="",0,Y279),"0")</f>
        <v/>
      </c>
      <c r="Z280" s="756" t="n"/>
      <c r="AA280" s="756" t="n"/>
    </row>
    <row r="281">
      <c r="A281" s="376" t="n"/>
      <c r="B281" s="376" t="n"/>
      <c r="C281" s="376" t="n"/>
      <c r="D281" s="376" t="n"/>
      <c r="E281" s="376" t="n"/>
      <c r="F281" s="376" t="n"/>
      <c r="G281" s="376" t="n"/>
      <c r="H281" s="376" t="n"/>
      <c r="I281" s="376" t="n"/>
      <c r="J281" s="376" t="n"/>
      <c r="K281" s="376" t="n"/>
      <c r="L281" s="376" t="n"/>
      <c r="M281" s="376" t="n"/>
      <c r="N281" s="397" t="n"/>
      <c r="O281" s="391" t="inlineStr">
        <is>
          <t>Итого</t>
        </is>
      </c>
      <c r="P281" s="392" t="n"/>
      <c r="Q281" s="392" t="n"/>
      <c r="R281" s="392" t="n"/>
      <c r="S281" s="392" t="n"/>
      <c r="T281" s="392" t="n"/>
      <c r="U281" s="393" t="n"/>
      <c r="V281" s="37" t="inlineStr">
        <is>
          <t>кг</t>
        </is>
      </c>
      <c r="W281" s="755">
        <f>IFERROR(SUM(W277:W279),"0")</f>
        <v/>
      </c>
      <c r="X281" s="755">
        <f>IFERROR(SUM(X277:X279),"0")</f>
        <v/>
      </c>
      <c r="Y281" s="37" t="n"/>
      <c r="Z281" s="756" t="n"/>
      <c r="AA281" s="756" t="n"/>
    </row>
    <row r="282" ht="14.25" customHeight="1">
      <c r="A282" s="375" t="inlineStr">
        <is>
          <t>Сырокопченые колбасы</t>
        </is>
      </c>
      <c r="B282" s="376" t="n"/>
      <c r="C282" s="376" t="n"/>
      <c r="D282" s="376" t="n"/>
      <c r="E282" s="376" t="n"/>
      <c r="F282" s="376" t="n"/>
      <c r="G282" s="376" t="n"/>
      <c r="H282" s="376" t="n"/>
      <c r="I282" s="376" t="n"/>
      <c r="J282" s="376" t="n"/>
      <c r="K282" s="376" t="n"/>
      <c r="L282" s="376" t="n"/>
      <c r="M282" s="376" t="n"/>
      <c r="N282" s="376" t="n"/>
      <c r="O282" s="376" t="n"/>
      <c r="P282" s="376" t="n"/>
      <c r="Q282" s="376" t="n"/>
      <c r="R282" s="376" t="n"/>
      <c r="S282" s="376" t="n"/>
      <c r="T282" s="376" t="n"/>
      <c r="U282" s="376" t="n"/>
      <c r="V282" s="376" t="n"/>
      <c r="W282" s="376" t="n"/>
      <c r="X282" s="376" t="n"/>
      <c r="Y282" s="376" t="n"/>
      <c r="Z282" s="375" t="n"/>
      <c r="AA282" s="375" t="n"/>
    </row>
    <row r="283" ht="16.5" customHeight="1">
      <c r="A283" s="54" t="inlineStr">
        <is>
          <t>SU001920</t>
        </is>
      </c>
      <c r="B283" s="54" t="inlineStr">
        <is>
          <t>P001900</t>
        </is>
      </c>
      <c r="C283" s="31" t="n">
        <v>4301030232</v>
      </c>
      <c r="D283" s="369" t="n">
        <v>4607091388374</v>
      </c>
      <c r="E283" s="370" t="n"/>
      <c r="F283" s="752" t="n">
        <v>0.38</v>
      </c>
      <c r="G283" s="32" t="n">
        <v>8</v>
      </c>
      <c r="H283" s="752" t="n">
        <v>3.04</v>
      </c>
      <c r="I283" s="752" t="n">
        <v>3.28</v>
      </c>
      <c r="J283" s="32" t="n">
        <v>156</v>
      </c>
      <c r="K283" s="32" t="inlineStr">
        <is>
          <t>12</t>
        </is>
      </c>
      <c r="L283" s="33" t="inlineStr">
        <is>
          <t>АК</t>
        </is>
      </c>
      <c r="M283" s="33" t="n"/>
      <c r="N283" s="32" t="n">
        <v>180</v>
      </c>
      <c r="O283" s="643" t="inlineStr">
        <is>
          <t>С/к колбасы Княжеская Бордо Весовые б/о терм/п Стародворье</t>
        </is>
      </c>
      <c r="P283" s="372" t="n"/>
      <c r="Q283" s="372" t="n"/>
      <c r="R283" s="372" t="n"/>
      <c r="S283" s="370" t="n"/>
      <c r="T283" s="34" t="n"/>
      <c r="U283" s="34" t="n"/>
      <c r="V283" s="35" t="inlineStr">
        <is>
          <t>кг</t>
        </is>
      </c>
      <c r="W283" s="753" t="n">
        <v>0</v>
      </c>
      <c r="X283" s="754">
        <f>IFERROR(IF(W283="",0,CEILING((W283/$H283),1)*$H283),"")</f>
        <v/>
      </c>
      <c r="Y283" s="36">
        <f>IFERROR(IF(X283=0,"",ROUNDUP(X283/H283,0)*0.00753),"")</f>
        <v/>
      </c>
      <c r="Z283" s="56" t="n"/>
      <c r="AA283" s="57" t="n"/>
      <c r="AE283" s="58" t="n"/>
      <c r="BB283" s="230" t="inlineStr">
        <is>
          <t>КИ</t>
        </is>
      </c>
    </row>
    <row r="284" ht="27" customHeight="1">
      <c r="A284" s="54" t="inlineStr">
        <is>
          <t>SU001921</t>
        </is>
      </c>
      <c r="B284" s="54" t="inlineStr">
        <is>
          <t>P001916</t>
        </is>
      </c>
      <c r="C284" s="31" t="n">
        <v>4301030235</v>
      </c>
      <c r="D284" s="369" t="n">
        <v>4607091388381</v>
      </c>
      <c r="E284" s="370" t="n"/>
      <c r="F284" s="752" t="n">
        <v>0.38</v>
      </c>
      <c r="G284" s="32" t="n">
        <v>8</v>
      </c>
      <c r="H284" s="752" t="n">
        <v>3.04</v>
      </c>
      <c r="I284" s="752" t="n">
        <v>3.32</v>
      </c>
      <c r="J284" s="32" t="n">
        <v>156</v>
      </c>
      <c r="K284" s="32" t="inlineStr">
        <is>
          <t>12</t>
        </is>
      </c>
      <c r="L284" s="33" t="inlineStr">
        <is>
          <t>АК</t>
        </is>
      </c>
      <c r="M284" s="33" t="n"/>
      <c r="N284" s="32" t="n">
        <v>180</v>
      </c>
      <c r="O284" s="447" t="inlineStr">
        <is>
          <t>С/к колбасы Салями Охотничья Бордо Весовые б/о терм/п 180 Стародворье</t>
        </is>
      </c>
      <c r="P284" s="372" t="n"/>
      <c r="Q284" s="372" t="n"/>
      <c r="R284" s="372" t="n"/>
      <c r="S284" s="370" t="n"/>
      <c r="T284" s="34" t="n"/>
      <c r="U284" s="34" t="n"/>
      <c r="V284" s="35" t="inlineStr">
        <is>
          <t>кг</t>
        </is>
      </c>
      <c r="W284" s="753" t="n">
        <v>0</v>
      </c>
      <c r="X284" s="754">
        <f>IFERROR(IF(W284="",0,CEILING((W284/$H284),1)*$H284),"")</f>
        <v/>
      </c>
      <c r="Y284" s="36">
        <f>IFERROR(IF(X284=0,"",ROUNDUP(X284/H284,0)*0.00753),"")</f>
        <v/>
      </c>
      <c r="Z284" s="56" t="n"/>
      <c r="AA284" s="57" t="n"/>
      <c r="AE284" s="58" t="n"/>
      <c r="BB284" s="231" t="inlineStr">
        <is>
          <t>КИ</t>
        </is>
      </c>
    </row>
    <row r="285" ht="27" customHeight="1">
      <c r="A285" s="54" t="inlineStr">
        <is>
          <t>SU001869</t>
        </is>
      </c>
      <c r="B285" s="54" t="inlineStr">
        <is>
          <t>P001909</t>
        </is>
      </c>
      <c r="C285" s="31" t="n">
        <v>4301030233</v>
      </c>
      <c r="D285" s="369" t="n">
        <v>4607091388404</v>
      </c>
      <c r="E285" s="370" t="n"/>
      <c r="F285" s="752" t="n">
        <v>0.17</v>
      </c>
      <c r="G285" s="32" t="n">
        <v>15</v>
      </c>
      <c r="H285" s="752" t="n">
        <v>2.55</v>
      </c>
      <c r="I285" s="752" t="n">
        <v>2.9</v>
      </c>
      <c r="J285" s="32" t="n">
        <v>156</v>
      </c>
      <c r="K285" s="32" t="inlineStr">
        <is>
          <t>12</t>
        </is>
      </c>
      <c r="L285" s="33" t="inlineStr">
        <is>
          <t>АК</t>
        </is>
      </c>
      <c r="M285" s="33" t="n"/>
      <c r="N285" s="32" t="n">
        <v>180</v>
      </c>
      <c r="O285" s="6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5" s="372" t="n"/>
      <c r="Q285" s="372" t="n"/>
      <c r="R285" s="372" t="n"/>
      <c r="S285" s="370" t="n"/>
      <c r="T285" s="34" t="n"/>
      <c r="U285" s="34" t="n"/>
      <c r="V285" s="35" t="inlineStr">
        <is>
          <t>кг</t>
        </is>
      </c>
      <c r="W285" s="753" t="n">
        <v>0</v>
      </c>
      <c r="X285" s="754">
        <f>IFERROR(IF(W285="",0,CEILING((W285/$H285),1)*$H285),"")</f>
        <v/>
      </c>
      <c r="Y285" s="36">
        <f>IFERROR(IF(X285=0,"",ROUNDUP(X285/H285,0)*0.00753),"")</f>
        <v/>
      </c>
      <c r="Z285" s="56" t="n"/>
      <c r="AA285" s="57" t="n"/>
      <c r="AE285" s="58" t="n"/>
      <c r="BB285" s="232" t="inlineStr">
        <is>
          <t>КИ</t>
        </is>
      </c>
    </row>
    <row r="286">
      <c r="A286" s="396" t="n"/>
      <c r="B286" s="376" t="n"/>
      <c r="C286" s="376" t="n"/>
      <c r="D286" s="376" t="n"/>
      <c r="E286" s="376" t="n"/>
      <c r="F286" s="376" t="n"/>
      <c r="G286" s="376" t="n"/>
      <c r="H286" s="376" t="n"/>
      <c r="I286" s="376" t="n"/>
      <c r="J286" s="376" t="n"/>
      <c r="K286" s="376" t="n"/>
      <c r="L286" s="376" t="n"/>
      <c r="M286" s="376" t="n"/>
      <c r="N286" s="397" t="n"/>
      <c r="O286" s="391" t="inlineStr">
        <is>
          <t>Итого</t>
        </is>
      </c>
      <c r="P286" s="392" t="n"/>
      <c r="Q286" s="392" t="n"/>
      <c r="R286" s="392" t="n"/>
      <c r="S286" s="392" t="n"/>
      <c r="T286" s="392" t="n"/>
      <c r="U286" s="393" t="n"/>
      <c r="V286" s="37" t="inlineStr">
        <is>
          <t>кор</t>
        </is>
      </c>
      <c r="W286" s="755">
        <f>IFERROR(W283/H283,"0")+IFERROR(W284/H284,"0")+IFERROR(W285/H285,"0")</f>
        <v/>
      </c>
      <c r="X286" s="755">
        <f>IFERROR(X283/H283,"0")+IFERROR(X284/H284,"0")+IFERROR(X285/H285,"0")</f>
        <v/>
      </c>
      <c r="Y286" s="755">
        <f>IFERROR(IF(Y283="",0,Y283),"0")+IFERROR(IF(Y284="",0,Y284),"0")+IFERROR(IF(Y285="",0,Y285),"0")</f>
        <v/>
      </c>
      <c r="Z286" s="756" t="n"/>
      <c r="AA286" s="756" t="n"/>
    </row>
    <row r="287">
      <c r="A287" s="376" t="n"/>
      <c r="B287" s="376" t="n"/>
      <c r="C287" s="376" t="n"/>
      <c r="D287" s="376" t="n"/>
      <c r="E287" s="376" t="n"/>
      <c r="F287" s="376" t="n"/>
      <c r="G287" s="376" t="n"/>
      <c r="H287" s="376" t="n"/>
      <c r="I287" s="376" t="n"/>
      <c r="J287" s="376" t="n"/>
      <c r="K287" s="376" t="n"/>
      <c r="L287" s="376" t="n"/>
      <c r="M287" s="376" t="n"/>
      <c r="N287" s="397" t="n"/>
      <c r="O287" s="391" t="inlineStr">
        <is>
          <t>Итого</t>
        </is>
      </c>
      <c r="P287" s="392" t="n"/>
      <c r="Q287" s="392" t="n"/>
      <c r="R287" s="392" t="n"/>
      <c r="S287" s="392" t="n"/>
      <c r="T287" s="392" t="n"/>
      <c r="U287" s="393" t="n"/>
      <c r="V287" s="37" t="inlineStr">
        <is>
          <t>кг</t>
        </is>
      </c>
      <c r="W287" s="755">
        <f>IFERROR(SUM(W283:W285),"0")</f>
        <v/>
      </c>
      <c r="X287" s="755">
        <f>IFERROR(SUM(X283:X285),"0")</f>
        <v/>
      </c>
      <c r="Y287" s="37" t="n"/>
      <c r="Z287" s="756" t="n"/>
      <c r="AA287" s="756" t="n"/>
    </row>
    <row r="288" ht="14.25" customHeight="1">
      <c r="A288" s="375" t="inlineStr">
        <is>
          <t>Паштеты</t>
        </is>
      </c>
      <c r="B288" s="376" t="n"/>
      <c r="C288" s="376" t="n"/>
      <c r="D288" s="376" t="n"/>
      <c r="E288" s="376" t="n"/>
      <c r="F288" s="376" t="n"/>
      <c r="G288" s="376" t="n"/>
      <c r="H288" s="376" t="n"/>
      <c r="I288" s="376" t="n"/>
      <c r="J288" s="376" t="n"/>
      <c r="K288" s="376" t="n"/>
      <c r="L288" s="376" t="n"/>
      <c r="M288" s="376" t="n"/>
      <c r="N288" s="376" t="n"/>
      <c r="O288" s="376" t="n"/>
      <c r="P288" s="376" t="n"/>
      <c r="Q288" s="376" t="n"/>
      <c r="R288" s="376" t="n"/>
      <c r="S288" s="376" t="n"/>
      <c r="T288" s="376" t="n"/>
      <c r="U288" s="376" t="n"/>
      <c r="V288" s="376" t="n"/>
      <c r="W288" s="376" t="n"/>
      <c r="X288" s="376" t="n"/>
      <c r="Y288" s="376" t="n"/>
      <c r="Z288" s="375" t="n"/>
      <c r="AA288" s="375" t="n"/>
    </row>
    <row r="289" ht="16.5" customHeight="1">
      <c r="A289" s="54" t="inlineStr">
        <is>
          <t>SU002841</t>
        </is>
      </c>
      <c r="B289" s="54" t="inlineStr">
        <is>
          <t>P003253</t>
        </is>
      </c>
      <c r="C289" s="31" t="n">
        <v>4301180007</v>
      </c>
      <c r="D289" s="369" t="n">
        <v>4680115881808</v>
      </c>
      <c r="E289" s="370" t="n"/>
      <c r="F289" s="752" t="n">
        <v>0.1</v>
      </c>
      <c r="G289" s="32" t="n">
        <v>20</v>
      </c>
      <c r="H289" s="752" t="n">
        <v>2</v>
      </c>
      <c r="I289" s="752" t="n">
        <v>2.24</v>
      </c>
      <c r="J289" s="32" t="n">
        <v>238</v>
      </c>
      <c r="K289" s="32" t="inlineStr">
        <is>
          <t>14</t>
        </is>
      </c>
      <c r="L289" s="33" t="inlineStr">
        <is>
          <t>РК</t>
        </is>
      </c>
      <c r="M289" s="33" t="n"/>
      <c r="N289" s="32" t="n">
        <v>730</v>
      </c>
      <c r="O289" s="50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9" s="372" t="n"/>
      <c r="Q289" s="372" t="n"/>
      <c r="R289" s="372" t="n"/>
      <c r="S289" s="370" t="n"/>
      <c r="T289" s="34" t="n"/>
      <c r="U289" s="34" t="n"/>
      <c r="V289" s="35" t="inlineStr">
        <is>
          <t>кг</t>
        </is>
      </c>
      <c r="W289" s="753" t="n">
        <v>0</v>
      </c>
      <c r="X289" s="754">
        <f>IFERROR(IF(W289="",0,CEILING((W289/$H289),1)*$H289),"")</f>
        <v/>
      </c>
      <c r="Y289" s="36">
        <f>IFERROR(IF(X289=0,"",ROUNDUP(X289/H289,0)*0.00474),"")</f>
        <v/>
      </c>
      <c r="Z289" s="56" t="n"/>
      <c r="AA289" s="57" t="n"/>
      <c r="AE289" s="58" t="n"/>
      <c r="BB289" s="233" t="inlineStr">
        <is>
          <t>КИ</t>
        </is>
      </c>
    </row>
    <row r="290" ht="27" customHeight="1">
      <c r="A290" s="54" t="inlineStr">
        <is>
          <t>SU002840</t>
        </is>
      </c>
      <c r="B290" s="54" t="inlineStr">
        <is>
          <t>P003252</t>
        </is>
      </c>
      <c r="C290" s="31" t="n">
        <v>4301180006</v>
      </c>
      <c r="D290" s="369" t="n">
        <v>4680115881822</v>
      </c>
      <c r="E290" s="370" t="n"/>
      <c r="F290" s="752" t="n">
        <v>0.1</v>
      </c>
      <c r="G290" s="32" t="n">
        <v>20</v>
      </c>
      <c r="H290" s="752" t="n">
        <v>2</v>
      </c>
      <c r="I290" s="752" t="n">
        <v>2.24</v>
      </c>
      <c r="J290" s="32" t="n">
        <v>238</v>
      </c>
      <c r="K290" s="32" t="inlineStr">
        <is>
          <t>14</t>
        </is>
      </c>
      <c r="L290" s="33" t="inlineStr">
        <is>
          <t>РК</t>
        </is>
      </c>
      <c r="M290" s="33" t="n"/>
      <c r="N290" s="32" t="n">
        <v>730</v>
      </c>
      <c r="O290" s="5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90" s="372" t="n"/>
      <c r="Q290" s="372" t="n"/>
      <c r="R290" s="372" t="n"/>
      <c r="S290" s="370" t="n"/>
      <c r="T290" s="34" t="n"/>
      <c r="U290" s="34" t="n"/>
      <c r="V290" s="35" t="inlineStr">
        <is>
          <t>кг</t>
        </is>
      </c>
      <c r="W290" s="753" t="n">
        <v>0</v>
      </c>
      <c r="X290" s="754">
        <f>IFERROR(IF(W290="",0,CEILING((W290/$H290),1)*$H290),"")</f>
        <v/>
      </c>
      <c r="Y290" s="36">
        <f>IFERROR(IF(X290=0,"",ROUNDUP(X290/H290,0)*0.00474),"")</f>
        <v/>
      </c>
      <c r="Z290" s="56" t="n"/>
      <c r="AA290" s="57" t="n"/>
      <c r="AE290" s="58" t="n"/>
      <c r="BB290" s="234" t="inlineStr">
        <is>
          <t>КИ</t>
        </is>
      </c>
    </row>
    <row r="291" ht="27" customHeight="1">
      <c r="A291" s="54" t="inlineStr">
        <is>
          <t>SU002368</t>
        </is>
      </c>
      <c r="B291" s="54" t="inlineStr">
        <is>
          <t>P002648</t>
        </is>
      </c>
      <c r="C291" s="31" t="n">
        <v>4301180001</v>
      </c>
      <c r="D291" s="369" t="n">
        <v>4680115880016</v>
      </c>
      <c r="E291" s="370" t="n"/>
      <c r="F291" s="752" t="n">
        <v>0.1</v>
      </c>
      <c r="G291" s="32" t="n">
        <v>20</v>
      </c>
      <c r="H291" s="752" t="n">
        <v>2</v>
      </c>
      <c r="I291" s="752" t="n">
        <v>2.24</v>
      </c>
      <c r="J291" s="32" t="n">
        <v>238</v>
      </c>
      <c r="K291" s="32" t="inlineStr">
        <is>
          <t>14</t>
        </is>
      </c>
      <c r="L291" s="33" t="inlineStr">
        <is>
          <t>РК</t>
        </is>
      </c>
      <c r="M291" s="33" t="n"/>
      <c r="N291" s="32" t="n">
        <v>730</v>
      </c>
      <c r="O291" s="4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91" s="372" t="n"/>
      <c r="Q291" s="372" t="n"/>
      <c r="R291" s="372" t="n"/>
      <c r="S291" s="370" t="n"/>
      <c r="T291" s="34" t="n"/>
      <c r="U291" s="34" t="n"/>
      <c r="V291" s="35" t="inlineStr">
        <is>
          <t>кг</t>
        </is>
      </c>
      <c r="W291" s="753" t="n">
        <v>0</v>
      </c>
      <c r="X291" s="754">
        <f>IFERROR(IF(W291="",0,CEILING((W291/$H291),1)*$H291),"")</f>
        <v/>
      </c>
      <c r="Y291" s="36">
        <f>IFERROR(IF(X291=0,"",ROUNDUP(X291/H291,0)*0.00474),"")</f>
        <v/>
      </c>
      <c r="Z291" s="56" t="n"/>
      <c r="AA291" s="57" t="n"/>
      <c r="AE291" s="58" t="n"/>
      <c r="BB291" s="235" t="inlineStr">
        <is>
          <t>КИ</t>
        </is>
      </c>
    </row>
    <row r="292">
      <c r="A292" s="396" t="n"/>
      <c r="B292" s="376" t="n"/>
      <c r="C292" s="376" t="n"/>
      <c r="D292" s="376" t="n"/>
      <c r="E292" s="376" t="n"/>
      <c r="F292" s="376" t="n"/>
      <c r="G292" s="376" t="n"/>
      <c r="H292" s="376" t="n"/>
      <c r="I292" s="376" t="n"/>
      <c r="J292" s="376" t="n"/>
      <c r="K292" s="376" t="n"/>
      <c r="L292" s="376" t="n"/>
      <c r="M292" s="376" t="n"/>
      <c r="N292" s="397" t="n"/>
      <c r="O292" s="391" t="inlineStr">
        <is>
          <t>Итого</t>
        </is>
      </c>
      <c r="P292" s="392" t="n"/>
      <c r="Q292" s="392" t="n"/>
      <c r="R292" s="392" t="n"/>
      <c r="S292" s="392" t="n"/>
      <c r="T292" s="392" t="n"/>
      <c r="U292" s="393" t="n"/>
      <c r="V292" s="37" t="inlineStr">
        <is>
          <t>кор</t>
        </is>
      </c>
      <c r="W292" s="755">
        <f>IFERROR(W289/H289,"0")+IFERROR(W290/H290,"0")+IFERROR(W291/H291,"0")</f>
        <v/>
      </c>
      <c r="X292" s="755">
        <f>IFERROR(X289/H289,"0")+IFERROR(X290/H290,"0")+IFERROR(X291/H291,"0")</f>
        <v/>
      </c>
      <c r="Y292" s="755">
        <f>IFERROR(IF(Y289="",0,Y289),"0")+IFERROR(IF(Y290="",0,Y290),"0")+IFERROR(IF(Y291="",0,Y291),"0")</f>
        <v/>
      </c>
      <c r="Z292" s="756" t="n"/>
      <c r="AA292" s="756" t="n"/>
    </row>
    <row r="293">
      <c r="A293" s="376" t="n"/>
      <c r="B293" s="376" t="n"/>
      <c r="C293" s="376" t="n"/>
      <c r="D293" s="376" t="n"/>
      <c r="E293" s="376" t="n"/>
      <c r="F293" s="376" t="n"/>
      <c r="G293" s="376" t="n"/>
      <c r="H293" s="376" t="n"/>
      <c r="I293" s="376" t="n"/>
      <c r="J293" s="376" t="n"/>
      <c r="K293" s="376" t="n"/>
      <c r="L293" s="376" t="n"/>
      <c r="M293" s="376" t="n"/>
      <c r="N293" s="397" t="n"/>
      <c r="O293" s="391" t="inlineStr">
        <is>
          <t>Итого</t>
        </is>
      </c>
      <c r="P293" s="392" t="n"/>
      <c r="Q293" s="392" t="n"/>
      <c r="R293" s="392" t="n"/>
      <c r="S293" s="392" t="n"/>
      <c r="T293" s="392" t="n"/>
      <c r="U293" s="393" t="n"/>
      <c r="V293" s="37" t="inlineStr">
        <is>
          <t>кг</t>
        </is>
      </c>
      <c r="W293" s="755">
        <f>IFERROR(SUM(W289:W291),"0")</f>
        <v/>
      </c>
      <c r="X293" s="755">
        <f>IFERROR(SUM(X289:X291),"0")</f>
        <v/>
      </c>
      <c r="Y293" s="37" t="n"/>
      <c r="Z293" s="756" t="n"/>
      <c r="AA293" s="756" t="n"/>
    </row>
    <row r="294" ht="16.5" customHeight="1">
      <c r="A294" s="378" t="inlineStr">
        <is>
          <t>Фирменная</t>
        </is>
      </c>
      <c r="B294" s="376" t="n"/>
      <c r="C294" s="376" t="n"/>
      <c r="D294" s="376" t="n"/>
      <c r="E294" s="376" t="n"/>
      <c r="F294" s="376" t="n"/>
      <c r="G294" s="376" t="n"/>
      <c r="H294" s="376" t="n"/>
      <c r="I294" s="376" t="n"/>
      <c r="J294" s="376" t="n"/>
      <c r="K294" s="376" t="n"/>
      <c r="L294" s="376" t="n"/>
      <c r="M294" s="376" t="n"/>
      <c r="N294" s="376" t="n"/>
      <c r="O294" s="376" t="n"/>
      <c r="P294" s="376" t="n"/>
      <c r="Q294" s="376" t="n"/>
      <c r="R294" s="376" t="n"/>
      <c r="S294" s="376" t="n"/>
      <c r="T294" s="376" t="n"/>
      <c r="U294" s="376" t="n"/>
      <c r="V294" s="376" t="n"/>
      <c r="W294" s="376" t="n"/>
      <c r="X294" s="376" t="n"/>
      <c r="Y294" s="376" t="n"/>
      <c r="Z294" s="378" t="n"/>
      <c r="AA294" s="378" t="n"/>
    </row>
    <row r="295" ht="14.25" customHeight="1">
      <c r="A295" s="375" t="inlineStr">
        <is>
          <t>Вареные колбасы</t>
        </is>
      </c>
      <c r="B295" s="376" t="n"/>
      <c r="C295" s="376" t="n"/>
      <c r="D295" s="376" t="n"/>
      <c r="E295" s="376" t="n"/>
      <c r="F295" s="376" t="n"/>
      <c r="G295" s="376" t="n"/>
      <c r="H295" s="376" t="n"/>
      <c r="I295" s="376" t="n"/>
      <c r="J295" s="376" t="n"/>
      <c r="K295" s="376" t="n"/>
      <c r="L295" s="376" t="n"/>
      <c r="M295" s="376" t="n"/>
      <c r="N295" s="376" t="n"/>
      <c r="O295" s="376" t="n"/>
      <c r="P295" s="376" t="n"/>
      <c r="Q295" s="376" t="n"/>
      <c r="R295" s="376" t="n"/>
      <c r="S295" s="376" t="n"/>
      <c r="T295" s="376" t="n"/>
      <c r="U295" s="376" t="n"/>
      <c r="V295" s="376" t="n"/>
      <c r="W295" s="376" t="n"/>
      <c r="X295" s="376" t="n"/>
      <c r="Y295" s="376" t="n"/>
      <c r="Z295" s="375" t="n"/>
      <c r="AA295" s="375" t="n"/>
    </row>
    <row r="296" ht="27" customHeight="1">
      <c r="A296" s="54" t="inlineStr">
        <is>
          <t>SU001793</t>
        </is>
      </c>
      <c r="B296" s="54" t="inlineStr">
        <is>
          <t>P001793</t>
        </is>
      </c>
      <c r="C296" s="31" t="n">
        <v>4301011315</v>
      </c>
      <c r="D296" s="369" t="n">
        <v>4607091387421</v>
      </c>
      <c r="E296" s="370" t="n"/>
      <c r="F296" s="752" t="n">
        <v>1.35</v>
      </c>
      <c r="G296" s="32" t="n">
        <v>8</v>
      </c>
      <c r="H296" s="752" t="n">
        <v>10.8</v>
      </c>
      <c r="I296" s="752" t="n">
        <v>11.28</v>
      </c>
      <c r="J296" s="32" t="n">
        <v>56</v>
      </c>
      <c r="K296" s="32" t="inlineStr">
        <is>
          <t>8</t>
        </is>
      </c>
      <c r="L296" s="33" t="inlineStr">
        <is>
          <t>СК1</t>
        </is>
      </c>
      <c r="M296" s="33" t="n"/>
      <c r="N296" s="32" t="n">
        <v>55</v>
      </c>
      <c r="O296" s="42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6" s="372" t="n"/>
      <c r="Q296" s="372" t="n"/>
      <c r="R296" s="372" t="n"/>
      <c r="S296" s="370" t="n"/>
      <c r="T296" s="34" t="n"/>
      <c r="U296" s="34" t="n"/>
      <c r="V296" s="35" t="inlineStr">
        <is>
          <t>кг</t>
        </is>
      </c>
      <c r="W296" s="753" t="n">
        <v>0</v>
      </c>
      <c r="X296" s="754">
        <f>IFERROR(IF(W296="",0,CEILING((W296/$H296),1)*$H296),"")</f>
        <v/>
      </c>
      <c r="Y296" s="36">
        <f>IFERROR(IF(X296=0,"",ROUNDUP(X296/H296,0)*0.02175),"")</f>
        <v/>
      </c>
      <c r="Z296" s="56" t="n"/>
      <c r="AA296" s="57" t="n"/>
      <c r="AE296" s="58" t="n"/>
      <c r="BB296" s="236" t="inlineStr">
        <is>
          <t>КИ</t>
        </is>
      </c>
    </row>
    <row r="297" ht="27" customHeight="1">
      <c r="A297" s="54" t="inlineStr">
        <is>
          <t>SU001793</t>
        </is>
      </c>
      <c r="B297" s="54" t="inlineStr">
        <is>
          <t>P002227</t>
        </is>
      </c>
      <c r="C297" s="31" t="n">
        <v>4301011121</v>
      </c>
      <c r="D297" s="369" t="n">
        <v>4607091387421</v>
      </c>
      <c r="E297" s="370" t="n"/>
      <c r="F297" s="752" t="n">
        <v>1.35</v>
      </c>
      <c r="G297" s="32" t="n">
        <v>8</v>
      </c>
      <c r="H297" s="752" t="n">
        <v>10.8</v>
      </c>
      <c r="I297" s="752" t="n">
        <v>11.28</v>
      </c>
      <c r="J297" s="32" t="n">
        <v>48</v>
      </c>
      <c r="K297" s="32" t="inlineStr">
        <is>
          <t>8</t>
        </is>
      </c>
      <c r="L297" s="33" t="inlineStr">
        <is>
          <t>ВЗ</t>
        </is>
      </c>
      <c r="M297" s="33" t="n"/>
      <c r="N297" s="32" t="n">
        <v>55</v>
      </c>
      <c r="O297" s="68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7" s="372" t="n"/>
      <c r="Q297" s="372" t="n"/>
      <c r="R297" s="372" t="n"/>
      <c r="S297" s="370" t="n"/>
      <c r="T297" s="34" t="n"/>
      <c r="U297" s="34" t="n"/>
      <c r="V297" s="35" t="inlineStr">
        <is>
          <t>кг</t>
        </is>
      </c>
      <c r="W297" s="753" t="n">
        <v>0</v>
      </c>
      <c r="X297" s="754">
        <f>IFERROR(IF(W297="",0,CEILING((W297/$H297),1)*$H297),"")</f>
        <v/>
      </c>
      <c r="Y297" s="36">
        <f>IFERROR(IF(X297=0,"",ROUNDUP(X297/H297,0)*0.02039),"")</f>
        <v/>
      </c>
      <c r="Z297" s="56" t="n"/>
      <c r="AA297" s="57" t="n"/>
      <c r="AE297" s="58" t="n"/>
      <c r="BB297" s="237" t="inlineStr">
        <is>
          <t>КИ</t>
        </is>
      </c>
    </row>
    <row r="298" ht="27" customHeight="1">
      <c r="A298" s="54" t="inlineStr">
        <is>
          <t>SU001799</t>
        </is>
      </c>
      <c r="B298" s="54" t="inlineStr">
        <is>
          <t>P001799</t>
        </is>
      </c>
      <c r="C298" s="31" t="n">
        <v>4301011322</v>
      </c>
      <c r="D298" s="369" t="n">
        <v>4607091387452</v>
      </c>
      <c r="E298" s="370" t="n"/>
      <c r="F298" s="752" t="n">
        <v>1.35</v>
      </c>
      <c r="G298" s="32" t="n">
        <v>8</v>
      </c>
      <c r="H298" s="752" t="n">
        <v>10.8</v>
      </c>
      <c r="I298" s="752" t="n">
        <v>11.28</v>
      </c>
      <c r="J298" s="32" t="n">
        <v>56</v>
      </c>
      <c r="K298" s="32" t="inlineStr">
        <is>
          <t>8</t>
        </is>
      </c>
      <c r="L298" s="33" t="inlineStr">
        <is>
          <t>СК3</t>
        </is>
      </c>
      <c r="M298" s="33" t="n"/>
      <c r="N298" s="32" t="n">
        <v>55</v>
      </c>
      <c r="O298" s="64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8" s="372" t="n"/>
      <c r="Q298" s="372" t="n"/>
      <c r="R298" s="372" t="n"/>
      <c r="S298" s="370" t="n"/>
      <c r="T298" s="34" t="n"/>
      <c r="U298" s="34" t="n"/>
      <c r="V298" s="35" t="inlineStr">
        <is>
          <t>кг</t>
        </is>
      </c>
      <c r="W298" s="753" t="n">
        <v>0</v>
      </c>
      <c r="X298" s="754">
        <f>IFERROR(IF(W298="",0,CEILING((W298/$H298),1)*$H298),"")</f>
        <v/>
      </c>
      <c r="Y298" s="36">
        <f>IFERROR(IF(X298=0,"",ROUNDUP(X298/H298,0)*0.02175),"")</f>
        <v/>
      </c>
      <c r="Z298" s="56" t="n"/>
      <c r="AA298" s="57" t="n"/>
      <c r="AE298" s="58" t="n"/>
      <c r="BB298" s="238" t="inlineStr">
        <is>
          <t>КИ</t>
        </is>
      </c>
    </row>
    <row r="299" ht="27" customHeight="1">
      <c r="A299" s="54" t="inlineStr">
        <is>
          <t>SU001799</t>
        </is>
      </c>
      <c r="B299" s="54" t="inlineStr">
        <is>
          <t>P003076</t>
        </is>
      </c>
      <c r="C299" s="31" t="n">
        <v>4301011396</v>
      </c>
      <c r="D299" s="369" t="n">
        <v>4607091387452</v>
      </c>
      <c r="E299" s="370" t="n"/>
      <c r="F299" s="752" t="n">
        <v>1.35</v>
      </c>
      <c r="G299" s="32" t="n">
        <v>8</v>
      </c>
      <c r="H299" s="752" t="n">
        <v>10.8</v>
      </c>
      <c r="I299" s="752" t="n">
        <v>11.28</v>
      </c>
      <c r="J299" s="32" t="n">
        <v>48</v>
      </c>
      <c r="K299" s="32" t="inlineStr">
        <is>
          <t>8</t>
        </is>
      </c>
      <c r="L299" s="33" t="inlineStr">
        <is>
          <t>ВЗ</t>
        </is>
      </c>
      <c r="M299" s="33" t="n"/>
      <c r="N299" s="32" t="n">
        <v>55</v>
      </c>
      <c r="O299" s="71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P299" s="372" t="n"/>
      <c r="Q299" s="372" t="n"/>
      <c r="R299" s="372" t="n"/>
      <c r="S299" s="370" t="n"/>
      <c r="T299" s="34" t="n"/>
      <c r="U299" s="34" t="n"/>
      <c r="V299" s="35" t="inlineStr">
        <is>
          <t>кг</t>
        </is>
      </c>
      <c r="W299" s="753" t="n">
        <v>0</v>
      </c>
      <c r="X299" s="754">
        <f>IFERROR(IF(W299="",0,CEILING((W299/$H299),1)*$H299),"")</f>
        <v/>
      </c>
      <c r="Y299" s="36">
        <f>IFERROR(IF(X299=0,"",ROUNDUP(X299/H299,0)*0.02039),"")</f>
        <v/>
      </c>
      <c r="Z299" s="56" t="n"/>
      <c r="AA299" s="57" t="n"/>
      <c r="AE299" s="58" t="n"/>
      <c r="BB299" s="239" t="inlineStr">
        <is>
          <t>КИ</t>
        </is>
      </c>
    </row>
    <row r="300" ht="27" customHeight="1">
      <c r="A300" s="54" t="inlineStr">
        <is>
          <t>SU001799</t>
        </is>
      </c>
      <c r="B300" s="54" t="inlineStr">
        <is>
          <t>P003673</t>
        </is>
      </c>
      <c r="C300" s="31" t="n">
        <v>4301011619</v>
      </c>
      <c r="D300" s="369" t="n">
        <v>4607091387452</v>
      </c>
      <c r="E300" s="370" t="n"/>
      <c r="F300" s="752" t="n">
        <v>1.45</v>
      </c>
      <c r="G300" s="32" t="n">
        <v>8</v>
      </c>
      <c r="H300" s="752" t="n">
        <v>11.6</v>
      </c>
      <c r="I300" s="752" t="n">
        <v>12.08</v>
      </c>
      <c r="J300" s="32" t="n">
        <v>56</v>
      </c>
      <c r="K300" s="32" t="inlineStr">
        <is>
          <t>8</t>
        </is>
      </c>
      <c r="L300" s="33" t="inlineStr">
        <is>
          <t>СК1</t>
        </is>
      </c>
      <c r="M300" s="33" t="n"/>
      <c r="N300" s="32" t="n">
        <v>55</v>
      </c>
      <c r="O300" s="49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300" s="372" t="n"/>
      <c r="Q300" s="372" t="n"/>
      <c r="R300" s="372" t="n"/>
      <c r="S300" s="370" t="n"/>
      <c r="T300" s="34" t="n"/>
      <c r="U300" s="34" t="n"/>
      <c r="V300" s="35" t="inlineStr">
        <is>
          <t>кг</t>
        </is>
      </c>
      <c r="W300" s="753" t="n">
        <v>0</v>
      </c>
      <c r="X300" s="754">
        <f>IFERROR(IF(W300="",0,CEILING((W300/$H300),1)*$H300),"")</f>
        <v/>
      </c>
      <c r="Y300" s="36">
        <f>IFERROR(IF(X300=0,"",ROUNDUP(X300/H300,0)*0.02175),"")</f>
        <v/>
      </c>
      <c r="Z300" s="56" t="n"/>
      <c r="AA300" s="57" t="n"/>
      <c r="AE300" s="58" t="n"/>
      <c r="BB300" s="240" t="inlineStr">
        <is>
          <t>КИ</t>
        </is>
      </c>
    </row>
    <row r="301" ht="27" customHeight="1">
      <c r="A301" s="54" t="inlineStr">
        <is>
          <t>SU001792</t>
        </is>
      </c>
      <c r="B301" s="54" t="inlineStr">
        <is>
          <t>P001792</t>
        </is>
      </c>
      <c r="C301" s="31" t="n">
        <v>4301011313</v>
      </c>
      <c r="D301" s="369" t="n">
        <v>4607091385984</v>
      </c>
      <c r="E301" s="370" t="n"/>
      <c r="F301" s="752" t="n">
        <v>1.35</v>
      </c>
      <c r="G301" s="32" t="n">
        <v>8</v>
      </c>
      <c r="H301" s="752" t="n">
        <v>10.8</v>
      </c>
      <c r="I301" s="752" t="n">
        <v>11.28</v>
      </c>
      <c r="J301" s="32" t="n">
        <v>56</v>
      </c>
      <c r="K301" s="32" t="inlineStr">
        <is>
          <t>8</t>
        </is>
      </c>
      <c r="L301" s="33" t="inlineStr">
        <is>
          <t>СК1</t>
        </is>
      </c>
      <c r="M301" s="33" t="n"/>
      <c r="N301" s="32" t="n">
        <v>55</v>
      </c>
      <c r="O301" s="6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301" s="372" t="n"/>
      <c r="Q301" s="372" t="n"/>
      <c r="R301" s="372" t="n"/>
      <c r="S301" s="370" t="n"/>
      <c r="T301" s="34" t="n"/>
      <c r="U301" s="34" t="n"/>
      <c r="V301" s="35" t="inlineStr">
        <is>
          <t>кг</t>
        </is>
      </c>
      <c r="W301" s="753" t="n">
        <v>0</v>
      </c>
      <c r="X301" s="754">
        <f>IFERROR(IF(W301="",0,CEILING((W301/$H301),1)*$H301),"")</f>
        <v/>
      </c>
      <c r="Y301" s="36">
        <f>IFERROR(IF(X301=0,"",ROUNDUP(X301/H301,0)*0.02175),"")</f>
        <v/>
      </c>
      <c r="Z301" s="56" t="n"/>
      <c r="AA301" s="57" t="n"/>
      <c r="AE301" s="58" t="n"/>
      <c r="BB301" s="241" t="inlineStr">
        <is>
          <t>КИ</t>
        </is>
      </c>
    </row>
    <row r="302" ht="27" customHeight="1">
      <c r="A302" s="54" t="inlineStr">
        <is>
          <t>SU001794</t>
        </is>
      </c>
      <c r="B302" s="54" t="inlineStr">
        <is>
          <t>P001794</t>
        </is>
      </c>
      <c r="C302" s="31" t="n">
        <v>4301011316</v>
      </c>
      <c r="D302" s="369" t="n">
        <v>4607091387438</v>
      </c>
      <c r="E302" s="370" t="n"/>
      <c r="F302" s="752" t="n">
        <v>0.5</v>
      </c>
      <c r="G302" s="32" t="n">
        <v>10</v>
      </c>
      <c r="H302" s="752" t="n">
        <v>5</v>
      </c>
      <c r="I302" s="752" t="n">
        <v>5.24</v>
      </c>
      <c r="J302" s="32" t="n">
        <v>120</v>
      </c>
      <c r="K302" s="32" t="inlineStr">
        <is>
          <t>12</t>
        </is>
      </c>
      <c r="L302" s="33" t="inlineStr">
        <is>
          <t>СК1</t>
        </is>
      </c>
      <c r="M302" s="33" t="n"/>
      <c r="N302" s="32" t="n">
        <v>55</v>
      </c>
      <c r="O302" s="48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302" s="372" t="n"/>
      <c r="Q302" s="372" t="n"/>
      <c r="R302" s="372" t="n"/>
      <c r="S302" s="370" t="n"/>
      <c r="T302" s="34" t="n"/>
      <c r="U302" s="34" t="n"/>
      <c r="V302" s="35" t="inlineStr">
        <is>
          <t>кг</t>
        </is>
      </c>
      <c r="W302" s="753" t="n">
        <v>0</v>
      </c>
      <c r="X302" s="754">
        <f>IFERROR(IF(W302="",0,CEILING((W302/$H302),1)*$H302),"")</f>
        <v/>
      </c>
      <c r="Y302" s="36">
        <f>IFERROR(IF(X302=0,"",ROUNDUP(X302/H302,0)*0.00937),"")</f>
        <v/>
      </c>
      <c r="Z302" s="56" t="n"/>
      <c r="AA302" s="57" t="n"/>
      <c r="AE302" s="58" t="n"/>
      <c r="BB302" s="242" t="inlineStr">
        <is>
          <t>КИ</t>
        </is>
      </c>
    </row>
    <row r="303" ht="27" customHeight="1">
      <c r="A303" s="54" t="inlineStr">
        <is>
          <t>SU001795</t>
        </is>
      </c>
      <c r="B303" s="54" t="inlineStr">
        <is>
          <t>P001795</t>
        </is>
      </c>
      <c r="C303" s="31" t="n">
        <v>4301011318</v>
      </c>
      <c r="D303" s="369" t="n">
        <v>4607091387469</v>
      </c>
      <c r="E303" s="370" t="n"/>
      <c r="F303" s="752" t="n">
        <v>0.5</v>
      </c>
      <c r="G303" s="32" t="n">
        <v>10</v>
      </c>
      <c r="H303" s="752" t="n">
        <v>5</v>
      </c>
      <c r="I303" s="752" t="n">
        <v>5.21</v>
      </c>
      <c r="J303" s="32" t="n">
        <v>120</v>
      </c>
      <c r="K303" s="32" t="inlineStr">
        <is>
          <t>12</t>
        </is>
      </c>
      <c r="L303" s="33" t="inlineStr">
        <is>
          <t>СК2</t>
        </is>
      </c>
      <c r="M303" s="33" t="n"/>
      <c r="N303" s="32" t="n">
        <v>55</v>
      </c>
      <c r="O303" s="6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303" s="372" t="n"/>
      <c r="Q303" s="372" t="n"/>
      <c r="R303" s="372" t="n"/>
      <c r="S303" s="370" t="n"/>
      <c r="T303" s="34" t="n"/>
      <c r="U303" s="34" t="n"/>
      <c r="V303" s="35" t="inlineStr">
        <is>
          <t>кг</t>
        </is>
      </c>
      <c r="W303" s="753" t="n">
        <v>0</v>
      </c>
      <c r="X303" s="754">
        <f>IFERROR(IF(W303="",0,CEILING((W303/$H303),1)*$H303),"")</f>
        <v/>
      </c>
      <c r="Y303" s="36">
        <f>IFERROR(IF(X303=0,"",ROUNDUP(X303/H303,0)*0.00937),"")</f>
        <v/>
      </c>
      <c r="Z303" s="56" t="n"/>
      <c r="AA303" s="57" t="n"/>
      <c r="AE303" s="58" t="n"/>
      <c r="BB303" s="243" t="inlineStr">
        <is>
          <t>КИ</t>
        </is>
      </c>
    </row>
    <row r="304">
      <c r="A304" s="396" t="n"/>
      <c r="B304" s="376" t="n"/>
      <c r="C304" s="376" t="n"/>
      <c r="D304" s="376" t="n"/>
      <c r="E304" s="376" t="n"/>
      <c r="F304" s="376" t="n"/>
      <c r="G304" s="376" t="n"/>
      <c r="H304" s="376" t="n"/>
      <c r="I304" s="376" t="n"/>
      <c r="J304" s="376" t="n"/>
      <c r="K304" s="376" t="n"/>
      <c r="L304" s="376" t="n"/>
      <c r="M304" s="376" t="n"/>
      <c r="N304" s="397" t="n"/>
      <c r="O304" s="391" t="inlineStr">
        <is>
          <t>Итого</t>
        </is>
      </c>
      <c r="P304" s="392" t="n"/>
      <c r="Q304" s="392" t="n"/>
      <c r="R304" s="392" t="n"/>
      <c r="S304" s="392" t="n"/>
      <c r="T304" s="392" t="n"/>
      <c r="U304" s="393" t="n"/>
      <c r="V304" s="37" t="inlineStr">
        <is>
          <t>кор</t>
        </is>
      </c>
      <c r="W304" s="755">
        <f>IFERROR(W296/H296,"0")+IFERROR(W297/H297,"0")+IFERROR(W298/H298,"0")+IFERROR(W299/H299,"0")+IFERROR(W300/H300,"0")+IFERROR(W301/H301,"0")+IFERROR(W302/H302,"0")+IFERROR(W303/H303,"0")</f>
        <v/>
      </c>
      <c r="X304" s="755">
        <f>IFERROR(X296/H296,"0")+IFERROR(X297/H297,"0")+IFERROR(X298/H298,"0")+IFERROR(X299/H299,"0")+IFERROR(X300/H300,"0")+IFERROR(X301/H301,"0")+IFERROR(X302/H302,"0")+IFERROR(X303/H303,"0")</f>
        <v/>
      </c>
      <c r="Y304" s="755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/>
      </c>
      <c r="Z304" s="756" t="n"/>
      <c r="AA304" s="756" t="n"/>
    </row>
    <row r="305">
      <c r="A305" s="376" t="n"/>
      <c r="B305" s="376" t="n"/>
      <c r="C305" s="376" t="n"/>
      <c r="D305" s="376" t="n"/>
      <c r="E305" s="376" t="n"/>
      <c r="F305" s="376" t="n"/>
      <c r="G305" s="376" t="n"/>
      <c r="H305" s="376" t="n"/>
      <c r="I305" s="376" t="n"/>
      <c r="J305" s="376" t="n"/>
      <c r="K305" s="376" t="n"/>
      <c r="L305" s="376" t="n"/>
      <c r="M305" s="376" t="n"/>
      <c r="N305" s="397" t="n"/>
      <c r="O305" s="391" t="inlineStr">
        <is>
          <t>Итого</t>
        </is>
      </c>
      <c r="P305" s="392" t="n"/>
      <c r="Q305" s="392" t="n"/>
      <c r="R305" s="392" t="n"/>
      <c r="S305" s="392" t="n"/>
      <c r="T305" s="392" t="n"/>
      <c r="U305" s="393" t="n"/>
      <c r="V305" s="37" t="inlineStr">
        <is>
          <t>кг</t>
        </is>
      </c>
      <c r="W305" s="755">
        <f>IFERROR(SUM(W296:W303),"0")</f>
        <v/>
      </c>
      <c r="X305" s="755">
        <f>IFERROR(SUM(X296:X303),"0")</f>
        <v/>
      </c>
      <c r="Y305" s="37" t="n"/>
      <c r="Z305" s="756" t="n"/>
      <c r="AA305" s="756" t="n"/>
    </row>
    <row r="306" ht="14.25" customHeight="1">
      <c r="A306" s="375" t="inlineStr">
        <is>
          <t>Копченые колбасы</t>
        </is>
      </c>
      <c r="B306" s="376" t="n"/>
      <c r="C306" s="376" t="n"/>
      <c r="D306" s="376" t="n"/>
      <c r="E306" s="376" t="n"/>
      <c r="F306" s="376" t="n"/>
      <c r="G306" s="376" t="n"/>
      <c r="H306" s="376" t="n"/>
      <c r="I306" s="376" t="n"/>
      <c r="J306" s="376" t="n"/>
      <c r="K306" s="376" t="n"/>
      <c r="L306" s="376" t="n"/>
      <c r="M306" s="376" t="n"/>
      <c r="N306" s="376" t="n"/>
      <c r="O306" s="376" t="n"/>
      <c r="P306" s="376" t="n"/>
      <c r="Q306" s="376" t="n"/>
      <c r="R306" s="376" t="n"/>
      <c r="S306" s="376" t="n"/>
      <c r="T306" s="376" t="n"/>
      <c r="U306" s="376" t="n"/>
      <c r="V306" s="376" t="n"/>
      <c r="W306" s="376" t="n"/>
      <c r="X306" s="376" t="n"/>
      <c r="Y306" s="376" t="n"/>
      <c r="Z306" s="375" t="n"/>
      <c r="AA306" s="375" t="n"/>
    </row>
    <row r="307" ht="27" customHeight="1">
      <c r="A307" s="54" t="inlineStr">
        <is>
          <t>SU001801</t>
        </is>
      </c>
      <c r="B307" s="54" t="inlineStr">
        <is>
          <t>P003014</t>
        </is>
      </c>
      <c r="C307" s="31" t="n">
        <v>4301031154</v>
      </c>
      <c r="D307" s="369" t="n">
        <v>4607091387292</v>
      </c>
      <c r="E307" s="370" t="n"/>
      <c r="F307" s="752" t="n">
        <v>0.73</v>
      </c>
      <c r="G307" s="32" t="n">
        <v>6</v>
      </c>
      <c r="H307" s="752" t="n">
        <v>4.38</v>
      </c>
      <c r="I307" s="752" t="n">
        <v>4.64</v>
      </c>
      <c r="J307" s="32" t="n">
        <v>156</v>
      </c>
      <c r="K307" s="32" t="inlineStr">
        <is>
          <t>12</t>
        </is>
      </c>
      <c r="L307" s="33" t="inlineStr">
        <is>
          <t>СК2</t>
        </is>
      </c>
      <c r="M307" s="33" t="n"/>
      <c r="N307" s="32" t="n">
        <v>45</v>
      </c>
      <c r="O307" s="49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7" s="372" t="n"/>
      <c r="Q307" s="372" t="n"/>
      <c r="R307" s="372" t="n"/>
      <c r="S307" s="370" t="n"/>
      <c r="T307" s="34" t="n"/>
      <c r="U307" s="34" t="n"/>
      <c r="V307" s="35" t="inlineStr">
        <is>
          <t>кг</t>
        </is>
      </c>
      <c r="W307" s="753" t="n">
        <v>0</v>
      </c>
      <c r="X307" s="754">
        <f>IFERROR(IF(W307="",0,CEILING((W307/$H307),1)*$H307),"")</f>
        <v/>
      </c>
      <c r="Y307" s="36">
        <f>IFERROR(IF(X307=0,"",ROUNDUP(X307/H307,0)*0.00753),"")</f>
        <v/>
      </c>
      <c r="Z307" s="56" t="n"/>
      <c r="AA307" s="57" t="n"/>
      <c r="AE307" s="58" t="n"/>
      <c r="BB307" s="244" t="inlineStr">
        <is>
          <t>КИ</t>
        </is>
      </c>
    </row>
    <row r="308" ht="27" customHeight="1">
      <c r="A308" s="54" t="inlineStr">
        <is>
          <t>SU000231</t>
        </is>
      </c>
      <c r="B308" s="54" t="inlineStr">
        <is>
          <t>P003015</t>
        </is>
      </c>
      <c r="C308" s="31" t="n">
        <v>4301031155</v>
      </c>
      <c r="D308" s="369" t="n">
        <v>4607091387315</v>
      </c>
      <c r="E308" s="370" t="n"/>
      <c r="F308" s="752" t="n">
        <v>0.7</v>
      </c>
      <c r="G308" s="32" t="n">
        <v>4</v>
      </c>
      <c r="H308" s="752" t="n">
        <v>2.8</v>
      </c>
      <c r="I308" s="752" t="n">
        <v>3.048</v>
      </c>
      <c r="J308" s="32" t="n">
        <v>156</v>
      </c>
      <c r="K308" s="32" t="inlineStr">
        <is>
          <t>12</t>
        </is>
      </c>
      <c r="L308" s="33" t="inlineStr">
        <is>
          <t>СК2</t>
        </is>
      </c>
      <c r="M308" s="33" t="n"/>
      <c r="N308" s="32" t="n">
        <v>45</v>
      </c>
      <c r="O308" s="5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8" s="372" t="n"/>
      <c r="Q308" s="372" t="n"/>
      <c r="R308" s="372" t="n"/>
      <c r="S308" s="370" t="n"/>
      <c r="T308" s="34" t="n"/>
      <c r="U308" s="34" t="n"/>
      <c r="V308" s="35" t="inlineStr">
        <is>
          <t>кг</t>
        </is>
      </c>
      <c r="W308" s="753" t="n">
        <v>0</v>
      </c>
      <c r="X308" s="754">
        <f>IFERROR(IF(W308="",0,CEILING((W308/$H308),1)*$H308),"")</f>
        <v/>
      </c>
      <c r="Y308" s="36">
        <f>IFERROR(IF(X308=0,"",ROUNDUP(X308/H308,0)*0.00753),"")</f>
        <v/>
      </c>
      <c r="Z308" s="56" t="n"/>
      <c r="AA308" s="57" t="n"/>
      <c r="AE308" s="58" t="n"/>
      <c r="BB308" s="245" t="inlineStr">
        <is>
          <t>КИ</t>
        </is>
      </c>
    </row>
    <row r="309">
      <c r="A309" s="396" t="n"/>
      <c r="B309" s="376" t="n"/>
      <c r="C309" s="376" t="n"/>
      <c r="D309" s="376" t="n"/>
      <c r="E309" s="376" t="n"/>
      <c r="F309" s="376" t="n"/>
      <c r="G309" s="376" t="n"/>
      <c r="H309" s="376" t="n"/>
      <c r="I309" s="376" t="n"/>
      <c r="J309" s="376" t="n"/>
      <c r="K309" s="376" t="n"/>
      <c r="L309" s="376" t="n"/>
      <c r="M309" s="376" t="n"/>
      <c r="N309" s="397" t="n"/>
      <c r="O309" s="391" t="inlineStr">
        <is>
          <t>Итого</t>
        </is>
      </c>
      <c r="P309" s="392" t="n"/>
      <c r="Q309" s="392" t="n"/>
      <c r="R309" s="392" t="n"/>
      <c r="S309" s="392" t="n"/>
      <c r="T309" s="392" t="n"/>
      <c r="U309" s="393" t="n"/>
      <c r="V309" s="37" t="inlineStr">
        <is>
          <t>кор</t>
        </is>
      </c>
      <c r="W309" s="755">
        <f>IFERROR(W307/H307,"0")+IFERROR(W308/H308,"0")</f>
        <v/>
      </c>
      <c r="X309" s="755">
        <f>IFERROR(X307/H307,"0")+IFERROR(X308/H308,"0")</f>
        <v/>
      </c>
      <c r="Y309" s="755">
        <f>IFERROR(IF(Y307="",0,Y307),"0")+IFERROR(IF(Y308="",0,Y308),"0")</f>
        <v/>
      </c>
      <c r="Z309" s="756" t="n"/>
      <c r="AA309" s="756" t="n"/>
    </row>
    <row r="310">
      <c r="A310" s="376" t="n"/>
      <c r="B310" s="376" t="n"/>
      <c r="C310" s="376" t="n"/>
      <c r="D310" s="376" t="n"/>
      <c r="E310" s="376" t="n"/>
      <c r="F310" s="376" t="n"/>
      <c r="G310" s="376" t="n"/>
      <c r="H310" s="376" t="n"/>
      <c r="I310" s="376" t="n"/>
      <c r="J310" s="376" t="n"/>
      <c r="K310" s="376" t="n"/>
      <c r="L310" s="376" t="n"/>
      <c r="M310" s="376" t="n"/>
      <c r="N310" s="397" t="n"/>
      <c r="O310" s="391" t="inlineStr">
        <is>
          <t>Итого</t>
        </is>
      </c>
      <c r="P310" s="392" t="n"/>
      <c r="Q310" s="392" t="n"/>
      <c r="R310" s="392" t="n"/>
      <c r="S310" s="392" t="n"/>
      <c r="T310" s="392" t="n"/>
      <c r="U310" s="393" t="n"/>
      <c r="V310" s="37" t="inlineStr">
        <is>
          <t>кг</t>
        </is>
      </c>
      <c r="W310" s="755">
        <f>IFERROR(SUM(W307:W308),"0")</f>
        <v/>
      </c>
      <c r="X310" s="755">
        <f>IFERROR(SUM(X307:X308),"0")</f>
        <v/>
      </c>
      <c r="Y310" s="37" t="n"/>
      <c r="Z310" s="756" t="n"/>
      <c r="AA310" s="756" t="n"/>
    </row>
    <row r="311" ht="16.5" customHeight="1">
      <c r="A311" s="378" t="inlineStr">
        <is>
          <t>Бавария</t>
        </is>
      </c>
      <c r="B311" s="376" t="n"/>
      <c r="C311" s="376" t="n"/>
      <c r="D311" s="376" t="n"/>
      <c r="E311" s="376" t="n"/>
      <c r="F311" s="376" t="n"/>
      <c r="G311" s="376" t="n"/>
      <c r="H311" s="376" t="n"/>
      <c r="I311" s="376" t="n"/>
      <c r="J311" s="376" t="n"/>
      <c r="K311" s="376" t="n"/>
      <c r="L311" s="376" t="n"/>
      <c r="M311" s="376" t="n"/>
      <c r="N311" s="376" t="n"/>
      <c r="O311" s="376" t="n"/>
      <c r="P311" s="376" t="n"/>
      <c r="Q311" s="376" t="n"/>
      <c r="R311" s="376" t="n"/>
      <c r="S311" s="376" t="n"/>
      <c r="T311" s="376" t="n"/>
      <c r="U311" s="376" t="n"/>
      <c r="V311" s="376" t="n"/>
      <c r="W311" s="376" t="n"/>
      <c r="X311" s="376" t="n"/>
      <c r="Y311" s="376" t="n"/>
      <c r="Z311" s="378" t="n"/>
      <c r="AA311" s="378" t="n"/>
    </row>
    <row r="312" ht="14.25" customHeight="1">
      <c r="A312" s="375" t="inlineStr">
        <is>
          <t>Копченые колбасы</t>
        </is>
      </c>
      <c r="B312" s="376" t="n"/>
      <c r="C312" s="376" t="n"/>
      <c r="D312" s="376" t="n"/>
      <c r="E312" s="376" t="n"/>
      <c r="F312" s="376" t="n"/>
      <c r="G312" s="376" t="n"/>
      <c r="H312" s="376" t="n"/>
      <c r="I312" s="376" t="n"/>
      <c r="J312" s="376" t="n"/>
      <c r="K312" s="376" t="n"/>
      <c r="L312" s="376" t="n"/>
      <c r="M312" s="376" t="n"/>
      <c r="N312" s="376" t="n"/>
      <c r="O312" s="376" t="n"/>
      <c r="P312" s="376" t="n"/>
      <c r="Q312" s="376" t="n"/>
      <c r="R312" s="376" t="n"/>
      <c r="S312" s="376" t="n"/>
      <c r="T312" s="376" t="n"/>
      <c r="U312" s="376" t="n"/>
      <c r="V312" s="376" t="n"/>
      <c r="W312" s="376" t="n"/>
      <c r="X312" s="376" t="n"/>
      <c r="Y312" s="376" t="n"/>
      <c r="Z312" s="375" t="n"/>
      <c r="AA312" s="375" t="n"/>
    </row>
    <row r="313" ht="27" customHeight="1">
      <c r="A313" s="54" t="inlineStr">
        <is>
          <t>SU002252</t>
        </is>
      </c>
      <c r="B313" s="54" t="inlineStr">
        <is>
          <t>P002461</t>
        </is>
      </c>
      <c r="C313" s="31" t="n">
        <v>4301031066</v>
      </c>
      <c r="D313" s="369" t="n">
        <v>4607091383836</v>
      </c>
      <c r="E313" s="370" t="n"/>
      <c r="F313" s="752" t="n">
        <v>0.3</v>
      </c>
      <c r="G313" s="32" t="n">
        <v>6</v>
      </c>
      <c r="H313" s="752" t="n">
        <v>1.8</v>
      </c>
      <c r="I313" s="752" t="n">
        <v>2.048</v>
      </c>
      <c r="J313" s="32" t="n">
        <v>156</v>
      </c>
      <c r="K313" s="32" t="inlineStr">
        <is>
          <t>12</t>
        </is>
      </c>
      <c r="L313" s="33" t="inlineStr">
        <is>
          <t>СК2</t>
        </is>
      </c>
      <c r="M313" s="33" t="n"/>
      <c r="N313" s="32" t="n">
        <v>40</v>
      </c>
      <c r="O313" s="71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3" s="372" t="n"/>
      <c r="Q313" s="372" t="n"/>
      <c r="R313" s="372" t="n"/>
      <c r="S313" s="370" t="n"/>
      <c r="T313" s="34" t="n"/>
      <c r="U313" s="34" t="n"/>
      <c r="V313" s="35" t="inlineStr">
        <is>
          <t>кг</t>
        </is>
      </c>
      <c r="W313" s="753" t="n">
        <v>0</v>
      </c>
      <c r="X313" s="754">
        <f>IFERROR(IF(W313="",0,CEILING((W313/$H313),1)*$H313),"")</f>
        <v/>
      </c>
      <c r="Y313" s="36">
        <f>IFERROR(IF(X313=0,"",ROUNDUP(X313/H313,0)*0.00753),"")</f>
        <v/>
      </c>
      <c r="Z313" s="56" t="n"/>
      <c r="AA313" s="57" t="n"/>
      <c r="AE313" s="58" t="n"/>
      <c r="BB313" s="246" t="inlineStr">
        <is>
          <t>КИ</t>
        </is>
      </c>
    </row>
    <row r="314">
      <c r="A314" s="396" t="n"/>
      <c r="B314" s="376" t="n"/>
      <c r="C314" s="376" t="n"/>
      <c r="D314" s="376" t="n"/>
      <c r="E314" s="376" t="n"/>
      <c r="F314" s="376" t="n"/>
      <c r="G314" s="376" t="n"/>
      <c r="H314" s="376" t="n"/>
      <c r="I314" s="376" t="n"/>
      <c r="J314" s="376" t="n"/>
      <c r="K314" s="376" t="n"/>
      <c r="L314" s="376" t="n"/>
      <c r="M314" s="376" t="n"/>
      <c r="N314" s="397" t="n"/>
      <c r="O314" s="391" t="inlineStr">
        <is>
          <t>Итого</t>
        </is>
      </c>
      <c r="P314" s="392" t="n"/>
      <c r="Q314" s="392" t="n"/>
      <c r="R314" s="392" t="n"/>
      <c r="S314" s="392" t="n"/>
      <c r="T314" s="392" t="n"/>
      <c r="U314" s="393" t="n"/>
      <c r="V314" s="37" t="inlineStr">
        <is>
          <t>кор</t>
        </is>
      </c>
      <c r="W314" s="755">
        <f>IFERROR(W313/H313,"0")</f>
        <v/>
      </c>
      <c r="X314" s="755">
        <f>IFERROR(X313/H313,"0")</f>
        <v/>
      </c>
      <c r="Y314" s="755">
        <f>IFERROR(IF(Y313="",0,Y313),"0")</f>
        <v/>
      </c>
      <c r="Z314" s="756" t="n"/>
      <c r="AA314" s="756" t="n"/>
    </row>
    <row r="315">
      <c r="A315" s="376" t="n"/>
      <c r="B315" s="376" t="n"/>
      <c r="C315" s="376" t="n"/>
      <c r="D315" s="376" t="n"/>
      <c r="E315" s="376" t="n"/>
      <c r="F315" s="376" t="n"/>
      <c r="G315" s="376" t="n"/>
      <c r="H315" s="376" t="n"/>
      <c r="I315" s="376" t="n"/>
      <c r="J315" s="376" t="n"/>
      <c r="K315" s="376" t="n"/>
      <c r="L315" s="376" t="n"/>
      <c r="M315" s="376" t="n"/>
      <c r="N315" s="397" t="n"/>
      <c r="O315" s="391" t="inlineStr">
        <is>
          <t>Итого</t>
        </is>
      </c>
      <c r="P315" s="392" t="n"/>
      <c r="Q315" s="392" t="n"/>
      <c r="R315" s="392" t="n"/>
      <c r="S315" s="392" t="n"/>
      <c r="T315" s="392" t="n"/>
      <c r="U315" s="393" t="n"/>
      <c r="V315" s="37" t="inlineStr">
        <is>
          <t>кг</t>
        </is>
      </c>
      <c r="W315" s="755">
        <f>IFERROR(SUM(W313:W313),"0")</f>
        <v/>
      </c>
      <c r="X315" s="755">
        <f>IFERROR(SUM(X313:X313),"0")</f>
        <v/>
      </c>
      <c r="Y315" s="37" t="n"/>
      <c r="Z315" s="756" t="n"/>
      <c r="AA315" s="756" t="n"/>
    </row>
    <row r="316" ht="14.25" customHeight="1">
      <c r="A316" s="375" t="inlineStr">
        <is>
          <t>Сосиски</t>
        </is>
      </c>
      <c r="B316" s="376" t="n"/>
      <c r="C316" s="376" t="n"/>
      <c r="D316" s="376" t="n"/>
      <c r="E316" s="376" t="n"/>
      <c r="F316" s="376" t="n"/>
      <c r="G316" s="376" t="n"/>
      <c r="H316" s="376" t="n"/>
      <c r="I316" s="376" t="n"/>
      <c r="J316" s="376" t="n"/>
      <c r="K316" s="376" t="n"/>
      <c r="L316" s="376" t="n"/>
      <c r="M316" s="376" t="n"/>
      <c r="N316" s="376" t="n"/>
      <c r="O316" s="376" t="n"/>
      <c r="P316" s="376" t="n"/>
      <c r="Q316" s="376" t="n"/>
      <c r="R316" s="376" t="n"/>
      <c r="S316" s="376" t="n"/>
      <c r="T316" s="376" t="n"/>
      <c r="U316" s="376" t="n"/>
      <c r="V316" s="376" t="n"/>
      <c r="W316" s="376" t="n"/>
      <c r="X316" s="376" t="n"/>
      <c r="Y316" s="376" t="n"/>
      <c r="Z316" s="375" t="n"/>
      <c r="AA316" s="375" t="n"/>
    </row>
    <row r="317" ht="27" customHeight="1">
      <c r="A317" s="54" t="inlineStr">
        <is>
          <t>SU001835</t>
        </is>
      </c>
      <c r="B317" s="54" t="inlineStr">
        <is>
          <t>P002202</t>
        </is>
      </c>
      <c r="C317" s="31" t="n">
        <v>4301051142</v>
      </c>
      <c r="D317" s="369" t="n">
        <v>4607091387919</v>
      </c>
      <c r="E317" s="370" t="n"/>
      <c r="F317" s="752" t="n">
        <v>1.35</v>
      </c>
      <c r="G317" s="32" t="n">
        <v>6</v>
      </c>
      <c r="H317" s="752" t="n">
        <v>8.1</v>
      </c>
      <c r="I317" s="752" t="n">
        <v>8.664</v>
      </c>
      <c r="J317" s="32" t="n">
        <v>56</v>
      </c>
      <c r="K317" s="32" t="inlineStr">
        <is>
          <t>8</t>
        </is>
      </c>
      <c r="L317" s="33" t="inlineStr">
        <is>
          <t>СК2</t>
        </is>
      </c>
      <c r="M317" s="33" t="n"/>
      <c r="N317" s="32" t="n">
        <v>45</v>
      </c>
      <c r="O317" s="6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7" s="372" t="n"/>
      <c r="Q317" s="372" t="n"/>
      <c r="R317" s="372" t="n"/>
      <c r="S317" s="370" t="n"/>
      <c r="T317" s="34" t="n"/>
      <c r="U317" s="34" t="n"/>
      <c r="V317" s="35" t="inlineStr">
        <is>
          <t>кг</t>
        </is>
      </c>
      <c r="W317" s="753" t="n">
        <v>0</v>
      </c>
      <c r="X317" s="754">
        <f>IFERROR(IF(W317="",0,CEILING((W317/$H317),1)*$H317),"")</f>
        <v/>
      </c>
      <c r="Y317" s="36">
        <f>IFERROR(IF(X317=0,"",ROUNDUP(X317/H317,0)*0.02175),"")</f>
        <v/>
      </c>
      <c r="Z317" s="56" t="n"/>
      <c r="AA317" s="57" t="n"/>
      <c r="AE317" s="58" t="n"/>
      <c r="BB317" s="247" t="inlineStr">
        <is>
          <t>КИ</t>
        </is>
      </c>
    </row>
    <row r="318" ht="27" customHeight="1">
      <c r="A318" s="54" t="inlineStr">
        <is>
          <t>SU003167</t>
        </is>
      </c>
      <c r="B318" s="54" t="inlineStr">
        <is>
          <t>P003363</t>
        </is>
      </c>
      <c r="C318" s="31" t="n">
        <v>4301051461</v>
      </c>
      <c r="D318" s="369" t="n">
        <v>4680115883604</v>
      </c>
      <c r="E318" s="370" t="n"/>
      <c r="F318" s="752" t="n">
        <v>0.35</v>
      </c>
      <c r="G318" s="32" t="n">
        <v>6</v>
      </c>
      <c r="H318" s="752" t="n">
        <v>2.1</v>
      </c>
      <c r="I318" s="752" t="n">
        <v>2.372</v>
      </c>
      <c r="J318" s="32" t="n">
        <v>156</v>
      </c>
      <c r="K318" s="32" t="inlineStr">
        <is>
          <t>12</t>
        </is>
      </c>
      <c r="L318" s="33" t="inlineStr">
        <is>
          <t>СК3</t>
        </is>
      </c>
      <c r="M318" s="33" t="n"/>
      <c r="N318" s="32" t="n">
        <v>45</v>
      </c>
      <c r="O318" s="466">
        <f>HYPERLINK("https://abi.ru/products/Охлажденные/Стародворье/Бордо/Сосиски/P003363/","Сосиски «Баварские» Фикс.вес 0,35 П/а ТМ «Стародворье»")</f>
        <v/>
      </c>
      <c r="P318" s="372" t="n"/>
      <c r="Q318" s="372" t="n"/>
      <c r="R318" s="372" t="n"/>
      <c r="S318" s="370" t="n"/>
      <c r="T318" s="34" t="n"/>
      <c r="U318" s="34" t="n"/>
      <c r="V318" s="35" t="inlineStr">
        <is>
          <t>кг</t>
        </is>
      </c>
      <c r="W318" s="753" t="n">
        <v>0</v>
      </c>
      <c r="X318" s="754">
        <f>IFERROR(IF(W318="",0,CEILING((W318/$H318),1)*$H318),"")</f>
        <v/>
      </c>
      <c r="Y318" s="36">
        <f>IFERROR(IF(X318=0,"",ROUNDUP(X318/H318,0)*0.00753),"")</f>
        <v/>
      </c>
      <c r="Z318" s="56" t="n"/>
      <c r="AA318" s="57" t="n"/>
      <c r="AE318" s="58" t="n"/>
      <c r="BB318" s="248" t="inlineStr">
        <is>
          <t>КИ</t>
        </is>
      </c>
    </row>
    <row r="319" ht="27" customHeight="1">
      <c r="A319" s="54" t="inlineStr">
        <is>
          <t>SU003168</t>
        </is>
      </c>
      <c r="B319" s="54" t="inlineStr">
        <is>
          <t>P003364</t>
        </is>
      </c>
      <c r="C319" s="31" t="n">
        <v>4301051485</v>
      </c>
      <c r="D319" s="369" t="n">
        <v>4680115883567</v>
      </c>
      <c r="E319" s="370" t="n"/>
      <c r="F319" s="752" t="n">
        <v>0.35</v>
      </c>
      <c r="G319" s="32" t="n">
        <v>6</v>
      </c>
      <c r="H319" s="752" t="n">
        <v>2.1</v>
      </c>
      <c r="I319" s="752" t="n">
        <v>2.36</v>
      </c>
      <c r="J319" s="32" t="n">
        <v>156</v>
      </c>
      <c r="K319" s="32" t="inlineStr">
        <is>
          <t>12</t>
        </is>
      </c>
      <c r="L319" s="33" t="inlineStr">
        <is>
          <t>СК2</t>
        </is>
      </c>
      <c r="M319" s="33" t="n"/>
      <c r="N319" s="32" t="n">
        <v>40</v>
      </c>
      <c r="O319" s="69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9" s="372" t="n"/>
      <c r="Q319" s="372" t="n"/>
      <c r="R319" s="372" t="n"/>
      <c r="S319" s="370" t="n"/>
      <c r="T319" s="34" t="n"/>
      <c r="U319" s="34" t="n"/>
      <c r="V319" s="35" t="inlineStr">
        <is>
          <t>кг</t>
        </is>
      </c>
      <c r="W319" s="753" t="n">
        <v>0</v>
      </c>
      <c r="X319" s="754">
        <f>IFERROR(IF(W319="",0,CEILING((W319/$H319),1)*$H319),"")</f>
        <v/>
      </c>
      <c r="Y319" s="36">
        <f>IFERROR(IF(X319=0,"",ROUNDUP(X319/H319,0)*0.00753),"")</f>
        <v/>
      </c>
      <c r="Z319" s="56" t="n"/>
      <c r="AA319" s="57" t="n"/>
      <c r="AE319" s="58" t="n"/>
      <c r="BB319" s="249" t="inlineStr">
        <is>
          <t>КИ</t>
        </is>
      </c>
    </row>
    <row r="320">
      <c r="A320" s="396" t="n"/>
      <c r="B320" s="376" t="n"/>
      <c r="C320" s="376" t="n"/>
      <c r="D320" s="376" t="n"/>
      <c r="E320" s="376" t="n"/>
      <c r="F320" s="376" t="n"/>
      <c r="G320" s="376" t="n"/>
      <c r="H320" s="376" t="n"/>
      <c r="I320" s="376" t="n"/>
      <c r="J320" s="376" t="n"/>
      <c r="K320" s="376" t="n"/>
      <c r="L320" s="376" t="n"/>
      <c r="M320" s="376" t="n"/>
      <c r="N320" s="397" t="n"/>
      <c r="O320" s="391" t="inlineStr">
        <is>
          <t>Итого</t>
        </is>
      </c>
      <c r="P320" s="392" t="n"/>
      <c r="Q320" s="392" t="n"/>
      <c r="R320" s="392" t="n"/>
      <c r="S320" s="392" t="n"/>
      <c r="T320" s="392" t="n"/>
      <c r="U320" s="393" t="n"/>
      <c r="V320" s="37" t="inlineStr">
        <is>
          <t>кор</t>
        </is>
      </c>
      <c r="W320" s="755">
        <f>IFERROR(W317/H317,"0")+IFERROR(W318/H318,"0")+IFERROR(W319/H319,"0")</f>
        <v/>
      </c>
      <c r="X320" s="755">
        <f>IFERROR(X317/H317,"0")+IFERROR(X318/H318,"0")+IFERROR(X319/H319,"0")</f>
        <v/>
      </c>
      <c r="Y320" s="755">
        <f>IFERROR(IF(Y317="",0,Y317),"0")+IFERROR(IF(Y318="",0,Y318),"0")+IFERROR(IF(Y319="",0,Y319),"0")</f>
        <v/>
      </c>
      <c r="Z320" s="756" t="n"/>
      <c r="AA320" s="756" t="n"/>
    </row>
    <row r="321">
      <c r="A321" s="376" t="n"/>
      <c r="B321" s="376" t="n"/>
      <c r="C321" s="376" t="n"/>
      <c r="D321" s="376" t="n"/>
      <c r="E321" s="376" t="n"/>
      <c r="F321" s="376" t="n"/>
      <c r="G321" s="376" t="n"/>
      <c r="H321" s="376" t="n"/>
      <c r="I321" s="376" t="n"/>
      <c r="J321" s="376" t="n"/>
      <c r="K321" s="376" t="n"/>
      <c r="L321" s="376" t="n"/>
      <c r="M321" s="376" t="n"/>
      <c r="N321" s="397" t="n"/>
      <c r="O321" s="391" t="inlineStr">
        <is>
          <t>Итого</t>
        </is>
      </c>
      <c r="P321" s="392" t="n"/>
      <c r="Q321" s="392" t="n"/>
      <c r="R321" s="392" t="n"/>
      <c r="S321" s="392" t="n"/>
      <c r="T321" s="392" t="n"/>
      <c r="U321" s="393" t="n"/>
      <c r="V321" s="37" t="inlineStr">
        <is>
          <t>кг</t>
        </is>
      </c>
      <c r="W321" s="755">
        <f>IFERROR(SUM(W317:W319),"0")</f>
        <v/>
      </c>
      <c r="X321" s="755">
        <f>IFERROR(SUM(X317:X319),"0")</f>
        <v/>
      </c>
      <c r="Y321" s="37" t="n"/>
      <c r="Z321" s="756" t="n"/>
      <c r="AA321" s="756" t="n"/>
    </row>
    <row r="322" ht="14.25" customHeight="1">
      <c r="A322" s="375" t="inlineStr">
        <is>
          <t>Сардельки</t>
        </is>
      </c>
      <c r="B322" s="376" t="n"/>
      <c r="C322" s="376" t="n"/>
      <c r="D322" s="376" t="n"/>
      <c r="E322" s="376" t="n"/>
      <c r="F322" s="376" t="n"/>
      <c r="G322" s="376" t="n"/>
      <c r="H322" s="376" t="n"/>
      <c r="I322" s="376" t="n"/>
      <c r="J322" s="376" t="n"/>
      <c r="K322" s="376" t="n"/>
      <c r="L322" s="376" t="n"/>
      <c r="M322" s="376" t="n"/>
      <c r="N322" s="376" t="n"/>
      <c r="O322" s="376" t="n"/>
      <c r="P322" s="376" t="n"/>
      <c r="Q322" s="376" t="n"/>
      <c r="R322" s="376" t="n"/>
      <c r="S322" s="376" t="n"/>
      <c r="T322" s="376" t="n"/>
      <c r="U322" s="376" t="n"/>
      <c r="V322" s="376" t="n"/>
      <c r="W322" s="376" t="n"/>
      <c r="X322" s="376" t="n"/>
      <c r="Y322" s="376" t="n"/>
      <c r="Z322" s="375" t="n"/>
      <c r="AA322" s="375" t="n"/>
    </row>
    <row r="323" ht="27" customHeight="1">
      <c r="A323" s="54" t="inlineStr">
        <is>
          <t>SU002173</t>
        </is>
      </c>
      <c r="B323" s="54" t="inlineStr">
        <is>
          <t>P002361</t>
        </is>
      </c>
      <c r="C323" s="31" t="n">
        <v>4301060324</v>
      </c>
      <c r="D323" s="369" t="n">
        <v>4607091388831</v>
      </c>
      <c r="E323" s="370" t="n"/>
      <c r="F323" s="752" t="n">
        <v>0.38</v>
      </c>
      <c r="G323" s="32" t="n">
        <v>6</v>
      </c>
      <c r="H323" s="752" t="n">
        <v>2.28</v>
      </c>
      <c r="I323" s="752" t="n">
        <v>2.552</v>
      </c>
      <c r="J323" s="32" t="n">
        <v>156</v>
      </c>
      <c r="K323" s="32" t="inlineStr">
        <is>
          <t>12</t>
        </is>
      </c>
      <c r="L323" s="33" t="inlineStr">
        <is>
          <t>СК2</t>
        </is>
      </c>
      <c r="M323" s="33" t="n"/>
      <c r="N323" s="32" t="n">
        <v>40</v>
      </c>
      <c r="O323" s="46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23" s="372" t="n"/>
      <c r="Q323" s="372" t="n"/>
      <c r="R323" s="372" t="n"/>
      <c r="S323" s="370" t="n"/>
      <c r="T323" s="34" t="n"/>
      <c r="U323" s="34" t="n"/>
      <c r="V323" s="35" t="inlineStr">
        <is>
          <t>кг</t>
        </is>
      </c>
      <c r="W323" s="753" t="n">
        <v>0</v>
      </c>
      <c r="X323" s="754">
        <f>IFERROR(IF(W323="",0,CEILING((W323/$H323),1)*$H323),"")</f>
        <v/>
      </c>
      <c r="Y323" s="36">
        <f>IFERROR(IF(X323=0,"",ROUNDUP(X323/H323,0)*0.00753),"")</f>
        <v/>
      </c>
      <c r="Z323" s="56" t="n"/>
      <c r="AA323" s="57" t="n"/>
      <c r="AE323" s="58" t="n"/>
      <c r="BB323" s="250" t="inlineStr">
        <is>
          <t>КИ</t>
        </is>
      </c>
    </row>
    <row r="324">
      <c r="A324" s="396" t="n"/>
      <c r="B324" s="376" t="n"/>
      <c r="C324" s="376" t="n"/>
      <c r="D324" s="376" t="n"/>
      <c r="E324" s="376" t="n"/>
      <c r="F324" s="376" t="n"/>
      <c r="G324" s="376" t="n"/>
      <c r="H324" s="376" t="n"/>
      <c r="I324" s="376" t="n"/>
      <c r="J324" s="376" t="n"/>
      <c r="K324" s="376" t="n"/>
      <c r="L324" s="376" t="n"/>
      <c r="M324" s="376" t="n"/>
      <c r="N324" s="397" t="n"/>
      <c r="O324" s="391" t="inlineStr">
        <is>
          <t>Итого</t>
        </is>
      </c>
      <c r="P324" s="392" t="n"/>
      <c r="Q324" s="392" t="n"/>
      <c r="R324" s="392" t="n"/>
      <c r="S324" s="392" t="n"/>
      <c r="T324" s="392" t="n"/>
      <c r="U324" s="393" t="n"/>
      <c r="V324" s="37" t="inlineStr">
        <is>
          <t>кор</t>
        </is>
      </c>
      <c r="W324" s="755">
        <f>IFERROR(W323/H323,"0")</f>
        <v/>
      </c>
      <c r="X324" s="755">
        <f>IFERROR(X323/H323,"0")</f>
        <v/>
      </c>
      <c r="Y324" s="755">
        <f>IFERROR(IF(Y323="",0,Y323),"0")</f>
        <v/>
      </c>
      <c r="Z324" s="756" t="n"/>
      <c r="AA324" s="756" t="n"/>
    </row>
    <row r="325">
      <c r="A325" s="376" t="n"/>
      <c r="B325" s="376" t="n"/>
      <c r="C325" s="376" t="n"/>
      <c r="D325" s="376" t="n"/>
      <c r="E325" s="376" t="n"/>
      <c r="F325" s="376" t="n"/>
      <c r="G325" s="376" t="n"/>
      <c r="H325" s="376" t="n"/>
      <c r="I325" s="376" t="n"/>
      <c r="J325" s="376" t="n"/>
      <c r="K325" s="376" t="n"/>
      <c r="L325" s="376" t="n"/>
      <c r="M325" s="376" t="n"/>
      <c r="N325" s="397" t="n"/>
      <c r="O325" s="391" t="inlineStr">
        <is>
          <t>Итого</t>
        </is>
      </c>
      <c r="P325" s="392" t="n"/>
      <c r="Q325" s="392" t="n"/>
      <c r="R325" s="392" t="n"/>
      <c r="S325" s="392" t="n"/>
      <c r="T325" s="392" t="n"/>
      <c r="U325" s="393" t="n"/>
      <c r="V325" s="37" t="inlineStr">
        <is>
          <t>кг</t>
        </is>
      </c>
      <c r="W325" s="755">
        <f>IFERROR(SUM(W323:W323),"0")</f>
        <v/>
      </c>
      <c r="X325" s="755">
        <f>IFERROR(SUM(X323:X323),"0")</f>
        <v/>
      </c>
      <c r="Y325" s="37" t="n"/>
      <c r="Z325" s="756" t="n"/>
      <c r="AA325" s="756" t="n"/>
    </row>
    <row r="326" ht="14.25" customHeight="1">
      <c r="A326" s="375" t="inlineStr">
        <is>
          <t>Сырокопченые колбасы</t>
        </is>
      </c>
      <c r="B326" s="376" t="n"/>
      <c r="C326" s="376" t="n"/>
      <c r="D326" s="376" t="n"/>
      <c r="E326" s="376" t="n"/>
      <c r="F326" s="376" t="n"/>
      <c r="G326" s="376" t="n"/>
      <c r="H326" s="376" t="n"/>
      <c r="I326" s="376" t="n"/>
      <c r="J326" s="376" t="n"/>
      <c r="K326" s="376" t="n"/>
      <c r="L326" s="376" t="n"/>
      <c r="M326" s="376" t="n"/>
      <c r="N326" s="376" t="n"/>
      <c r="O326" s="376" t="n"/>
      <c r="P326" s="376" t="n"/>
      <c r="Q326" s="376" t="n"/>
      <c r="R326" s="376" t="n"/>
      <c r="S326" s="376" t="n"/>
      <c r="T326" s="376" t="n"/>
      <c r="U326" s="376" t="n"/>
      <c r="V326" s="376" t="n"/>
      <c r="W326" s="376" t="n"/>
      <c r="X326" s="376" t="n"/>
      <c r="Y326" s="376" t="n"/>
      <c r="Z326" s="375" t="n"/>
      <c r="AA326" s="375" t="n"/>
    </row>
    <row r="327" ht="27" customHeight="1">
      <c r="A327" s="54" t="inlineStr">
        <is>
          <t>SU002092</t>
        </is>
      </c>
      <c r="B327" s="54" t="inlineStr">
        <is>
          <t>P002290</t>
        </is>
      </c>
      <c r="C327" s="31" t="n">
        <v>4301032015</v>
      </c>
      <c r="D327" s="369" t="n">
        <v>4607091383102</v>
      </c>
      <c r="E327" s="370" t="n"/>
      <c r="F327" s="752" t="n">
        <v>0.17</v>
      </c>
      <c r="G327" s="32" t="n">
        <v>15</v>
      </c>
      <c r="H327" s="752" t="n">
        <v>2.55</v>
      </c>
      <c r="I327" s="752" t="n">
        <v>2.975</v>
      </c>
      <c r="J327" s="32" t="n">
        <v>156</v>
      </c>
      <c r="K327" s="32" t="inlineStr">
        <is>
          <t>12</t>
        </is>
      </c>
      <c r="L327" s="33" t="inlineStr">
        <is>
          <t>АК</t>
        </is>
      </c>
      <c r="M327" s="33" t="n"/>
      <c r="N327" s="32" t="n">
        <v>180</v>
      </c>
      <c r="O327" s="72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7" s="372" t="n"/>
      <c r="Q327" s="372" t="n"/>
      <c r="R327" s="372" t="n"/>
      <c r="S327" s="370" t="n"/>
      <c r="T327" s="34" t="n"/>
      <c r="U327" s="34" t="n"/>
      <c r="V327" s="35" t="inlineStr">
        <is>
          <t>кг</t>
        </is>
      </c>
      <c r="W327" s="753" t="n">
        <v>0</v>
      </c>
      <c r="X327" s="754">
        <f>IFERROR(IF(W327="",0,CEILING((W327/$H327),1)*$H327),"")</f>
        <v/>
      </c>
      <c r="Y327" s="36">
        <f>IFERROR(IF(X327=0,"",ROUNDUP(X327/H327,0)*0.00753),"")</f>
        <v/>
      </c>
      <c r="Z327" s="56" t="n"/>
      <c r="AA327" s="57" t="n"/>
      <c r="AE327" s="58" t="n"/>
      <c r="BB327" s="251" t="inlineStr">
        <is>
          <t>КИ</t>
        </is>
      </c>
    </row>
    <row r="328">
      <c r="A328" s="396" t="n"/>
      <c r="B328" s="376" t="n"/>
      <c r="C328" s="376" t="n"/>
      <c r="D328" s="376" t="n"/>
      <c r="E328" s="376" t="n"/>
      <c r="F328" s="376" t="n"/>
      <c r="G328" s="376" t="n"/>
      <c r="H328" s="376" t="n"/>
      <c r="I328" s="376" t="n"/>
      <c r="J328" s="376" t="n"/>
      <c r="K328" s="376" t="n"/>
      <c r="L328" s="376" t="n"/>
      <c r="M328" s="376" t="n"/>
      <c r="N328" s="397" t="n"/>
      <c r="O328" s="391" t="inlineStr">
        <is>
          <t>Итого</t>
        </is>
      </c>
      <c r="P328" s="392" t="n"/>
      <c r="Q328" s="392" t="n"/>
      <c r="R328" s="392" t="n"/>
      <c r="S328" s="392" t="n"/>
      <c r="T328" s="392" t="n"/>
      <c r="U328" s="393" t="n"/>
      <c r="V328" s="37" t="inlineStr">
        <is>
          <t>кор</t>
        </is>
      </c>
      <c r="W328" s="755">
        <f>IFERROR(W327/H327,"0")</f>
        <v/>
      </c>
      <c r="X328" s="755">
        <f>IFERROR(X327/H327,"0")</f>
        <v/>
      </c>
      <c r="Y328" s="755">
        <f>IFERROR(IF(Y327="",0,Y327),"0")</f>
        <v/>
      </c>
      <c r="Z328" s="756" t="n"/>
      <c r="AA328" s="756" t="n"/>
    </row>
    <row r="329">
      <c r="A329" s="376" t="n"/>
      <c r="B329" s="376" t="n"/>
      <c r="C329" s="376" t="n"/>
      <c r="D329" s="376" t="n"/>
      <c r="E329" s="376" t="n"/>
      <c r="F329" s="376" t="n"/>
      <c r="G329" s="376" t="n"/>
      <c r="H329" s="376" t="n"/>
      <c r="I329" s="376" t="n"/>
      <c r="J329" s="376" t="n"/>
      <c r="K329" s="376" t="n"/>
      <c r="L329" s="376" t="n"/>
      <c r="M329" s="376" t="n"/>
      <c r="N329" s="397" t="n"/>
      <c r="O329" s="391" t="inlineStr">
        <is>
          <t>Итого</t>
        </is>
      </c>
      <c r="P329" s="392" t="n"/>
      <c r="Q329" s="392" t="n"/>
      <c r="R329" s="392" t="n"/>
      <c r="S329" s="392" t="n"/>
      <c r="T329" s="392" t="n"/>
      <c r="U329" s="393" t="n"/>
      <c r="V329" s="37" t="inlineStr">
        <is>
          <t>кг</t>
        </is>
      </c>
      <c r="W329" s="755">
        <f>IFERROR(SUM(W327:W327),"0")</f>
        <v/>
      </c>
      <c r="X329" s="755">
        <f>IFERROR(SUM(X327:X327),"0")</f>
        <v/>
      </c>
      <c r="Y329" s="37" t="n"/>
      <c r="Z329" s="756" t="n"/>
      <c r="AA329" s="756" t="n"/>
    </row>
    <row r="330" ht="27.75" customHeight="1">
      <c r="A330" s="386" t="inlineStr">
        <is>
          <t>Особый рецепт</t>
        </is>
      </c>
      <c r="B330" s="387" t="n"/>
      <c r="C330" s="387" t="n"/>
      <c r="D330" s="387" t="n"/>
      <c r="E330" s="387" t="n"/>
      <c r="F330" s="387" t="n"/>
      <c r="G330" s="387" t="n"/>
      <c r="H330" s="387" t="n"/>
      <c r="I330" s="387" t="n"/>
      <c r="J330" s="387" t="n"/>
      <c r="K330" s="387" t="n"/>
      <c r="L330" s="387" t="n"/>
      <c r="M330" s="387" t="n"/>
      <c r="N330" s="387" t="n"/>
      <c r="O330" s="387" t="n"/>
      <c r="P330" s="387" t="n"/>
      <c r="Q330" s="387" t="n"/>
      <c r="R330" s="387" t="n"/>
      <c r="S330" s="387" t="n"/>
      <c r="T330" s="387" t="n"/>
      <c r="U330" s="387" t="n"/>
      <c r="V330" s="387" t="n"/>
      <c r="W330" s="387" t="n"/>
      <c r="X330" s="387" t="n"/>
      <c r="Y330" s="387" t="n"/>
      <c r="Z330" s="48" t="n"/>
      <c r="AA330" s="48" t="n"/>
    </row>
    <row r="331" ht="16.5" customHeight="1">
      <c r="A331" s="378" t="inlineStr">
        <is>
          <t>Особая</t>
        </is>
      </c>
      <c r="B331" s="376" t="n"/>
      <c r="C331" s="376" t="n"/>
      <c r="D331" s="376" t="n"/>
      <c r="E331" s="376" t="n"/>
      <c r="F331" s="376" t="n"/>
      <c r="G331" s="376" t="n"/>
      <c r="H331" s="376" t="n"/>
      <c r="I331" s="376" t="n"/>
      <c r="J331" s="376" t="n"/>
      <c r="K331" s="376" t="n"/>
      <c r="L331" s="376" t="n"/>
      <c r="M331" s="376" t="n"/>
      <c r="N331" s="376" t="n"/>
      <c r="O331" s="376" t="n"/>
      <c r="P331" s="376" t="n"/>
      <c r="Q331" s="376" t="n"/>
      <c r="R331" s="376" t="n"/>
      <c r="S331" s="376" t="n"/>
      <c r="T331" s="376" t="n"/>
      <c r="U331" s="376" t="n"/>
      <c r="V331" s="376" t="n"/>
      <c r="W331" s="376" t="n"/>
      <c r="X331" s="376" t="n"/>
      <c r="Y331" s="376" t="n"/>
      <c r="Z331" s="378" t="n"/>
      <c r="AA331" s="378" t="n"/>
    </row>
    <row r="332" ht="14.25" customHeight="1">
      <c r="A332" s="375" t="inlineStr">
        <is>
          <t>Вареные колбасы</t>
        </is>
      </c>
      <c r="B332" s="376" t="n"/>
      <c r="C332" s="376" t="n"/>
      <c r="D332" s="376" t="n"/>
      <c r="E332" s="376" t="n"/>
      <c r="F332" s="376" t="n"/>
      <c r="G332" s="376" t="n"/>
      <c r="H332" s="376" t="n"/>
      <c r="I332" s="376" t="n"/>
      <c r="J332" s="376" t="n"/>
      <c r="K332" s="376" t="n"/>
      <c r="L332" s="376" t="n"/>
      <c r="M332" s="376" t="n"/>
      <c r="N332" s="376" t="n"/>
      <c r="O332" s="376" t="n"/>
      <c r="P332" s="376" t="n"/>
      <c r="Q332" s="376" t="n"/>
      <c r="R332" s="376" t="n"/>
      <c r="S332" s="376" t="n"/>
      <c r="T332" s="376" t="n"/>
      <c r="U332" s="376" t="n"/>
      <c r="V332" s="376" t="n"/>
      <c r="W332" s="376" t="n"/>
      <c r="X332" s="376" t="n"/>
      <c r="Y332" s="376" t="n"/>
      <c r="Z332" s="375" t="n"/>
      <c r="AA332" s="375" t="n"/>
    </row>
    <row r="333" ht="27" customHeight="1">
      <c r="A333" s="54" t="inlineStr">
        <is>
          <t>SU000251</t>
        </is>
      </c>
      <c r="B333" s="54" t="inlineStr">
        <is>
          <t>P002581</t>
        </is>
      </c>
      <c r="C333" s="31" t="n">
        <v>4301011239</v>
      </c>
      <c r="D333" s="369" t="n">
        <v>4607091383997</v>
      </c>
      <c r="E333" s="370" t="n"/>
      <c r="F333" s="752" t="n">
        <v>2.5</v>
      </c>
      <c r="G333" s="32" t="n">
        <v>6</v>
      </c>
      <c r="H333" s="752" t="n">
        <v>15</v>
      </c>
      <c r="I333" s="752" t="n">
        <v>15.48</v>
      </c>
      <c r="J333" s="32" t="n">
        <v>48</v>
      </c>
      <c r="K333" s="32" t="inlineStr">
        <is>
          <t>8</t>
        </is>
      </c>
      <c r="L333" s="33" t="inlineStr">
        <is>
          <t>ВЗ</t>
        </is>
      </c>
      <c r="M333" s="33" t="n"/>
      <c r="N333" s="32" t="n">
        <v>60</v>
      </c>
      <c r="O333" s="52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33" s="372" t="n"/>
      <c r="Q333" s="372" t="n"/>
      <c r="R333" s="372" t="n"/>
      <c r="S333" s="370" t="n"/>
      <c r="T333" s="34" t="n"/>
      <c r="U333" s="34" t="n"/>
      <c r="V333" s="35" t="inlineStr">
        <is>
          <t>кг</t>
        </is>
      </c>
      <c r="W333" s="753" t="n">
        <v>0</v>
      </c>
      <c r="X333" s="754">
        <f>IFERROR(IF(W333="",0,CEILING((W333/$H333),1)*$H333),"")</f>
        <v/>
      </c>
      <c r="Y333" s="36">
        <f>IFERROR(IF(X333=0,"",ROUNDUP(X333/H333,0)*0.02039),"")</f>
        <v/>
      </c>
      <c r="Z333" s="56" t="n"/>
      <c r="AA333" s="57" t="n"/>
      <c r="AE333" s="58" t="n"/>
      <c r="BB333" s="252" t="inlineStr">
        <is>
          <t>КИ</t>
        </is>
      </c>
    </row>
    <row r="334" ht="27" customHeight="1">
      <c r="A334" s="54" t="inlineStr">
        <is>
          <t>SU000251</t>
        </is>
      </c>
      <c r="B334" s="54" t="inlineStr">
        <is>
          <t>P002584</t>
        </is>
      </c>
      <c r="C334" s="31" t="n">
        <v>4301011339</v>
      </c>
      <c r="D334" s="369" t="n">
        <v>4607091383997</v>
      </c>
      <c r="E334" s="370" t="n"/>
      <c r="F334" s="752" t="n">
        <v>2.5</v>
      </c>
      <c r="G334" s="32" t="n">
        <v>6</v>
      </c>
      <c r="H334" s="752" t="n">
        <v>15</v>
      </c>
      <c r="I334" s="752" t="n">
        <v>15.48</v>
      </c>
      <c r="J334" s="32" t="n">
        <v>48</v>
      </c>
      <c r="K334" s="32" t="inlineStr">
        <is>
          <t>8</t>
        </is>
      </c>
      <c r="L334" s="33" t="inlineStr">
        <is>
          <t>СК2</t>
        </is>
      </c>
      <c r="M334" s="33" t="n"/>
      <c r="N334" s="32" t="n">
        <v>60</v>
      </c>
      <c r="O334" s="38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34" s="372" t="n"/>
      <c r="Q334" s="372" t="n"/>
      <c r="R334" s="372" t="n"/>
      <c r="S334" s="370" t="n"/>
      <c r="T334" s="34" t="n"/>
      <c r="U334" s="34" t="n"/>
      <c r="V334" s="35" t="inlineStr">
        <is>
          <t>кг</t>
        </is>
      </c>
      <c r="W334" s="753" t="n">
        <v>0</v>
      </c>
      <c r="X334" s="754">
        <f>IFERROR(IF(W334="",0,CEILING((W334/$H334),1)*$H334),"")</f>
        <v/>
      </c>
      <c r="Y334" s="36">
        <f>IFERROR(IF(X334=0,"",ROUNDUP(X334/H334,0)*0.02175),"")</f>
        <v/>
      </c>
      <c r="Z334" s="56" t="n"/>
      <c r="AA334" s="57" t="n"/>
      <c r="AE334" s="58" t="n"/>
      <c r="BB334" s="253" t="inlineStr">
        <is>
          <t>КИ</t>
        </is>
      </c>
    </row>
    <row r="335" ht="27" customHeight="1">
      <c r="A335" s="54" t="inlineStr">
        <is>
          <t>SU001578</t>
        </is>
      </c>
      <c r="B335" s="54" t="inlineStr">
        <is>
          <t>P002562</t>
        </is>
      </c>
      <c r="C335" s="31" t="n">
        <v>4301011326</v>
      </c>
      <c r="D335" s="369" t="n">
        <v>4607091384130</v>
      </c>
      <c r="E335" s="370" t="n"/>
      <c r="F335" s="752" t="n">
        <v>2.5</v>
      </c>
      <c r="G335" s="32" t="n">
        <v>6</v>
      </c>
      <c r="H335" s="752" t="n">
        <v>15</v>
      </c>
      <c r="I335" s="752" t="n">
        <v>15.48</v>
      </c>
      <c r="J335" s="32" t="n">
        <v>48</v>
      </c>
      <c r="K335" s="32" t="inlineStr">
        <is>
          <t>8</t>
        </is>
      </c>
      <c r="L335" s="33" t="inlineStr">
        <is>
          <t>СК2</t>
        </is>
      </c>
      <c r="M335" s="33" t="n"/>
      <c r="N335" s="32" t="n">
        <v>60</v>
      </c>
      <c r="O335" s="68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5" s="372" t="n"/>
      <c r="Q335" s="372" t="n"/>
      <c r="R335" s="372" t="n"/>
      <c r="S335" s="370" t="n"/>
      <c r="T335" s="34" t="n"/>
      <c r="U335" s="34" t="n"/>
      <c r="V335" s="35" t="inlineStr">
        <is>
          <t>кг</t>
        </is>
      </c>
      <c r="W335" s="753" t="n">
        <v>0</v>
      </c>
      <c r="X335" s="754">
        <f>IFERROR(IF(W335="",0,CEILING((W335/$H335),1)*$H335),"")</f>
        <v/>
      </c>
      <c r="Y335" s="36">
        <f>IFERROR(IF(X335=0,"",ROUNDUP(X335/H335,0)*0.02175),"")</f>
        <v/>
      </c>
      <c r="Z335" s="56" t="n"/>
      <c r="AA335" s="57" t="n"/>
      <c r="AE335" s="58" t="n"/>
      <c r="BB335" s="254" t="inlineStr">
        <is>
          <t>КИ</t>
        </is>
      </c>
    </row>
    <row r="336" ht="27" customHeight="1">
      <c r="A336" s="54" t="inlineStr">
        <is>
          <t>SU001578</t>
        </is>
      </c>
      <c r="B336" s="54" t="inlineStr">
        <is>
          <t>P002582</t>
        </is>
      </c>
      <c r="C336" s="31" t="n">
        <v>4301011240</v>
      </c>
      <c r="D336" s="369" t="n">
        <v>4607091384130</v>
      </c>
      <c r="E336" s="370" t="n"/>
      <c r="F336" s="752" t="n">
        <v>2.5</v>
      </c>
      <c r="G336" s="32" t="n">
        <v>6</v>
      </c>
      <c r="H336" s="752" t="n">
        <v>15</v>
      </c>
      <c r="I336" s="752" t="n">
        <v>15.48</v>
      </c>
      <c r="J336" s="32" t="n">
        <v>48</v>
      </c>
      <c r="K336" s="32" t="inlineStr">
        <is>
          <t>8</t>
        </is>
      </c>
      <c r="L336" s="33" t="inlineStr">
        <is>
          <t>ВЗ</t>
        </is>
      </c>
      <c r="M336" s="33" t="n"/>
      <c r="N336" s="32" t="n">
        <v>60</v>
      </c>
      <c r="O336" s="55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6" s="372" t="n"/>
      <c r="Q336" s="372" t="n"/>
      <c r="R336" s="372" t="n"/>
      <c r="S336" s="370" t="n"/>
      <c r="T336" s="34" t="n"/>
      <c r="U336" s="34" t="n"/>
      <c r="V336" s="35" t="inlineStr">
        <is>
          <t>кг</t>
        </is>
      </c>
      <c r="W336" s="753" t="n">
        <v>0</v>
      </c>
      <c r="X336" s="754">
        <f>IFERROR(IF(W336="",0,CEILING((W336/$H336),1)*$H336),"")</f>
        <v/>
      </c>
      <c r="Y336" s="36">
        <f>IFERROR(IF(X336=0,"",ROUNDUP(X336/H336,0)*0.02039),"")</f>
        <v/>
      </c>
      <c r="Z336" s="56" t="n"/>
      <c r="AA336" s="57" t="n"/>
      <c r="AE336" s="58" t="n"/>
      <c r="BB336" s="255" t="inlineStr">
        <is>
          <t>КИ</t>
        </is>
      </c>
    </row>
    <row r="337" ht="27" customHeight="1">
      <c r="A337" s="54" t="inlineStr">
        <is>
          <t>SU000102</t>
        </is>
      </c>
      <c r="B337" s="54" t="inlineStr">
        <is>
          <t>P002564</t>
        </is>
      </c>
      <c r="C337" s="31" t="n">
        <v>4301011330</v>
      </c>
      <c r="D337" s="369" t="n">
        <v>4607091384147</v>
      </c>
      <c r="E337" s="370" t="n"/>
      <c r="F337" s="752" t="n">
        <v>2.5</v>
      </c>
      <c r="G337" s="32" t="n">
        <v>6</v>
      </c>
      <c r="H337" s="752" t="n">
        <v>15</v>
      </c>
      <c r="I337" s="752" t="n">
        <v>15.48</v>
      </c>
      <c r="J337" s="32" t="n">
        <v>48</v>
      </c>
      <c r="K337" s="32" t="inlineStr">
        <is>
          <t>8</t>
        </is>
      </c>
      <c r="L337" s="33" t="inlineStr">
        <is>
          <t>СК2</t>
        </is>
      </c>
      <c r="M337" s="33" t="n"/>
      <c r="N337" s="32" t="n">
        <v>60</v>
      </c>
      <c r="O337" s="4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7" s="372" t="n"/>
      <c r="Q337" s="372" t="n"/>
      <c r="R337" s="372" t="n"/>
      <c r="S337" s="370" t="n"/>
      <c r="T337" s="34" t="n"/>
      <c r="U337" s="34" t="n"/>
      <c r="V337" s="35" t="inlineStr">
        <is>
          <t>кг</t>
        </is>
      </c>
      <c r="W337" s="753" t="n">
        <v>0</v>
      </c>
      <c r="X337" s="754">
        <f>IFERROR(IF(W337="",0,CEILING((W337/$H337),1)*$H337),"")</f>
        <v/>
      </c>
      <c r="Y337" s="36">
        <f>IFERROR(IF(X337=0,"",ROUNDUP(X337/H337,0)*0.02175),"")</f>
        <v/>
      </c>
      <c r="Z337" s="56" t="n"/>
      <c r="AA337" s="57" t="n"/>
      <c r="AE337" s="58" t="n"/>
      <c r="BB337" s="256" t="inlineStr">
        <is>
          <t>КИ</t>
        </is>
      </c>
    </row>
    <row r="338" ht="27" customHeight="1">
      <c r="A338" s="54" t="inlineStr">
        <is>
          <t>SU000102</t>
        </is>
      </c>
      <c r="B338" s="54" t="inlineStr">
        <is>
          <t>P002580</t>
        </is>
      </c>
      <c r="C338" s="31" t="n">
        <v>4301011238</v>
      </c>
      <c r="D338" s="369" t="n">
        <v>4607091384147</v>
      </c>
      <c r="E338" s="370" t="n"/>
      <c r="F338" s="752" t="n">
        <v>2.5</v>
      </c>
      <c r="G338" s="32" t="n">
        <v>6</v>
      </c>
      <c r="H338" s="752" t="n">
        <v>15</v>
      </c>
      <c r="I338" s="752" t="n">
        <v>15.48</v>
      </c>
      <c r="J338" s="32" t="n">
        <v>48</v>
      </c>
      <c r="K338" s="32" t="inlineStr">
        <is>
          <t>8</t>
        </is>
      </c>
      <c r="L338" s="33" t="inlineStr">
        <is>
          <t>ВЗ</t>
        </is>
      </c>
      <c r="M338" s="33" t="n"/>
      <c r="N338" s="32" t="n">
        <v>60</v>
      </c>
      <c r="O338" s="74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8" s="372" t="n"/>
      <c r="Q338" s="372" t="n"/>
      <c r="R338" s="372" t="n"/>
      <c r="S338" s="370" t="n"/>
      <c r="T338" s="34" t="n"/>
      <c r="U338" s="34" t="n"/>
      <c r="V338" s="35" t="inlineStr">
        <is>
          <t>кг</t>
        </is>
      </c>
      <c r="W338" s="753" t="n">
        <v>0</v>
      </c>
      <c r="X338" s="754">
        <f>IFERROR(IF(W338="",0,CEILING((W338/$H338),1)*$H338),"")</f>
        <v/>
      </c>
      <c r="Y338" s="36">
        <f>IFERROR(IF(X338=0,"",ROUNDUP(X338/H338,0)*0.02039),"")</f>
        <v/>
      </c>
      <c r="Z338" s="56" t="n"/>
      <c r="AA338" s="57" t="n"/>
      <c r="AE338" s="58" t="n"/>
      <c r="BB338" s="257" t="inlineStr">
        <is>
          <t>КИ</t>
        </is>
      </c>
    </row>
    <row r="339" ht="27" customHeight="1">
      <c r="A339" s="54" t="inlineStr">
        <is>
          <t>SU001989</t>
        </is>
      </c>
      <c r="B339" s="54" t="inlineStr">
        <is>
          <t>P002560</t>
        </is>
      </c>
      <c r="C339" s="31" t="n">
        <v>4301011327</v>
      </c>
      <c r="D339" s="369" t="n">
        <v>4607091384154</v>
      </c>
      <c r="E339" s="370" t="n"/>
      <c r="F339" s="752" t="n">
        <v>0.5</v>
      </c>
      <c r="G339" s="32" t="n">
        <v>10</v>
      </c>
      <c r="H339" s="752" t="n">
        <v>5</v>
      </c>
      <c r="I339" s="752" t="n">
        <v>5.21</v>
      </c>
      <c r="J339" s="32" t="n">
        <v>120</v>
      </c>
      <c r="K339" s="32" t="inlineStr">
        <is>
          <t>12</t>
        </is>
      </c>
      <c r="L339" s="33" t="inlineStr">
        <is>
          <t>СК2</t>
        </is>
      </c>
      <c r="M339" s="33" t="n"/>
      <c r="N339" s="32" t="n">
        <v>60</v>
      </c>
      <c r="O339" s="5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9" s="372" t="n"/>
      <c r="Q339" s="372" t="n"/>
      <c r="R339" s="372" t="n"/>
      <c r="S339" s="370" t="n"/>
      <c r="T339" s="34" t="n"/>
      <c r="U339" s="34" t="n"/>
      <c r="V339" s="35" t="inlineStr">
        <is>
          <t>кг</t>
        </is>
      </c>
      <c r="W339" s="753" t="n">
        <v>0</v>
      </c>
      <c r="X339" s="754">
        <f>IFERROR(IF(W339="",0,CEILING((W339/$H339),1)*$H339),"")</f>
        <v/>
      </c>
      <c r="Y339" s="36">
        <f>IFERROR(IF(X339=0,"",ROUNDUP(X339/H339,0)*0.00937),"")</f>
        <v/>
      </c>
      <c r="Z339" s="56" t="n"/>
      <c r="AA339" s="57" t="n"/>
      <c r="AE339" s="58" t="n"/>
      <c r="BB339" s="258" t="inlineStr">
        <is>
          <t>КИ</t>
        </is>
      </c>
    </row>
    <row r="340" ht="27" customHeight="1">
      <c r="A340" s="54" t="inlineStr">
        <is>
          <t>SU000256</t>
        </is>
      </c>
      <c r="B340" s="54" t="inlineStr">
        <is>
          <t>P002565</t>
        </is>
      </c>
      <c r="C340" s="31" t="n">
        <v>4301011332</v>
      </c>
      <c r="D340" s="369" t="n">
        <v>4607091384161</v>
      </c>
      <c r="E340" s="370" t="n"/>
      <c r="F340" s="752" t="n">
        <v>0.5</v>
      </c>
      <c r="G340" s="32" t="n">
        <v>10</v>
      </c>
      <c r="H340" s="752" t="n">
        <v>5</v>
      </c>
      <c r="I340" s="752" t="n">
        <v>5.21</v>
      </c>
      <c r="J340" s="32" t="n">
        <v>120</v>
      </c>
      <c r="K340" s="32" t="inlineStr">
        <is>
          <t>12</t>
        </is>
      </c>
      <c r="L340" s="33" t="inlineStr">
        <is>
          <t>СК2</t>
        </is>
      </c>
      <c r="M340" s="33" t="n"/>
      <c r="N340" s="32" t="n">
        <v>60</v>
      </c>
      <c r="O340" s="7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40" s="372" t="n"/>
      <c r="Q340" s="372" t="n"/>
      <c r="R340" s="372" t="n"/>
      <c r="S340" s="370" t="n"/>
      <c r="T340" s="34" t="n"/>
      <c r="U340" s="34" t="n"/>
      <c r="V340" s="35" t="inlineStr">
        <is>
          <t>кг</t>
        </is>
      </c>
      <c r="W340" s="753" t="n">
        <v>0</v>
      </c>
      <c r="X340" s="754">
        <f>IFERROR(IF(W340="",0,CEILING((W340/$H340),1)*$H340),"")</f>
        <v/>
      </c>
      <c r="Y340" s="36">
        <f>IFERROR(IF(X340=0,"",ROUNDUP(X340/H340,0)*0.00937),"")</f>
        <v/>
      </c>
      <c r="Z340" s="56" t="n"/>
      <c r="AA340" s="57" t="n"/>
      <c r="AE340" s="58" t="n"/>
      <c r="BB340" s="259" t="inlineStr">
        <is>
          <t>КИ</t>
        </is>
      </c>
    </row>
    <row r="341">
      <c r="A341" s="396" t="n"/>
      <c r="B341" s="376" t="n"/>
      <c r="C341" s="376" t="n"/>
      <c r="D341" s="376" t="n"/>
      <c r="E341" s="376" t="n"/>
      <c r="F341" s="376" t="n"/>
      <c r="G341" s="376" t="n"/>
      <c r="H341" s="376" t="n"/>
      <c r="I341" s="376" t="n"/>
      <c r="J341" s="376" t="n"/>
      <c r="K341" s="376" t="n"/>
      <c r="L341" s="376" t="n"/>
      <c r="M341" s="376" t="n"/>
      <c r="N341" s="397" t="n"/>
      <c r="O341" s="391" t="inlineStr">
        <is>
          <t>Итого</t>
        </is>
      </c>
      <c r="P341" s="392" t="n"/>
      <c r="Q341" s="392" t="n"/>
      <c r="R341" s="392" t="n"/>
      <c r="S341" s="392" t="n"/>
      <c r="T341" s="392" t="n"/>
      <c r="U341" s="393" t="n"/>
      <c r="V341" s="37" t="inlineStr">
        <is>
          <t>кор</t>
        </is>
      </c>
      <c r="W341" s="755">
        <f>IFERROR(W333/H333,"0")+IFERROR(W334/H334,"0")+IFERROR(W335/H335,"0")+IFERROR(W336/H336,"0")+IFERROR(W337/H337,"0")+IFERROR(W338/H338,"0")+IFERROR(W339/H339,"0")+IFERROR(W340/H340,"0")</f>
        <v/>
      </c>
      <c r="X341" s="755">
        <f>IFERROR(X333/H333,"0")+IFERROR(X334/H334,"0")+IFERROR(X335/H335,"0")+IFERROR(X336/H336,"0")+IFERROR(X337/H337,"0")+IFERROR(X338/H338,"0")+IFERROR(X339/H339,"0")+IFERROR(X340/H340,"0")</f>
        <v/>
      </c>
      <c r="Y341" s="755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/>
      </c>
      <c r="Z341" s="756" t="n"/>
      <c r="AA341" s="756" t="n"/>
    </row>
    <row r="342">
      <c r="A342" s="376" t="n"/>
      <c r="B342" s="376" t="n"/>
      <c r="C342" s="376" t="n"/>
      <c r="D342" s="376" t="n"/>
      <c r="E342" s="376" t="n"/>
      <c r="F342" s="376" t="n"/>
      <c r="G342" s="376" t="n"/>
      <c r="H342" s="376" t="n"/>
      <c r="I342" s="376" t="n"/>
      <c r="J342" s="376" t="n"/>
      <c r="K342" s="376" t="n"/>
      <c r="L342" s="376" t="n"/>
      <c r="M342" s="376" t="n"/>
      <c r="N342" s="397" t="n"/>
      <c r="O342" s="391" t="inlineStr">
        <is>
          <t>Итого</t>
        </is>
      </c>
      <c r="P342" s="392" t="n"/>
      <c r="Q342" s="392" t="n"/>
      <c r="R342" s="392" t="n"/>
      <c r="S342" s="392" t="n"/>
      <c r="T342" s="392" t="n"/>
      <c r="U342" s="393" t="n"/>
      <c r="V342" s="37" t="inlineStr">
        <is>
          <t>кг</t>
        </is>
      </c>
      <c r="W342" s="755">
        <f>IFERROR(SUM(W333:W340),"0")</f>
        <v/>
      </c>
      <c r="X342" s="755">
        <f>IFERROR(SUM(X333:X340),"0")</f>
        <v/>
      </c>
      <c r="Y342" s="37" t="n"/>
      <c r="Z342" s="756" t="n"/>
      <c r="AA342" s="756" t="n"/>
    </row>
    <row r="343" ht="14.25" customHeight="1">
      <c r="A343" s="375" t="inlineStr">
        <is>
          <t>Ветчины</t>
        </is>
      </c>
      <c r="B343" s="376" t="n"/>
      <c r="C343" s="376" t="n"/>
      <c r="D343" s="376" t="n"/>
      <c r="E343" s="376" t="n"/>
      <c r="F343" s="376" t="n"/>
      <c r="G343" s="376" t="n"/>
      <c r="H343" s="376" t="n"/>
      <c r="I343" s="376" t="n"/>
      <c r="J343" s="376" t="n"/>
      <c r="K343" s="376" t="n"/>
      <c r="L343" s="376" t="n"/>
      <c r="M343" s="376" t="n"/>
      <c r="N343" s="376" t="n"/>
      <c r="O343" s="376" t="n"/>
      <c r="P343" s="376" t="n"/>
      <c r="Q343" s="376" t="n"/>
      <c r="R343" s="376" t="n"/>
      <c r="S343" s="376" t="n"/>
      <c r="T343" s="376" t="n"/>
      <c r="U343" s="376" t="n"/>
      <c r="V343" s="376" t="n"/>
      <c r="W343" s="376" t="n"/>
      <c r="X343" s="376" t="n"/>
      <c r="Y343" s="376" t="n"/>
      <c r="Z343" s="375" t="n"/>
      <c r="AA343" s="375" t="n"/>
    </row>
    <row r="344" ht="27" customHeight="1">
      <c r="A344" s="54" t="inlineStr">
        <is>
          <t>SU000126</t>
        </is>
      </c>
      <c r="B344" s="54" t="inlineStr">
        <is>
          <t>P002555</t>
        </is>
      </c>
      <c r="C344" s="31" t="n">
        <v>4301020178</v>
      </c>
      <c r="D344" s="369" t="n">
        <v>4607091383980</v>
      </c>
      <c r="E344" s="370" t="n"/>
      <c r="F344" s="752" t="n">
        <v>2.5</v>
      </c>
      <c r="G344" s="32" t="n">
        <v>6</v>
      </c>
      <c r="H344" s="752" t="n">
        <v>15</v>
      </c>
      <c r="I344" s="752" t="n">
        <v>15.48</v>
      </c>
      <c r="J344" s="32" t="n">
        <v>48</v>
      </c>
      <c r="K344" s="32" t="inlineStr">
        <is>
          <t>8</t>
        </is>
      </c>
      <c r="L344" s="33" t="inlineStr">
        <is>
          <t>СК1</t>
        </is>
      </c>
      <c r="M344" s="33" t="n"/>
      <c r="N344" s="32" t="n">
        <v>50</v>
      </c>
      <c r="O344" s="7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4" s="372" t="n"/>
      <c r="Q344" s="372" t="n"/>
      <c r="R344" s="372" t="n"/>
      <c r="S344" s="370" t="n"/>
      <c r="T344" s="34" t="n"/>
      <c r="U344" s="34" t="n"/>
      <c r="V344" s="35" t="inlineStr">
        <is>
          <t>кг</t>
        </is>
      </c>
      <c r="W344" s="753" t="n">
        <v>0</v>
      </c>
      <c r="X344" s="754">
        <f>IFERROR(IF(W344="",0,CEILING((W344/$H344),1)*$H344),"")</f>
        <v/>
      </c>
      <c r="Y344" s="36">
        <f>IFERROR(IF(X344=0,"",ROUNDUP(X344/H344,0)*0.02175),"")</f>
        <v/>
      </c>
      <c r="Z344" s="56" t="n"/>
      <c r="AA344" s="57" t="n"/>
      <c r="AE344" s="58" t="n"/>
      <c r="BB344" s="260" t="inlineStr">
        <is>
          <t>КИ</t>
        </is>
      </c>
    </row>
    <row r="345" ht="16.5" customHeight="1">
      <c r="A345" s="54" t="inlineStr">
        <is>
          <t>SU003121</t>
        </is>
      </c>
      <c r="B345" s="54" t="inlineStr">
        <is>
          <t>P003715</t>
        </is>
      </c>
      <c r="C345" s="31" t="n">
        <v>4301020270</v>
      </c>
      <c r="D345" s="369" t="n">
        <v>4680115883314</v>
      </c>
      <c r="E345" s="370" t="n"/>
      <c r="F345" s="752" t="n">
        <v>1.35</v>
      </c>
      <c r="G345" s="32" t="n">
        <v>8</v>
      </c>
      <c r="H345" s="752" t="n">
        <v>10.8</v>
      </c>
      <c r="I345" s="752" t="n">
        <v>11.28</v>
      </c>
      <c r="J345" s="32" t="n">
        <v>56</v>
      </c>
      <c r="K345" s="32" t="inlineStr">
        <is>
          <t>8</t>
        </is>
      </c>
      <c r="L345" s="33" t="inlineStr">
        <is>
          <t>СК3</t>
        </is>
      </c>
      <c r="M345" s="33" t="n"/>
      <c r="N345" s="32" t="n">
        <v>50</v>
      </c>
      <c r="O345" s="622">
        <f>HYPERLINK("https://abi.ru/products/Охлажденные/Особый рецепт/Особая/Ветчины/P003715/","Ветчины «Славница» Весовой п/а ТМ «Особый рецепт»")</f>
        <v/>
      </c>
      <c r="P345" s="372" t="n"/>
      <c r="Q345" s="372" t="n"/>
      <c r="R345" s="372" t="n"/>
      <c r="S345" s="370" t="n"/>
      <c r="T345" s="34" t="n"/>
      <c r="U345" s="34" t="n"/>
      <c r="V345" s="35" t="inlineStr">
        <is>
          <t>кг</t>
        </is>
      </c>
      <c r="W345" s="753" t="n">
        <v>0</v>
      </c>
      <c r="X345" s="754">
        <f>IFERROR(IF(W345="",0,CEILING((W345/$H345),1)*$H345),"")</f>
        <v/>
      </c>
      <c r="Y345" s="36">
        <f>IFERROR(IF(X345=0,"",ROUNDUP(X345/H345,0)*0.02175),"")</f>
        <v/>
      </c>
      <c r="Z345" s="56" t="n"/>
      <c r="AA345" s="57" t="n"/>
      <c r="AE345" s="58" t="n"/>
      <c r="BB345" s="261" t="inlineStr">
        <is>
          <t>КИ</t>
        </is>
      </c>
    </row>
    <row r="346" ht="27" customHeight="1">
      <c r="A346" s="54" t="inlineStr">
        <is>
          <t>SU002027</t>
        </is>
      </c>
      <c r="B346" s="54" t="inlineStr">
        <is>
          <t>P002556</t>
        </is>
      </c>
      <c r="C346" s="31" t="n">
        <v>4301020179</v>
      </c>
      <c r="D346" s="369" t="n">
        <v>4607091384178</v>
      </c>
      <c r="E346" s="370" t="n"/>
      <c r="F346" s="752" t="n">
        <v>0.4</v>
      </c>
      <c r="G346" s="32" t="n">
        <v>10</v>
      </c>
      <c r="H346" s="752" t="n">
        <v>4</v>
      </c>
      <c r="I346" s="752" t="n">
        <v>4.24</v>
      </c>
      <c r="J346" s="32" t="n">
        <v>120</v>
      </c>
      <c r="K346" s="32" t="inlineStr">
        <is>
          <t>12</t>
        </is>
      </c>
      <c r="L346" s="33" t="inlineStr">
        <is>
          <t>СК1</t>
        </is>
      </c>
      <c r="M346" s="33" t="n"/>
      <c r="N346" s="32" t="n">
        <v>50</v>
      </c>
      <c r="O346" s="63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6" s="372" t="n"/>
      <c r="Q346" s="372" t="n"/>
      <c r="R346" s="372" t="n"/>
      <c r="S346" s="370" t="n"/>
      <c r="T346" s="34" t="n"/>
      <c r="U346" s="34" t="n"/>
      <c r="V346" s="35" t="inlineStr">
        <is>
          <t>кг</t>
        </is>
      </c>
      <c r="W346" s="753" t="n">
        <v>0</v>
      </c>
      <c r="X346" s="754">
        <f>IFERROR(IF(W346="",0,CEILING((W346/$H346),1)*$H346),"")</f>
        <v/>
      </c>
      <c r="Y346" s="36">
        <f>IFERROR(IF(X346=0,"",ROUNDUP(X346/H346,0)*0.00937),"")</f>
        <v/>
      </c>
      <c r="Z346" s="56" t="n"/>
      <c r="AA346" s="57" t="n"/>
      <c r="AE346" s="58" t="n"/>
      <c r="BB346" s="262" t="inlineStr">
        <is>
          <t>КИ</t>
        </is>
      </c>
    </row>
    <row r="347">
      <c r="A347" s="396" t="n"/>
      <c r="B347" s="376" t="n"/>
      <c r="C347" s="376" t="n"/>
      <c r="D347" s="376" t="n"/>
      <c r="E347" s="376" t="n"/>
      <c r="F347" s="376" t="n"/>
      <c r="G347" s="376" t="n"/>
      <c r="H347" s="376" t="n"/>
      <c r="I347" s="376" t="n"/>
      <c r="J347" s="376" t="n"/>
      <c r="K347" s="376" t="n"/>
      <c r="L347" s="376" t="n"/>
      <c r="M347" s="376" t="n"/>
      <c r="N347" s="397" t="n"/>
      <c r="O347" s="391" t="inlineStr">
        <is>
          <t>Итого</t>
        </is>
      </c>
      <c r="P347" s="392" t="n"/>
      <c r="Q347" s="392" t="n"/>
      <c r="R347" s="392" t="n"/>
      <c r="S347" s="392" t="n"/>
      <c r="T347" s="392" t="n"/>
      <c r="U347" s="393" t="n"/>
      <c r="V347" s="37" t="inlineStr">
        <is>
          <t>кор</t>
        </is>
      </c>
      <c r="W347" s="755">
        <f>IFERROR(W344/H344,"0")+IFERROR(W345/H345,"0")+IFERROR(W346/H346,"0")</f>
        <v/>
      </c>
      <c r="X347" s="755">
        <f>IFERROR(X344/H344,"0")+IFERROR(X345/H345,"0")+IFERROR(X346/H346,"0")</f>
        <v/>
      </c>
      <c r="Y347" s="755">
        <f>IFERROR(IF(Y344="",0,Y344),"0")+IFERROR(IF(Y345="",0,Y345),"0")+IFERROR(IF(Y346="",0,Y346),"0")</f>
        <v/>
      </c>
      <c r="Z347" s="756" t="n"/>
      <c r="AA347" s="756" t="n"/>
    </row>
    <row r="348">
      <c r="A348" s="376" t="n"/>
      <c r="B348" s="376" t="n"/>
      <c r="C348" s="376" t="n"/>
      <c r="D348" s="376" t="n"/>
      <c r="E348" s="376" t="n"/>
      <c r="F348" s="376" t="n"/>
      <c r="G348" s="376" t="n"/>
      <c r="H348" s="376" t="n"/>
      <c r="I348" s="376" t="n"/>
      <c r="J348" s="376" t="n"/>
      <c r="K348" s="376" t="n"/>
      <c r="L348" s="376" t="n"/>
      <c r="M348" s="376" t="n"/>
      <c r="N348" s="397" t="n"/>
      <c r="O348" s="391" t="inlineStr">
        <is>
          <t>Итого</t>
        </is>
      </c>
      <c r="P348" s="392" t="n"/>
      <c r="Q348" s="392" t="n"/>
      <c r="R348" s="392" t="n"/>
      <c r="S348" s="392" t="n"/>
      <c r="T348" s="392" t="n"/>
      <c r="U348" s="393" t="n"/>
      <c r="V348" s="37" t="inlineStr">
        <is>
          <t>кг</t>
        </is>
      </c>
      <c r="W348" s="755">
        <f>IFERROR(SUM(W344:W346),"0")</f>
        <v/>
      </c>
      <c r="X348" s="755">
        <f>IFERROR(SUM(X344:X346),"0")</f>
        <v/>
      </c>
      <c r="Y348" s="37" t="n"/>
      <c r="Z348" s="756" t="n"/>
      <c r="AA348" s="756" t="n"/>
    </row>
    <row r="349" ht="14.25" customHeight="1">
      <c r="A349" s="375" t="inlineStr">
        <is>
          <t>Сосиски</t>
        </is>
      </c>
      <c r="B349" s="376" t="n"/>
      <c r="C349" s="376" t="n"/>
      <c r="D349" s="376" t="n"/>
      <c r="E349" s="376" t="n"/>
      <c r="F349" s="376" t="n"/>
      <c r="G349" s="376" t="n"/>
      <c r="H349" s="376" t="n"/>
      <c r="I349" s="376" t="n"/>
      <c r="J349" s="376" t="n"/>
      <c r="K349" s="376" t="n"/>
      <c r="L349" s="376" t="n"/>
      <c r="M349" s="376" t="n"/>
      <c r="N349" s="376" t="n"/>
      <c r="O349" s="376" t="n"/>
      <c r="P349" s="376" t="n"/>
      <c r="Q349" s="376" t="n"/>
      <c r="R349" s="376" t="n"/>
      <c r="S349" s="376" t="n"/>
      <c r="T349" s="376" t="n"/>
      <c r="U349" s="376" t="n"/>
      <c r="V349" s="376" t="n"/>
      <c r="W349" s="376" t="n"/>
      <c r="X349" s="376" t="n"/>
      <c r="Y349" s="376" t="n"/>
      <c r="Z349" s="375" t="n"/>
      <c r="AA349" s="375" t="n"/>
    </row>
    <row r="350" ht="27" customHeight="1">
      <c r="A350" s="54" t="inlineStr">
        <is>
          <t>SU003161</t>
        </is>
      </c>
      <c r="B350" s="54" t="inlineStr">
        <is>
          <t>P003767</t>
        </is>
      </c>
      <c r="C350" s="31" t="n">
        <v>4301051560</v>
      </c>
      <c r="D350" s="369" t="n">
        <v>4607091383928</v>
      </c>
      <c r="E350" s="370" t="n"/>
      <c r="F350" s="752" t="n">
        <v>1.3</v>
      </c>
      <c r="G350" s="32" t="n">
        <v>6</v>
      </c>
      <c r="H350" s="752" t="n">
        <v>7.8</v>
      </c>
      <c r="I350" s="752" t="n">
        <v>8.369999999999999</v>
      </c>
      <c r="J350" s="32" t="n">
        <v>56</v>
      </c>
      <c r="K350" s="32" t="inlineStr">
        <is>
          <t>8</t>
        </is>
      </c>
      <c r="L350" s="33" t="inlineStr">
        <is>
          <t>СК3</t>
        </is>
      </c>
      <c r="M350" s="33" t="n"/>
      <c r="N350" s="32" t="n">
        <v>40</v>
      </c>
      <c r="O350" s="436">
        <f>HYPERLINK("https://abi.ru/products/Охлажденные/Особый рецепт/Особая/Сосиски/P003767/","Сосиски «Датские» Весовые п/а мгс ТМ «Особый рецепт»")</f>
        <v/>
      </c>
      <c r="P350" s="372" t="n"/>
      <c r="Q350" s="372" t="n"/>
      <c r="R350" s="372" t="n"/>
      <c r="S350" s="370" t="n"/>
      <c r="T350" s="34" t="n"/>
      <c r="U350" s="34" t="n"/>
      <c r="V350" s="35" t="inlineStr">
        <is>
          <t>кг</t>
        </is>
      </c>
      <c r="W350" s="753" t="n">
        <v>0</v>
      </c>
      <c r="X350" s="754">
        <f>IFERROR(IF(W350="",0,CEILING((W350/$H350),1)*$H350),"")</f>
        <v/>
      </c>
      <c r="Y350" s="36">
        <f>IFERROR(IF(X350=0,"",ROUNDUP(X350/H350,0)*0.02175),"")</f>
        <v/>
      </c>
      <c r="Z350" s="56" t="n"/>
      <c r="AA350" s="57" t="n"/>
      <c r="AE350" s="58" t="n"/>
      <c r="BB350" s="263" t="inlineStr">
        <is>
          <t>КИ</t>
        </is>
      </c>
    </row>
    <row r="351" ht="27" customHeight="1">
      <c r="A351" s="54" t="inlineStr">
        <is>
          <t>SU000246</t>
        </is>
      </c>
      <c r="B351" s="54" t="inlineStr">
        <is>
          <t>P002690</t>
        </is>
      </c>
      <c r="C351" s="31" t="n">
        <v>4301051298</v>
      </c>
      <c r="D351" s="369" t="n">
        <v>4607091384260</v>
      </c>
      <c r="E351" s="370" t="n"/>
      <c r="F351" s="752" t="n">
        <v>1.3</v>
      </c>
      <c r="G351" s="32" t="n">
        <v>6</v>
      </c>
      <c r="H351" s="752" t="n">
        <v>7.8</v>
      </c>
      <c r="I351" s="752" t="n">
        <v>8.364000000000001</v>
      </c>
      <c r="J351" s="32" t="n">
        <v>56</v>
      </c>
      <c r="K351" s="32" t="inlineStr">
        <is>
          <t>8</t>
        </is>
      </c>
      <c r="L351" s="33" t="inlineStr">
        <is>
          <t>СК2</t>
        </is>
      </c>
      <c r="M351" s="33" t="n"/>
      <c r="N351" s="32" t="n">
        <v>35</v>
      </c>
      <c r="O351" s="62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51" s="372" t="n"/>
      <c r="Q351" s="372" t="n"/>
      <c r="R351" s="372" t="n"/>
      <c r="S351" s="370" t="n"/>
      <c r="T351" s="34" t="n"/>
      <c r="U351" s="34" t="n"/>
      <c r="V351" s="35" t="inlineStr">
        <is>
          <t>кг</t>
        </is>
      </c>
      <c r="W351" s="753" t="n">
        <v>0</v>
      </c>
      <c r="X351" s="754">
        <f>IFERROR(IF(W351="",0,CEILING((W351/$H351),1)*$H351),"")</f>
        <v/>
      </c>
      <c r="Y351" s="36">
        <f>IFERROR(IF(X351=0,"",ROUNDUP(X351/H351,0)*0.02175),"")</f>
        <v/>
      </c>
      <c r="Z351" s="56" t="n"/>
      <c r="AA351" s="57" t="n"/>
      <c r="AE351" s="58" t="n"/>
      <c r="BB351" s="264" t="inlineStr">
        <is>
          <t>КИ</t>
        </is>
      </c>
    </row>
    <row r="352">
      <c r="A352" s="396" t="n"/>
      <c r="B352" s="376" t="n"/>
      <c r="C352" s="376" t="n"/>
      <c r="D352" s="376" t="n"/>
      <c r="E352" s="376" t="n"/>
      <c r="F352" s="376" t="n"/>
      <c r="G352" s="376" t="n"/>
      <c r="H352" s="376" t="n"/>
      <c r="I352" s="376" t="n"/>
      <c r="J352" s="376" t="n"/>
      <c r="K352" s="376" t="n"/>
      <c r="L352" s="376" t="n"/>
      <c r="M352" s="376" t="n"/>
      <c r="N352" s="397" t="n"/>
      <c r="O352" s="391" t="inlineStr">
        <is>
          <t>Итого</t>
        </is>
      </c>
      <c r="P352" s="392" t="n"/>
      <c r="Q352" s="392" t="n"/>
      <c r="R352" s="392" t="n"/>
      <c r="S352" s="392" t="n"/>
      <c r="T352" s="392" t="n"/>
      <c r="U352" s="393" t="n"/>
      <c r="V352" s="37" t="inlineStr">
        <is>
          <t>кор</t>
        </is>
      </c>
      <c r="W352" s="755">
        <f>IFERROR(W350/H350,"0")+IFERROR(W351/H351,"0")</f>
        <v/>
      </c>
      <c r="X352" s="755">
        <f>IFERROR(X350/H350,"0")+IFERROR(X351/H351,"0")</f>
        <v/>
      </c>
      <c r="Y352" s="755">
        <f>IFERROR(IF(Y350="",0,Y350),"0")+IFERROR(IF(Y351="",0,Y351),"0")</f>
        <v/>
      </c>
      <c r="Z352" s="756" t="n"/>
      <c r="AA352" s="756" t="n"/>
    </row>
    <row r="353">
      <c r="A353" s="376" t="n"/>
      <c r="B353" s="376" t="n"/>
      <c r="C353" s="376" t="n"/>
      <c r="D353" s="376" t="n"/>
      <c r="E353" s="376" t="n"/>
      <c r="F353" s="376" t="n"/>
      <c r="G353" s="376" t="n"/>
      <c r="H353" s="376" t="n"/>
      <c r="I353" s="376" t="n"/>
      <c r="J353" s="376" t="n"/>
      <c r="K353" s="376" t="n"/>
      <c r="L353" s="376" t="n"/>
      <c r="M353" s="376" t="n"/>
      <c r="N353" s="397" t="n"/>
      <c r="O353" s="391" t="inlineStr">
        <is>
          <t>Итого</t>
        </is>
      </c>
      <c r="P353" s="392" t="n"/>
      <c r="Q353" s="392" t="n"/>
      <c r="R353" s="392" t="n"/>
      <c r="S353" s="392" t="n"/>
      <c r="T353" s="392" t="n"/>
      <c r="U353" s="393" t="n"/>
      <c r="V353" s="37" t="inlineStr">
        <is>
          <t>кг</t>
        </is>
      </c>
      <c r="W353" s="755">
        <f>IFERROR(SUM(W350:W351),"0")</f>
        <v/>
      </c>
      <c r="X353" s="755">
        <f>IFERROR(SUM(X350:X351),"0")</f>
        <v/>
      </c>
      <c r="Y353" s="37" t="n"/>
      <c r="Z353" s="756" t="n"/>
      <c r="AA353" s="756" t="n"/>
    </row>
    <row r="354" ht="14.25" customHeight="1">
      <c r="A354" s="375" t="inlineStr">
        <is>
          <t>Сардельки</t>
        </is>
      </c>
      <c r="B354" s="376" t="n"/>
      <c r="C354" s="376" t="n"/>
      <c r="D354" s="376" t="n"/>
      <c r="E354" s="376" t="n"/>
      <c r="F354" s="376" t="n"/>
      <c r="G354" s="376" t="n"/>
      <c r="H354" s="376" t="n"/>
      <c r="I354" s="376" t="n"/>
      <c r="J354" s="376" t="n"/>
      <c r="K354" s="376" t="n"/>
      <c r="L354" s="376" t="n"/>
      <c r="M354" s="376" t="n"/>
      <c r="N354" s="376" t="n"/>
      <c r="O354" s="376" t="n"/>
      <c r="P354" s="376" t="n"/>
      <c r="Q354" s="376" t="n"/>
      <c r="R354" s="376" t="n"/>
      <c r="S354" s="376" t="n"/>
      <c r="T354" s="376" t="n"/>
      <c r="U354" s="376" t="n"/>
      <c r="V354" s="376" t="n"/>
      <c r="W354" s="376" t="n"/>
      <c r="X354" s="376" t="n"/>
      <c r="Y354" s="376" t="n"/>
      <c r="Z354" s="375" t="n"/>
      <c r="AA354" s="375" t="n"/>
    </row>
    <row r="355" ht="16.5" customHeight="1">
      <c r="A355" s="54" t="inlineStr">
        <is>
          <t>SU002287</t>
        </is>
      </c>
      <c r="B355" s="54" t="inlineStr">
        <is>
          <t>P002490</t>
        </is>
      </c>
      <c r="C355" s="31" t="n">
        <v>4301060314</v>
      </c>
      <c r="D355" s="369" t="n">
        <v>4607091384673</v>
      </c>
      <c r="E355" s="370" t="n"/>
      <c r="F355" s="752" t="n">
        <v>1.3</v>
      </c>
      <c r="G355" s="32" t="n">
        <v>6</v>
      </c>
      <c r="H355" s="752" t="n">
        <v>7.8</v>
      </c>
      <c r="I355" s="752" t="n">
        <v>8.364000000000001</v>
      </c>
      <c r="J355" s="32" t="n">
        <v>56</v>
      </c>
      <c r="K355" s="32" t="inlineStr">
        <is>
          <t>8</t>
        </is>
      </c>
      <c r="L355" s="33" t="inlineStr">
        <is>
          <t>СК2</t>
        </is>
      </c>
      <c r="M355" s="33" t="n"/>
      <c r="N355" s="32" t="n">
        <v>30</v>
      </c>
      <c r="O355" s="45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5" s="372" t="n"/>
      <c r="Q355" s="372" t="n"/>
      <c r="R355" s="372" t="n"/>
      <c r="S355" s="370" t="n"/>
      <c r="T355" s="34" t="n"/>
      <c r="U355" s="34" t="n"/>
      <c r="V355" s="35" t="inlineStr">
        <is>
          <t>кг</t>
        </is>
      </c>
      <c r="W355" s="753" t="n">
        <v>0</v>
      </c>
      <c r="X355" s="754">
        <f>IFERROR(IF(W355="",0,CEILING((W355/$H355),1)*$H355),"")</f>
        <v/>
      </c>
      <c r="Y355" s="36">
        <f>IFERROR(IF(X355=0,"",ROUNDUP(X355/H355,0)*0.02175),"")</f>
        <v/>
      </c>
      <c r="Z355" s="56" t="n"/>
      <c r="AA355" s="57" t="n"/>
      <c r="AE355" s="58" t="n"/>
      <c r="BB355" s="265" t="inlineStr">
        <is>
          <t>КИ</t>
        </is>
      </c>
    </row>
    <row r="356">
      <c r="A356" s="396" t="n"/>
      <c r="B356" s="376" t="n"/>
      <c r="C356" s="376" t="n"/>
      <c r="D356" s="376" t="n"/>
      <c r="E356" s="376" t="n"/>
      <c r="F356" s="376" t="n"/>
      <c r="G356" s="376" t="n"/>
      <c r="H356" s="376" t="n"/>
      <c r="I356" s="376" t="n"/>
      <c r="J356" s="376" t="n"/>
      <c r="K356" s="376" t="n"/>
      <c r="L356" s="376" t="n"/>
      <c r="M356" s="376" t="n"/>
      <c r="N356" s="397" t="n"/>
      <c r="O356" s="391" t="inlineStr">
        <is>
          <t>Итого</t>
        </is>
      </c>
      <c r="P356" s="392" t="n"/>
      <c r="Q356" s="392" t="n"/>
      <c r="R356" s="392" t="n"/>
      <c r="S356" s="392" t="n"/>
      <c r="T356" s="392" t="n"/>
      <c r="U356" s="393" t="n"/>
      <c r="V356" s="37" t="inlineStr">
        <is>
          <t>кор</t>
        </is>
      </c>
      <c r="W356" s="755">
        <f>IFERROR(W355/H355,"0")</f>
        <v/>
      </c>
      <c r="X356" s="755">
        <f>IFERROR(X355/H355,"0")</f>
        <v/>
      </c>
      <c r="Y356" s="755">
        <f>IFERROR(IF(Y355="",0,Y355),"0")</f>
        <v/>
      </c>
      <c r="Z356" s="756" t="n"/>
      <c r="AA356" s="756" t="n"/>
    </row>
    <row r="357">
      <c r="A357" s="376" t="n"/>
      <c r="B357" s="376" t="n"/>
      <c r="C357" s="376" t="n"/>
      <c r="D357" s="376" t="n"/>
      <c r="E357" s="376" t="n"/>
      <c r="F357" s="376" t="n"/>
      <c r="G357" s="376" t="n"/>
      <c r="H357" s="376" t="n"/>
      <c r="I357" s="376" t="n"/>
      <c r="J357" s="376" t="n"/>
      <c r="K357" s="376" t="n"/>
      <c r="L357" s="376" t="n"/>
      <c r="M357" s="376" t="n"/>
      <c r="N357" s="397" t="n"/>
      <c r="O357" s="391" t="inlineStr">
        <is>
          <t>Итого</t>
        </is>
      </c>
      <c r="P357" s="392" t="n"/>
      <c r="Q357" s="392" t="n"/>
      <c r="R357" s="392" t="n"/>
      <c r="S357" s="392" t="n"/>
      <c r="T357" s="392" t="n"/>
      <c r="U357" s="393" t="n"/>
      <c r="V357" s="37" t="inlineStr">
        <is>
          <t>кг</t>
        </is>
      </c>
      <c r="W357" s="755">
        <f>IFERROR(SUM(W355:W355),"0")</f>
        <v/>
      </c>
      <c r="X357" s="755">
        <f>IFERROR(SUM(X355:X355),"0")</f>
        <v/>
      </c>
      <c r="Y357" s="37" t="n"/>
      <c r="Z357" s="756" t="n"/>
      <c r="AA357" s="756" t="n"/>
    </row>
    <row r="358" ht="16.5" customHeight="1">
      <c r="A358" s="378" t="inlineStr">
        <is>
          <t>Особая Без свинины</t>
        </is>
      </c>
      <c r="B358" s="376" t="n"/>
      <c r="C358" s="376" t="n"/>
      <c r="D358" s="376" t="n"/>
      <c r="E358" s="376" t="n"/>
      <c r="F358" s="376" t="n"/>
      <c r="G358" s="376" t="n"/>
      <c r="H358" s="376" t="n"/>
      <c r="I358" s="376" t="n"/>
      <c r="J358" s="376" t="n"/>
      <c r="K358" s="376" t="n"/>
      <c r="L358" s="376" t="n"/>
      <c r="M358" s="376" t="n"/>
      <c r="N358" s="376" t="n"/>
      <c r="O358" s="376" t="n"/>
      <c r="P358" s="376" t="n"/>
      <c r="Q358" s="376" t="n"/>
      <c r="R358" s="376" t="n"/>
      <c r="S358" s="376" t="n"/>
      <c r="T358" s="376" t="n"/>
      <c r="U358" s="376" t="n"/>
      <c r="V358" s="376" t="n"/>
      <c r="W358" s="376" t="n"/>
      <c r="X358" s="376" t="n"/>
      <c r="Y358" s="376" t="n"/>
      <c r="Z358" s="378" t="n"/>
      <c r="AA358" s="378" t="n"/>
    </row>
    <row r="359" ht="14.25" customHeight="1">
      <c r="A359" s="375" t="inlineStr">
        <is>
          <t>Вареные колбасы</t>
        </is>
      </c>
      <c r="B359" s="376" t="n"/>
      <c r="C359" s="376" t="n"/>
      <c r="D359" s="376" t="n"/>
      <c r="E359" s="376" t="n"/>
      <c r="F359" s="376" t="n"/>
      <c r="G359" s="376" t="n"/>
      <c r="H359" s="376" t="n"/>
      <c r="I359" s="376" t="n"/>
      <c r="J359" s="376" t="n"/>
      <c r="K359" s="376" t="n"/>
      <c r="L359" s="376" t="n"/>
      <c r="M359" s="376" t="n"/>
      <c r="N359" s="376" t="n"/>
      <c r="O359" s="376" t="n"/>
      <c r="P359" s="376" t="n"/>
      <c r="Q359" s="376" t="n"/>
      <c r="R359" s="376" t="n"/>
      <c r="S359" s="376" t="n"/>
      <c r="T359" s="376" t="n"/>
      <c r="U359" s="376" t="n"/>
      <c r="V359" s="376" t="n"/>
      <c r="W359" s="376" t="n"/>
      <c r="X359" s="376" t="n"/>
      <c r="Y359" s="376" t="n"/>
      <c r="Z359" s="375" t="n"/>
      <c r="AA359" s="375" t="n"/>
    </row>
    <row r="360" ht="37.5" customHeight="1">
      <c r="A360" s="54" t="inlineStr">
        <is>
          <t>SU002073</t>
        </is>
      </c>
      <c r="B360" s="54" t="inlineStr">
        <is>
          <t>P002563</t>
        </is>
      </c>
      <c r="C360" s="31" t="n">
        <v>4301011324</v>
      </c>
      <c r="D360" s="369" t="n">
        <v>4607091384185</v>
      </c>
      <c r="E360" s="370" t="n"/>
      <c r="F360" s="752" t="n">
        <v>0.8</v>
      </c>
      <c r="G360" s="32" t="n">
        <v>15</v>
      </c>
      <c r="H360" s="752" t="n">
        <v>12</v>
      </c>
      <c r="I360" s="752" t="n">
        <v>12.48</v>
      </c>
      <c r="J360" s="32" t="n">
        <v>56</v>
      </c>
      <c r="K360" s="32" t="inlineStr">
        <is>
          <t>8</t>
        </is>
      </c>
      <c r="L360" s="33" t="inlineStr">
        <is>
          <t>СК2</t>
        </is>
      </c>
      <c r="M360" s="33" t="n"/>
      <c r="N360" s="32" t="n">
        <v>60</v>
      </c>
      <c r="O360" s="5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60" s="372" t="n"/>
      <c r="Q360" s="372" t="n"/>
      <c r="R360" s="372" t="n"/>
      <c r="S360" s="370" t="n"/>
      <c r="T360" s="34" t="n"/>
      <c r="U360" s="34" t="n"/>
      <c r="V360" s="35" t="inlineStr">
        <is>
          <t>кг</t>
        </is>
      </c>
      <c r="W360" s="753" t="n">
        <v>0</v>
      </c>
      <c r="X360" s="754">
        <f>IFERROR(IF(W360="",0,CEILING((W360/$H360),1)*$H360),"")</f>
        <v/>
      </c>
      <c r="Y360" s="36">
        <f>IFERROR(IF(X360=0,"",ROUNDUP(X360/H360,0)*0.02175),"")</f>
        <v/>
      </c>
      <c r="Z360" s="56" t="n"/>
      <c r="AA360" s="57" t="n"/>
      <c r="AE360" s="58" t="n"/>
      <c r="BB360" s="266" t="inlineStr">
        <is>
          <t>КИ</t>
        </is>
      </c>
    </row>
    <row r="361" ht="37.5" customHeight="1">
      <c r="A361" s="54" t="inlineStr">
        <is>
          <t>SU002187</t>
        </is>
      </c>
      <c r="B361" s="54" t="inlineStr">
        <is>
          <t>P002559</t>
        </is>
      </c>
      <c r="C361" s="31" t="n">
        <v>4301011312</v>
      </c>
      <c r="D361" s="369" t="n">
        <v>4607091384192</v>
      </c>
      <c r="E361" s="370" t="n"/>
      <c r="F361" s="752" t="n">
        <v>1.8</v>
      </c>
      <c r="G361" s="32" t="n">
        <v>6</v>
      </c>
      <c r="H361" s="752" t="n">
        <v>10.8</v>
      </c>
      <c r="I361" s="752" t="n">
        <v>11.28</v>
      </c>
      <c r="J361" s="32" t="n">
        <v>56</v>
      </c>
      <c r="K361" s="32" t="inlineStr">
        <is>
          <t>8</t>
        </is>
      </c>
      <c r="L361" s="33" t="inlineStr">
        <is>
          <t>СК1</t>
        </is>
      </c>
      <c r="M361" s="33" t="n"/>
      <c r="N361" s="32" t="n">
        <v>60</v>
      </c>
      <c r="O361" s="60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61" s="372" t="n"/>
      <c r="Q361" s="372" t="n"/>
      <c r="R361" s="372" t="n"/>
      <c r="S361" s="370" t="n"/>
      <c r="T361" s="34" t="n"/>
      <c r="U361" s="34" t="n"/>
      <c r="V361" s="35" t="inlineStr">
        <is>
          <t>кг</t>
        </is>
      </c>
      <c r="W361" s="753" t="n">
        <v>0</v>
      </c>
      <c r="X361" s="754">
        <f>IFERROR(IF(W361="",0,CEILING((W361/$H361),1)*$H361),"")</f>
        <v/>
      </c>
      <c r="Y361" s="36">
        <f>IFERROR(IF(X361=0,"",ROUNDUP(X361/H361,0)*0.02175),"")</f>
        <v/>
      </c>
      <c r="Z361" s="56" t="n"/>
      <c r="AA361" s="57" t="n"/>
      <c r="AE361" s="58" t="n"/>
      <c r="BB361" s="267" t="inlineStr">
        <is>
          <t>КИ</t>
        </is>
      </c>
    </row>
    <row r="362" ht="27" customHeight="1">
      <c r="A362" s="54" t="inlineStr">
        <is>
          <t>SU002899</t>
        </is>
      </c>
      <c r="B362" s="54" t="inlineStr">
        <is>
          <t>P003323</t>
        </is>
      </c>
      <c r="C362" s="31" t="n">
        <v>4301011483</v>
      </c>
      <c r="D362" s="369" t="n">
        <v>4680115881907</v>
      </c>
      <c r="E362" s="370" t="n"/>
      <c r="F362" s="752" t="n">
        <v>1.8</v>
      </c>
      <c r="G362" s="32" t="n">
        <v>6</v>
      </c>
      <c r="H362" s="752" t="n">
        <v>10.8</v>
      </c>
      <c r="I362" s="752" t="n">
        <v>11.28</v>
      </c>
      <c r="J362" s="32" t="n">
        <v>56</v>
      </c>
      <c r="K362" s="32" t="inlineStr">
        <is>
          <t>8</t>
        </is>
      </c>
      <c r="L362" s="33" t="inlineStr">
        <is>
          <t>СК2</t>
        </is>
      </c>
      <c r="M362" s="33" t="n"/>
      <c r="N362" s="32" t="n">
        <v>60</v>
      </c>
      <c r="O362" s="40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2" s="372" t="n"/>
      <c r="Q362" s="372" t="n"/>
      <c r="R362" s="372" t="n"/>
      <c r="S362" s="370" t="n"/>
      <c r="T362" s="34" t="n"/>
      <c r="U362" s="34" t="n"/>
      <c r="V362" s="35" t="inlineStr">
        <is>
          <t>кг</t>
        </is>
      </c>
      <c r="W362" s="753" t="n">
        <v>0</v>
      </c>
      <c r="X362" s="754">
        <f>IFERROR(IF(W362="",0,CEILING((W362/$H362),1)*$H362),"")</f>
        <v/>
      </c>
      <c r="Y362" s="36">
        <f>IFERROR(IF(X362=0,"",ROUNDUP(X362/H362,0)*0.02175),"")</f>
        <v/>
      </c>
      <c r="Z362" s="56" t="n"/>
      <c r="AA362" s="57" t="n"/>
      <c r="AE362" s="58" t="n"/>
      <c r="BB362" s="268" t="inlineStr">
        <is>
          <t>КИ</t>
        </is>
      </c>
    </row>
    <row r="363" ht="27" customHeight="1">
      <c r="A363" s="54" t="inlineStr">
        <is>
          <t>SU003226</t>
        </is>
      </c>
      <c r="B363" s="54" t="inlineStr">
        <is>
          <t>P003844</t>
        </is>
      </c>
      <c r="C363" s="31" t="n">
        <v>4301011655</v>
      </c>
      <c r="D363" s="369" t="n">
        <v>4680115883925</v>
      </c>
      <c r="E363" s="370" t="n"/>
      <c r="F363" s="752" t="n">
        <v>2.5</v>
      </c>
      <c r="G363" s="32" t="n">
        <v>6</v>
      </c>
      <c r="H363" s="752" t="n">
        <v>15</v>
      </c>
      <c r="I363" s="752" t="n">
        <v>15.48</v>
      </c>
      <c r="J363" s="32" t="n">
        <v>48</v>
      </c>
      <c r="K363" s="32" t="inlineStr">
        <is>
          <t>8</t>
        </is>
      </c>
      <c r="L363" s="33" t="inlineStr">
        <is>
          <t>СК2</t>
        </is>
      </c>
      <c r="M363" s="33" t="n"/>
      <c r="N363" s="32" t="n">
        <v>60</v>
      </c>
      <c r="O363" s="44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3" s="372" t="n"/>
      <c r="Q363" s="372" t="n"/>
      <c r="R363" s="372" t="n"/>
      <c r="S363" s="370" t="n"/>
      <c r="T363" s="34" t="n"/>
      <c r="U363" s="34" t="n"/>
      <c r="V363" s="35" t="inlineStr">
        <is>
          <t>кг</t>
        </is>
      </c>
      <c r="W363" s="753" t="n">
        <v>0</v>
      </c>
      <c r="X363" s="754">
        <f>IFERROR(IF(W363="",0,CEILING((W363/$H363),1)*$H363),"")</f>
        <v/>
      </c>
      <c r="Y363" s="36">
        <f>IFERROR(IF(X363=0,"",ROUNDUP(X363/H363,0)*0.02175),"")</f>
        <v/>
      </c>
      <c r="Z363" s="56" t="n"/>
      <c r="AA363" s="57" t="n"/>
      <c r="AE363" s="58" t="n"/>
      <c r="BB363" s="269" t="inlineStr">
        <is>
          <t>КИ</t>
        </is>
      </c>
    </row>
    <row r="364" ht="37.5" customHeight="1">
      <c r="A364" s="54" t="inlineStr">
        <is>
          <t>SU002462</t>
        </is>
      </c>
      <c r="B364" s="54" t="inlineStr">
        <is>
          <t>P002768</t>
        </is>
      </c>
      <c r="C364" s="31" t="n">
        <v>4301011303</v>
      </c>
      <c r="D364" s="369" t="n">
        <v>4607091384680</v>
      </c>
      <c r="E364" s="370" t="n"/>
      <c r="F364" s="752" t="n">
        <v>0.4</v>
      </c>
      <c r="G364" s="32" t="n">
        <v>10</v>
      </c>
      <c r="H364" s="752" t="n">
        <v>4</v>
      </c>
      <c r="I364" s="752" t="n">
        <v>4.21</v>
      </c>
      <c r="J364" s="32" t="n">
        <v>120</v>
      </c>
      <c r="K364" s="32" t="inlineStr">
        <is>
          <t>12</t>
        </is>
      </c>
      <c r="L364" s="33" t="inlineStr">
        <is>
          <t>СК2</t>
        </is>
      </c>
      <c r="M364" s="33" t="n"/>
      <c r="N364" s="32" t="n">
        <v>60</v>
      </c>
      <c r="O364" s="38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4" s="372" t="n"/>
      <c r="Q364" s="372" t="n"/>
      <c r="R364" s="372" t="n"/>
      <c r="S364" s="370" t="n"/>
      <c r="T364" s="34" t="n"/>
      <c r="U364" s="34" t="n"/>
      <c r="V364" s="35" t="inlineStr">
        <is>
          <t>кг</t>
        </is>
      </c>
      <c r="W364" s="753" t="n">
        <v>0</v>
      </c>
      <c r="X364" s="754">
        <f>IFERROR(IF(W364="",0,CEILING((W364/$H364),1)*$H364),"")</f>
        <v/>
      </c>
      <c r="Y364" s="36">
        <f>IFERROR(IF(X364=0,"",ROUNDUP(X364/H364,0)*0.00937),"")</f>
        <v/>
      </c>
      <c r="Z364" s="56" t="n"/>
      <c r="AA364" s="57" t="n"/>
      <c r="AE364" s="58" t="n"/>
      <c r="BB364" s="270" t="inlineStr">
        <is>
          <t>КИ</t>
        </is>
      </c>
    </row>
    <row r="365">
      <c r="A365" s="396" t="n"/>
      <c r="B365" s="376" t="n"/>
      <c r="C365" s="376" t="n"/>
      <c r="D365" s="376" t="n"/>
      <c r="E365" s="376" t="n"/>
      <c r="F365" s="376" t="n"/>
      <c r="G365" s="376" t="n"/>
      <c r="H365" s="376" t="n"/>
      <c r="I365" s="376" t="n"/>
      <c r="J365" s="376" t="n"/>
      <c r="K365" s="376" t="n"/>
      <c r="L365" s="376" t="n"/>
      <c r="M365" s="376" t="n"/>
      <c r="N365" s="397" t="n"/>
      <c r="O365" s="391" t="inlineStr">
        <is>
          <t>Итого</t>
        </is>
      </c>
      <c r="P365" s="392" t="n"/>
      <c r="Q365" s="392" t="n"/>
      <c r="R365" s="392" t="n"/>
      <c r="S365" s="392" t="n"/>
      <c r="T365" s="392" t="n"/>
      <c r="U365" s="393" t="n"/>
      <c r="V365" s="37" t="inlineStr">
        <is>
          <t>кор</t>
        </is>
      </c>
      <c r="W365" s="755">
        <f>IFERROR(W360/H360,"0")+IFERROR(W361/H361,"0")+IFERROR(W362/H362,"0")+IFERROR(W363/H363,"0")+IFERROR(W364/H364,"0")</f>
        <v/>
      </c>
      <c r="X365" s="755">
        <f>IFERROR(X360/H360,"0")+IFERROR(X361/H361,"0")+IFERROR(X362/H362,"0")+IFERROR(X363/H363,"0")+IFERROR(X364/H364,"0")</f>
        <v/>
      </c>
      <c r="Y365" s="755">
        <f>IFERROR(IF(Y360="",0,Y360),"0")+IFERROR(IF(Y361="",0,Y361),"0")+IFERROR(IF(Y362="",0,Y362),"0")+IFERROR(IF(Y363="",0,Y363),"0")+IFERROR(IF(Y364="",0,Y364),"0")</f>
        <v/>
      </c>
      <c r="Z365" s="756" t="n"/>
      <c r="AA365" s="756" t="n"/>
    </row>
    <row r="366">
      <c r="A366" s="376" t="n"/>
      <c r="B366" s="376" t="n"/>
      <c r="C366" s="376" t="n"/>
      <c r="D366" s="376" t="n"/>
      <c r="E366" s="376" t="n"/>
      <c r="F366" s="376" t="n"/>
      <c r="G366" s="376" t="n"/>
      <c r="H366" s="376" t="n"/>
      <c r="I366" s="376" t="n"/>
      <c r="J366" s="376" t="n"/>
      <c r="K366" s="376" t="n"/>
      <c r="L366" s="376" t="n"/>
      <c r="M366" s="376" t="n"/>
      <c r="N366" s="397" t="n"/>
      <c r="O366" s="391" t="inlineStr">
        <is>
          <t>Итого</t>
        </is>
      </c>
      <c r="P366" s="392" t="n"/>
      <c r="Q366" s="392" t="n"/>
      <c r="R366" s="392" t="n"/>
      <c r="S366" s="392" t="n"/>
      <c r="T366" s="392" t="n"/>
      <c r="U366" s="393" t="n"/>
      <c r="V366" s="37" t="inlineStr">
        <is>
          <t>кг</t>
        </is>
      </c>
      <c r="W366" s="755">
        <f>IFERROR(SUM(W360:W364),"0")</f>
        <v/>
      </c>
      <c r="X366" s="755">
        <f>IFERROR(SUM(X360:X364),"0")</f>
        <v/>
      </c>
      <c r="Y366" s="37" t="n"/>
      <c r="Z366" s="756" t="n"/>
      <c r="AA366" s="756" t="n"/>
    </row>
    <row r="367" ht="14.25" customHeight="1">
      <c r="A367" s="375" t="inlineStr">
        <is>
          <t>Копченые колбасы</t>
        </is>
      </c>
      <c r="B367" s="376" t="n"/>
      <c r="C367" s="376" t="n"/>
      <c r="D367" s="376" t="n"/>
      <c r="E367" s="376" t="n"/>
      <c r="F367" s="376" t="n"/>
      <c r="G367" s="376" t="n"/>
      <c r="H367" s="376" t="n"/>
      <c r="I367" s="376" t="n"/>
      <c r="J367" s="376" t="n"/>
      <c r="K367" s="376" t="n"/>
      <c r="L367" s="376" t="n"/>
      <c r="M367" s="376" t="n"/>
      <c r="N367" s="376" t="n"/>
      <c r="O367" s="376" t="n"/>
      <c r="P367" s="376" t="n"/>
      <c r="Q367" s="376" t="n"/>
      <c r="R367" s="376" t="n"/>
      <c r="S367" s="376" t="n"/>
      <c r="T367" s="376" t="n"/>
      <c r="U367" s="376" t="n"/>
      <c r="V367" s="376" t="n"/>
      <c r="W367" s="376" t="n"/>
      <c r="X367" s="376" t="n"/>
      <c r="Y367" s="376" t="n"/>
      <c r="Z367" s="375" t="n"/>
      <c r="AA367" s="375" t="n"/>
    </row>
    <row r="368" ht="27" customHeight="1">
      <c r="A368" s="54" t="inlineStr">
        <is>
          <t>SU002360</t>
        </is>
      </c>
      <c r="B368" s="54" t="inlineStr">
        <is>
          <t>P002629</t>
        </is>
      </c>
      <c r="C368" s="31" t="n">
        <v>4301031139</v>
      </c>
      <c r="D368" s="369" t="n">
        <v>4607091384802</v>
      </c>
      <c r="E368" s="370" t="n"/>
      <c r="F368" s="752" t="n">
        <v>0.73</v>
      </c>
      <c r="G368" s="32" t="n">
        <v>6</v>
      </c>
      <c r="H368" s="752" t="n">
        <v>4.38</v>
      </c>
      <c r="I368" s="752" t="n">
        <v>4.58</v>
      </c>
      <c r="J368" s="32" t="n">
        <v>156</v>
      </c>
      <c r="K368" s="32" t="inlineStr">
        <is>
          <t>12</t>
        </is>
      </c>
      <c r="L368" s="33" t="inlineStr">
        <is>
          <t>СК2</t>
        </is>
      </c>
      <c r="M368" s="33" t="n"/>
      <c r="N368" s="32" t="n">
        <v>35</v>
      </c>
      <c r="O368" s="6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8" s="372" t="n"/>
      <c r="Q368" s="372" t="n"/>
      <c r="R368" s="372" t="n"/>
      <c r="S368" s="370" t="n"/>
      <c r="T368" s="34" t="n"/>
      <c r="U368" s="34" t="n"/>
      <c r="V368" s="35" t="inlineStr">
        <is>
          <t>кг</t>
        </is>
      </c>
      <c r="W368" s="753" t="n">
        <v>0</v>
      </c>
      <c r="X368" s="754">
        <f>IFERROR(IF(W368="",0,CEILING((W368/$H368),1)*$H368),"")</f>
        <v/>
      </c>
      <c r="Y368" s="36">
        <f>IFERROR(IF(X368=0,"",ROUNDUP(X368/H368,0)*0.00753),"")</f>
        <v/>
      </c>
      <c r="Z368" s="56" t="n"/>
      <c r="AA368" s="57" t="n"/>
      <c r="AE368" s="58" t="n"/>
      <c r="BB368" s="271" t="inlineStr">
        <is>
          <t>КИ</t>
        </is>
      </c>
    </row>
    <row r="369" ht="27" customHeight="1">
      <c r="A369" s="54" t="inlineStr">
        <is>
          <t>SU002361</t>
        </is>
      </c>
      <c r="B369" s="54" t="inlineStr">
        <is>
          <t>P002630</t>
        </is>
      </c>
      <c r="C369" s="31" t="n">
        <v>4301031140</v>
      </c>
      <c r="D369" s="369" t="n">
        <v>4607091384826</v>
      </c>
      <c r="E369" s="370" t="n"/>
      <c r="F369" s="752" t="n">
        <v>0.35</v>
      </c>
      <c r="G369" s="32" t="n">
        <v>8</v>
      </c>
      <c r="H369" s="752" t="n">
        <v>2.8</v>
      </c>
      <c r="I369" s="752" t="n">
        <v>2.9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3" t="n"/>
      <c r="N369" s="32" t="n">
        <v>35</v>
      </c>
      <c r="O369" s="7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9" s="372" t="n"/>
      <c r="Q369" s="372" t="n"/>
      <c r="R369" s="372" t="n"/>
      <c r="S369" s="370" t="n"/>
      <c r="T369" s="34" t="n"/>
      <c r="U369" s="34" t="n"/>
      <c r="V369" s="35" t="inlineStr">
        <is>
          <t>кг</t>
        </is>
      </c>
      <c r="W369" s="753" t="n">
        <v>0</v>
      </c>
      <c r="X369" s="754">
        <f>IFERROR(IF(W369="",0,CEILING((W369/$H369),1)*$H369),"")</f>
        <v/>
      </c>
      <c r="Y369" s="36">
        <f>IFERROR(IF(X369=0,"",ROUNDUP(X369/H369,0)*0.00502),"")</f>
        <v/>
      </c>
      <c r="Z369" s="56" t="n"/>
      <c r="AA369" s="57" t="n"/>
      <c r="AE369" s="58" t="n"/>
      <c r="BB369" s="272" t="inlineStr">
        <is>
          <t>КИ</t>
        </is>
      </c>
    </row>
    <row r="370">
      <c r="A370" s="396" t="n"/>
      <c r="B370" s="376" t="n"/>
      <c r="C370" s="376" t="n"/>
      <c r="D370" s="376" t="n"/>
      <c r="E370" s="376" t="n"/>
      <c r="F370" s="376" t="n"/>
      <c r="G370" s="376" t="n"/>
      <c r="H370" s="376" t="n"/>
      <c r="I370" s="376" t="n"/>
      <c r="J370" s="376" t="n"/>
      <c r="K370" s="376" t="n"/>
      <c r="L370" s="376" t="n"/>
      <c r="M370" s="376" t="n"/>
      <c r="N370" s="397" t="n"/>
      <c r="O370" s="391" t="inlineStr">
        <is>
          <t>Итого</t>
        </is>
      </c>
      <c r="P370" s="392" t="n"/>
      <c r="Q370" s="392" t="n"/>
      <c r="R370" s="392" t="n"/>
      <c r="S370" s="392" t="n"/>
      <c r="T370" s="392" t="n"/>
      <c r="U370" s="393" t="n"/>
      <c r="V370" s="37" t="inlineStr">
        <is>
          <t>кор</t>
        </is>
      </c>
      <c r="W370" s="755">
        <f>IFERROR(W368/H368,"0")+IFERROR(W369/H369,"0")</f>
        <v/>
      </c>
      <c r="X370" s="755">
        <f>IFERROR(X368/H368,"0")+IFERROR(X369/H369,"0")</f>
        <v/>
      </c>
      <c r="Y370" s="755">
        <f>IFERROR(IF(Y368="",0,Y368),"0")+IFERROR(IF(Y369="",0,Y369),"0")</f>
        <v/>
      </c>
      <c r="Z370" s="756" t="n"/>
      <c r="AA370" s="756" t="n"/>
    </row>
    <row r="371">
      <c r="A371" s="376" t="n"/>
      <c r="B371" s="376" t="n"/>
      <c r="C371" s="376" t="n"/>
      <c r="D371" s="376" t="n"/>
      <c r="E371" s="376" t="n"/>
      <c r="F371" s="376" t="n"/>
      <c r="G371" s="376" t="n"/>
      <c r="H371" s="376" t="n"/>
      <c r="I371" s="376" t="n"/>
      <c r="J371" s="376" t="n"/>
      <c r="K371" s="376" t="n"/>
      <c r="L371" s="376" t="n"/>
      <c r="M371" s="376" t="n"/>
      <c r="N371" s="397" t="n"/>
      <c r="O371" s="391" t="inlineStr">
        <is>
          <t>Итого</t>
        </is>
      </c>
      <c r="P371" s="392" t="n"/>
      <c r="Q371" s="392" t="n"/>
      <c r="R371" s="392" t="n"/>
      <c r="S371" s="392" t="n"/>
      <c r="T371" s="392" t="n"/>
      <c r="U371" s="393" t="n"/>
      <c r="V371" s="37" t="inlineStr">
        <is>
          <t>кг</t>
        </is>
      </c>
      <c r="W371" s="755">
        <f>IFERROR(SUM(W368:W369),"0")</f>
        <v/>
      </c>
      <c r="X371" s="755">
        <f>IFERROR(SUM(X368:X369),"0")</f>
        <v/>
      </c>
      <c r="Y371" s="37" t="n"/>
      <c r="Z371" s="756" t="n"/>
      <c r="AA371" s="756" t="n"/>
    </row>
    <row r="372" ht="14.25" customHeight="1">
      <c r="A372" s="375" t="inlineStr">
        <is>
          <t>Сосиски</t>
        </is>
      </c>
      <c r="B372" s="376" t="n"/>
      <c r="C372" s="376" t="n"/>
      <c r="D372" s="376" t="n"/>
      <c r="E372" s="376" t="n"/>
      <c r="F372" s="376" t="n"/>
      <c r="G372" s="376" t="n"/>
      <c r="H372" s="376" t="n"/>
      <c r="I372" s="376" t="n"/>
      <c r="J372" s="376" t="n"/>
      <c r="K372" s="376" t="n"/>
      <c r="L372" s="376" t="n"/>
      <c r="M372" s="376" t="n"/>
      <c r="N372" s="376" t="n"/>
      <c r="O372" s="376" t="n"/>
      <c r="P372" s="376" t="n"/>
      <c r="Q372" s="376" t="n"/>
      <c r="R372" s="376" t="n"/>
      <c r="S372" s="376" t="n"/>
      <c r="T372" s="376" t="n"/>
      <c r="U372" s="376" t="n"/>
      <c r="V372" s="376" t="n"/>
      <c r="W372" s="376" t="n"/>
      <c r="X372" s="376" t="n"/>
      <c r="Y372" s="376" t="n"/>
      <c r="Z372" s="375" t="n"/>
      <c r="AA372" s="375" t="n"/>
    </row>
    <row r="373" ht="27" customHeight="1">
      <c r="A373" s="54" t="inlineStr">
        <is>
          <t>SU002074</t>
        </is>
      </c>
      <c r="B373" s="54" t="inlineStr">
        <is>
          <t>P002693</t>
        </is>
      </c>
      <c r="C373" s="31" t="n">
        <v>4301051303</v>
      </c>
      <c r="D373" s="369" t="n">
        <v>4607091384246</v>
      </c>
      <c r="E373" s="370" t="n"/>
      <c r="F373" s="752" t="n">
        <v>1.3</v>
      </c>
      <c r="G373" s="32" t="n">
        <v>6</v>
      </c>
      <c r="H373" s="752" t="n">
        <v>7.8</v>
      </c>
      <c r="I373" s="752" t="n">
        <v>8.364000000000001</v>
      </c>
      <c r="J373" s="32" t="n">
        <v>56</v>
      </c>
      <c r="K373" s="32" t="inlineStr">
        <is>
          <t>8</t>
        </is>
      </c>
      <c r="L373" s="33" t="inlineStr">
        <is>
          <t>СК2</t>
        </is>
      </c>
      <c r="M373" s="33" t="n"/>
      <c r="N373" s="32" t="n">
        <v>40</v>
      </c>
      <c r="O373" s="6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3" s="372" t="n"/>
      <c r="Q373" s="372" t="n"/>
      <c r="R373" s="372" t="n"/>
      <c r="S373" s="370" t="n"/>
      <c r="T373" s="34" t="n"/>
      <c r="U373" s="34" t="n"/>
      <c r="V373" s="35" t="inlineStr">
        <is>
          <t>кг</t>
        </is>
      </c>
      <c r="W373" s="753" t="n">
        <v>0</v>
      </c>
      <c r="X373" s="754">
        <f>IFERROR(IF(W373="",0,CEILING((W373/$H373),1)*$H373),"")</f>
        <v/>
      </c>
      <c r="Y373" s="36">
        <f>IFERROR(IF(X373=0,"",ROUNDUP(X373/H373,0)*0.02175),"")</f>
        <v/>
      </c>
      <c r="Z373" s="56" t="n"/>
      <c r="AA373" s="57" t="n"/>
      <c r="AE373" s="58" t="n"/>
      <c r="BB373" s="273" t="inlineStr">
        <is>
          <t>КИ</t>
        </is>
      </c>
    </row>
    <row r="374" ht="27" customHeight="1">
      <c r="A374" s="54" t="inlineStr">
        <is>
          <t>SU002896</t>
        </is>
      </c>
      <c r="B374" s="54" t="inlineStr">
        <is>
          <t>P003330</t>
        </is>
      </c>
      <c r="C374" s="31" t="n">
        <v>4301051445</v>
      </c>
      <c r="D374" s="369" t="n">
        <v>4680115881976</v>
      </c>
      <c r="E374" s="370" t="n"/>
      <c r="F374" s="752" t="n">
        <v>1.3</v>
      </c>
      <c r="G374" s="32" t="n">
        <v>6</v>
      </c>
      <c r="H374" s="752" t="n">
        <v>7.8</v>
      </c>
      <c r="I374" s="752" t="n">
        <v>8.279999999999999</v>
      </c>
      <c r="J374" s="32" t="n">
        <v>56</v>
      </c>
      <c r="K374" s="32" t="inlineStr">
        <is>
          <t>8</t>
        </is>
      </c>
      <c r="L374" s="33" t="inlineStr">
        <is>
          <t>СК2</t>
        </is>
      </c>
      <c r="M374" s="33" t="n"/>
      <c r="N374" s="32" t="n">
        <v>40</v>
      </c>
      <c r="O374" s="60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4" s="372" t="n"/>
      <c r="Q374" s="372" t="n"/>
      <c r="R374" s="372" t="n"/>
      <c r="S374" s="370" t="n"/>
      <c r="T374" s="34" t="n"/>
      <c r="U374" s="34" t="n"/>
      <c r="V374" s="35" t="inlineStr">
        <is>
          <t>кг</t>
        </is>
      </c>
      <c r="W374" s="753" t="n">
        <v>0</v>
      </c>
      <c r="X374" s="754">
        <f>IFERROR(IF(W374="",0,CEILING((W374/$H374),1)*$H374),"")</f>
        <v/>
      </c>
      <c r="Y374" s="36">
        <f>IFERROR(IF(X374=0,"",ROUNDUP(X374/H374,0)*0.02175),"")</f>
        <v/>
      </c>
      <c r="Z374" s="56" t="n"/>
      <c r="AA374" s="57" t="n"/>
      <c r="AE374" s="58" t="n"/>
      <c r="BB374" s="274" t="inlineStr">
        <is>
          <t>КИ</t>
        </is>
      </c>
    </row>
    <row r="375" ht="27" customHeight="1">
      <c r="A375" s="54" t="inlineStr">
        <is>
          <t>SU002205</t>
        </is>
      </c>
      <c r="B375" s="54" t="inlineStr">
        <is>
          <t>P002694</t>
        </is>
      </c>
      <c r="C375" s="31" t="n">
        <v>4301051297</v>
      </c>
      <c r="D375" s="369" t="n">
        <v>4607091384253</v>
      </c>
      <c r="E375" s="370" t="n"/>
      <c r="F375" s="752" t="n">
        <v>0.4</v>
      </c>
      <c r="G375" s="32" t="n">
        <v>6</v>
      </c>
      <c r="H375" s="752" t="n">
        <v>2.4</v>
      </c>
      <c r="I375" s="752" t="n">
        <v>2.684</v>
      </c>
      <c r="J375" s="32" t="n">
        <v>156</v>
      </c>
      <c r="K375" s="32" t="inlineStr">
        <is>
          <t>12</t>
        </is>
      </c>
      <c r="L375" s="33" t="inlineStr">
        <is>
          <t>СК2</t>
        </is>
      </c>
      <c r="M375" s="33" t="n"/>
      <c r="N375" s="32" t="n">
        <v>40</v>
      </c>
      <c r="O375" s="61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5" s="372" t="n"/>
      <c r="Q375" s="372" t="n"/>
      <c r="R375" s="372" t="n"/>
      <c r="S375" s="370" t="n"/>
      <c r="T375" s="34" t="n"/>
      <c r="U375" s="34" t="n"/>
      <c r="V375" s="35" t="inlineStr">
        <is>
          <t>кг</t>
        </is>
      </c>
      <c r="W375" s="753" t="n">
        <v>0</v>
      </c>
      <c r="X375" s="754">
        <f>IFERROR(IF(W375="",0,CEILING((W375/$H375),1)*$H375),"")</f>
        <v/>
      </c>
      <c r="Y375" s="36">
        <f>IFERROR(IF(X375=0,"",ROUNDUP(X375/H375,0)*0.00753),"")</f>
        <v/>
      </c>
      <c r="Z375" s="56" t="n"/>
      <c r="AA375" s="57" t="n"/>
      <c r="AE375" s="58" t="n"/>
      <c r="BB375" s="275" t="inlineStr">
        <is>
          <t>КИ</t>
        </is>
      </c>
    </row>
    <row r="376" ht="27" customHeight="1">
      <c r="A376" s="54" t="inlineStr">
        <is>
          <t>SU002895</t>
        </is>
      </c>
      <c r="B376" s="54" t="inlineStr">
        <is>
          <t>P003329</t>
        </is>
      </c>
      <c r="C376" s="31" t="n">
        <v>4301051444</v>
      </c>
      <c r="D376" s="369" t="n">
        <v>4680115881969</v>
      </c>
      <c r="E376" s="370" t="n"/>
      <c r="F376" s="752" t="n">
        <v>0.4</v>
      </c>
      <c r="G376" s="32" t="n">
        <v>6</v>
      </c>
      <c r="H376" s="752" t="n">
        <v>2.4</v>
      </c>
      <c r="I376" s="752" t="n">
        <v>2.6</v>
      </c>
      <c r="J376" s="32" t="n">
        <v>156</v>
      </c>
      <c r="K376" s="32" t="inlineStr">
        <is>
          <t>12</t>
        </is>
      </c>
      <c r="L376" s="33" t="inlineStr">
        <is>
          <t>СК2</t>
        </is>
      </c>
      <c r="M376" s="33" t="n"/>
      <c r="N376" s="32" t="n">
        <v>40</v>
      </c>
      <c r="O376" s="46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6" s="372" t="n"/>
      <c r="Q376" s="372" t="n"/>
      <c r="R376" s="372" t="n"/>
      <c r="S376" s="370" t="n"/>
      <c r="T376" s="34" t="n"/>
      <c r="U376" s="34" t="n"/>
      <c r="V376" s="35" t="inlineStr">
        <is>
          <t>кг</t>
        </is>
      </c>
      <c r="W376" s="753" t="n">
        <v>0</v>
      </c>
      <c r="X376" s="754">
        <f>IFERROR(IF(W376="",0,CEILING((W376/$H376),1)*$H376),"")</f>
        <v/>
      </c>
      <c r="Y376" s="36">
        <f>IFERROR(IF(X376=0,"",ROUNDUP(X376/H376,0)*0.00753),"")</f>
        <v/>
      </c>
      <c r="Z376" s="56" t="n"/>
      <c r="AA376" s="57" t="n"/>
      <c r="AE376" s="58" t="n"/>
      <c r="BB376" s="276" t="inlineStr">
        <is>
          <t>КИ</t>
        </is>
      </c>
    </row>
    <row r="377">
      <c r="A377" s="396" t="n"/>
      <c r="B377" s="376" t="n"/>
      <c r="C377" s="376" t="n"/>
      <c r="D377" s="376" t="n"/>
      <c r="E377" s="376" t="n"/>
      <c r="F377" s="376" t="n"/>
      <c r="G377" s="376" t="n"/>
      <c r="H377" s="376" t="n"/>
      <c r="I377" s="376" t="n"/>
      <c r="J377" s="376" t="n"/>
      <c r="K377" s="376" t="n"/>
      <c r="L377" s="376" t="n"/>
      <c r="M377" s="376" t="n"/>
      <c r="N377" s="397" t="n"/>
      <c r="O377" s="391" t="inlineStr">
        <is>
          <t>Итого</t>
        </is>
      </c>
      <c r="P377" s="392" t="n"/>
      <c r="Q377" s="392" t="n"/>
      <c r="R377" s="392" t="n"/>
      <c r="S377" s="392" t="n"/>
      <c r="T377" s="392" t="n"/>
      <c r="U377" s="393" t="n"/>
      <c r="V377" s="37" t="inlineStr">
        <is>
          <t>кор</t>
        </is>
      </c>
      <c r="W377" s="755">
        <f>IFERROR(W373/H373,"0")+IFERROR(W374/H374,"0")+IFERROR(W375/H375,"0")+IFERROR(W376/H376,"0")</f>
        <v/>
      </c>
      <c r="X377" s="755">
        <f>IFERROR(X373/H373,"0")+IFERROR(X374/H374,"0")+IFERROR(X375/H375,"0")+IFERROR(X376/H376,"0")</f>
        <v/>
      </c>
      <c r="Y377" s="755">
        <f>IFERROR(IF(Y373="",0,Y373),"0")+IFERROR(IF(Y374="",0,Y374),"0")+IFERROR(IF(Y375="",0,Y375),"0")+IFERROR(IF(Y376="",0,Y376),"0")</f>
        <v/>
      </c>
      <c r="Z377" s="756" t="n"/>
      <c r="AA377" s="756" t="n"/>
    </row>
    <row r="378">
      <c r="A378" s="376" t="n"/>
      <c r="B378" s="376" t="n"/>
      <c r="C378" s="376" t="n"/>
      <c r="D378" s="376" t="n"/>
      <c r="E378" s="376" t="n"/>
      <c r="F378" s="376" t="n"/>
      <c r="G378" s="376" t="n"/>
      <c r="H378" s="376" t="n"/>
      <c r="I378" s="376" t="n"/>
      <c r="J378" s="376" t="n"/>
      <c r="K378" s="376" t="n"/>
      <c r="L378" s="376" t="n"/>
      <c r="M378" s="376" t="n"/>
      <c r="N378" s="397" t="n"/>
      <c r="O378" s="391" t="inlineStr">
        <is>
          <t>Итого</t>
        </is>
      </c>
      <c r="P378" s="392" t="n"/>
      <c r="Q378" s="392" t="n"/>
      <c r="R378" s="392" t="n"/>
      <c r="S378" s="392" t="n"/>
      <c r="T378" s="392" t="n"/>
      <c r="U378" s="393" t="n"/>
      <c r="V378" s="37" t="inlineStr">
        <is>
          <t>кг</t>
        </is>
      </c>
      <c r="W378" s="755">
        <f>IFERROR(SUM(W373:W376),"0")</f>
        <v/>
      </c>
      <c r="X378" s="755">
        <f>IFERROR(SUM(X373:X376),"0")</f>
        <v/>
      </c>
      <c r="Y378" s="37" t="n"/>
      <c r="Z378" s="756" t="n"/>
      <c r="AA378" s="756" t="n"/>
    </row>
    <row r="379" ht="14.25" customHeight="1">
      <c r="A379" s="375" t="inlineStr">
        <is>
          <t>Сардельки</t>
        </is>
      </c>
      <c r="B379" s="376" t="n"/>
      <c r="C379" s="376" t="n"/>
      <c r="D379" s="376" t="n"/>
      <c r="E379" s="376" t="n"/>
      <c r="F379" s="376" t="n"/>
      <c r="G379" s="376" t="n"/>
      <c r="H379" s="376" t="n"/>
      <c r="I379" s="376" t="n"/>
      <c r="J379" s="376" t="n"/>
      <c r="K379" s="376" t="n"/>
      <c r="L379" s="376" t="n"/>
      <c r="M379" s="376" t="n"/>
      <c r="N379" s="376" t="n"/>
      <c r="O379" s="376" t="n"/>
      <c r="P379" s="376" t="n"/>
      <c r="Q379" s="376" t="n"/>
      <c r="R379" s="376" t="n"/>
      <c r="S379" s="376" t="n"/>
      <c r="T379" s="376" t="n"/>
      <c r="U379" s="376" t="n"/>
      <c r="V379" s="376" t="n"/>
      <c r="W379" s="376" t="n"/>
      <c r="X379" s="376" t="n"/>
      <c r="Y379" s="376" t="n"/>
      <c r="Z379" s="375" t="n"/>
      <c r="AA379" s="375" t="n"/>
    </row>
    <row r="380" ht="27" customHeight="1">
      <c r="A380" s="54" t="inlineStr">
        <is>
          <t>SU002472</t>
        </is>
      </c>
      <c r="B380" s="54" t="inlineStr">
        <is>
          <t>P002973</t>
        </is>
      </c>
      <c r="C380" s="31" t="n">
        <v>4301060322</v>
      </c>
      <c r="D380" s="369" t="n">
        <v>4607091389357</v>
      </c>
      <c r="E380" s="370" t="n"/>
      <c r="F380" s="752" t="n">
        <v>1.3</v>
      </c>
      <c r="G380" s="32" t="n">
        <v>6</v>
      </c>
      <c r="H380" s="752" t="n">
        <v>7.8</v>
      </c>
      <c r="I380" s="752" t="n">
        <v>8.279999999999999</v>
      </c>
      <c r="J380" s="32" t="n">
        <v>56</v>
      </c>
      <c r="K380" s="32" t="inlineStr">
        <is>
          <t>8</t>
        </is>
      </c>
      <c r="L380" s="33" t="inlineStr">
        <is>
          <t>СК2</t>
        </is>
      </c>
      <c r="M380" s="33" t="n"/>
      <c r="N380" s="32" t="n">
        <v>40</v>
      </c>
      <c r="O380" s="62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80" s="372" t="n"/>
      <c r="Q380" s="372" t="n"/>
      <c r="R380" s="372" t="n"/>
      <c r="S380" s="370" t="n"/>
      <c r="T380" s="34" t="n"/>
      <c r="U380" s="34" t="n"/>
      <c r="V380" s="35" t="inlineStr">
        <is>
          <t>кг</t>
        </is>
      </c>
      <c r="W380" s="753" t="n">
        <v>0</v>
      </c>
      <c r="X380" s="754">
        <f>IFERROR(IF(W380="",0,CEILING((W380/$H380),1)*$H380),"")</f>
        <v/>
      </c>
      <c r="Y380" s="36">
        <f>IFERROR(IF(X380=0,"",ROUNDUP(X380/H380,0)*0.02175),"")</f>
        <v/>
      </c>
      <c r="Z380" s="56" t="n"/>
      <c r="AA380" s="57" t="n"/>
      <c r="AE380" s="58" t="n"/>
      <c r="BB380" s="277" t="inlineStr">
        <is>
          <t>КИ</t>
        </is>
      </c>
    </row>
    <row r="381">
      <c r="A381" s="396" t="n"/>
      <c r="B381" s="376" t="n"/>
      <c r="C381" s="376" t="n"/>
      <c r="D381" s="376" t="n"/>
      <c r="E381" s="376" t="n"/>
      <c r="F381" s="376" t="n"/>
      <c r="G381" s="376" t="n"/>
      <c r="H381" s="376" t="n"/>
      <c r="I381" s="376" t="n"/>
      <c r="J381" s="376" t="n"/>
      <c r="K381" s="376" t="n"/>
      <c r="L381" s="376" t="n"/>
      <c r="M381" s="376" t="n"/>
      <c r="N381" s="397" t="n"/>
      <c r="O381" s="391" t="inlineStr">
        <is>
          <t>Итого</t>
        </is>
      </c>
      <c r="P381" s="392" t="n"/>
      <c r="Q381" s="392" t="n"/>
      <c r="R381" s="392" t="n"/>
      <c r="S381" s="392" t="n"/>
      <c r="T381" s="392" t="n"/>
      <c r="U381" s="393" t="n"/>
      <c r="V381" s="37" t="inlineStr">
        <is>
          <t>кор</t>
        </is>
      </c>
      <c r="W381" s="755">
        <f>IFERROR(W380/H380,"0")</f>
        <v/>
      </c>
      <c r="X381" s="755">
        <f>IFERROR(X380/H380,"0")</f>
        <v/>
      </c>
      <c r="Y381" s="755">
        <f>IFERROR(IF(Y380="",0,Y380),"0")</f>
        <v/>
      </c>
      <c r="Z381" s="756" t="n"/>
      <c r="AA381" s="756" t="n"/>
    </row>
    <row r="382">
      <c r="A382" s="376" t="n"/>
      <c r="B382" s="376" t="n"/>
      <c r="C382" s="376" t="n"/>
      <c r="D382" s="376" t="n"/>
      <c r="E382" s="376" t="n"/>
      <c r="F382" s="376" t="n"/>
      <c r="G382" s="376" t="n"/>
      <c r="H382" s="376" t="n"/>
      <c r="I382" s="376" t="n"/>
      <c r="J382" s="376" t="n"/>
      <c r="K382" s="376" t="n"/>
      <c r="L382" s="376" t="n"/>
      <c r="M382" s="376" t="n"/>
      <c r="N382" s="397" t="n"/>
      <c r="O382" s="391" t="inlineStr">
        <is>
          <t>Итого</t>
        </is>
      </c>
      <c r="P382" s="392" t="n"/>
      <c r="Q382" s="392" t="n"/>
      <c r="R382" s="392" t="n"/>
      <c r="S382" s="392" t="n"/>
      <c r="T382" s="392" t="n"/>
      <c r="U382" s="393" t="n"/>
      <c r="V382" s="37" t="inlineStr">
        <is>
          <t>кг</t>
        </is>
      </c>
      <c r="W382" s="755">
        <f>IFERROR(SUM(W380:W380),"0")</f>
        <v/>
      </c>
      <c r="X382" s="755">
        <f>IFERROR(SUM(X380:X380),"0")</f>
        <v/>
      </c>
      <c r="Y382" s="37" t="n"/>
      <c r="Z382" s="756" t="n"/>
      <c r="AA382" s="756" t="n"/>
    </row>
    <row r="383" ht="27.75" customHeight="1">
      <c r="A383" s="386" t="inlineStr">
        <is>
          <t>Баварушка</t>
        </is>
      </c>
      <c r="B383" s="387" t="n"/>
      <c r="C383" s="387" t="n"/>
      <c r="D383" s="387" t="n"/>
      <c r="E383" s="387" t="n"/>
      <c r="F383" s="387" t="n"/>
      <c r="G383" s="387" t="n"/>
      <c r="H383" s="387" t="n"/>
      <c r="I383" s="387" t="n"/>
      <c r="J383" s="387" t="n"/>
      <c r="K383" s="387" t="n"/>
      <c r="L383" s="387" t="n"/>
      <c r="M383" s="387" t="n"/>
      <c r="N383" s="387" t="n"/>
      <c r="O383" s="387" t="n"/>
      <c r="P383" s="387" t="n"/>
      <c r="Q383" s="387" t="n"/>
      <c r="R383" s="387" t="n"/>
      <c r="S383" s="387" t="n"/>
      <c r="T383" s="387" t="n"/>
      <c r="U383" s="387" t="n"/>
      <c r="V383" s="387" t="n"/>
      <c r="W383" s="387" t="n"/>
      <c r="X383" s="387" t="n"/>
      <c r="Y383" s="387" t="n"/>
      <c r="Z383" s="48" t="n"/>
      <c r="AA383" s="48" t="n"/>
    </row>
    <row r="384" ht="16.5" customHeight="1">
      <c r="A384" s="378" t="inlineStr">
        <is>
          <t>Филейбургская</t>
        </is>
      </c>
      <c r="B384" s="376" t="n"/>
      <c r="C384" s="376" t="n"/>
      <c r="D384" s="376" t="n"/>
      <c r="E384" s="376" t="n"/>
      <c r="F384" s="376" t="n"/>
      <c r="G384" s="376" t="n"/>
      <c r="H384" s="376" t="n"/>
      <c r="I384" s="376" t="n"/>
      <c r="J384" s="376" t="n"/>
      <c r="K384" s="376" t="n"/>
      <c r="L384" s="376" t="n"/>
      <c r="M384" s="376" t="n"/>
      <c r="N384" s="376" t="n"/>
      <c r="O384" s="376" t="n"/>
      <c r="P384" s="376" t="n"/>
      <c r="Q384" s="376" t="n"/>
      <c r="R384" s="376" t="n"/>
      <c r="S384" s="376" t="n"/>
      <c r="T384" s="376" t="n"/>
      <c r="U384" s="376" t="n"/>
      <c r="V384" s="376" t="n"/>
      <c r="W384" s="376" t="n"/>
      <c r="X384" s="376" t="n"/>
      <c r="Y384" s="376" t="n"/>
      <c r="Z384" s="378" t="n"/>
      <c r="AA384" s="378" t="n"/>
    </row>
    <row r="385" ht="14.25" customHeight="1">
      <c r="A385" s="375" t="inlineStr">
        <is>
          <t>Вареные колбасы</t>
        </is>
      </c>
      <c r="B385" s="376" t="n"/>
      <c r="C385" s="376" t="n"/>
      <c r="D385" s="376" t="n"/>
      <c r="E385" s="376" t="n"/>
      <c r="F385" s="376" t="n"/>
      <c r="G385" s="376" t="n"/>
      <c r="H385" s="376" t="n"/>
      <c r="I385" s="376" t="n"/>
      <c r="J385" s="376" t="n"/>
      <c r="K385" s="376" t="n"/>
      <c r="L385" s="376" t="n"/>
      <c r="M385" s="376" t="n"/>
      <c r="N385" s="376" t="n"/>
      <c r="O385" s="376" t="n"/>
      <c r="P385" s="376" t="n"/>
      <c r="Q385" s="376" t="n"/>
      <c r="R385" s="376" t="n"/>
      <c r="S385" s="376" t="n"/>
      <c r="T385" s="376" t="n"/>
      <c r="U385" s="376" t="n"/>
      <c r="V385" s="376" t="n"/>
      <c r="W385" s="376" t="n"/>
      <c r="X385" s="376" t="n"/>
      <c r="Y385" s="376" t="n"/>
      <c r="Z385" s="375" t="n"/>
      <c r="AA385" s="375" t="n"/>
    </row>
    <row r="386" ht="27" customHeight="1">
      <c r="A386" s="54" t="inlineStr">
        <is>
          <t>SU002477</t>
        </is>
      </c>
      <c r="B386" s="54" t="inlineStr">
        <is>
          <t>P003148</t>
        </is>
      </c>
      <c r="C386" s="31" t="n">
        <v>4301011428</v>
      </c>
      <c r="D386" s="369" t="n">
        <v>4607091389708</v>
      </c>
      <c r="E386" s="370" t="n"/>
      <c r="F386" s="752" t="n">
        <v>0.45</v>
      </c>
      <c r="G386" s="32" t="n">
        <v>6</v>
      </c>
      <c r="H386" s="752" t="n">
        <v>2.7</v>
      </c>
      <c r="I386" s="752" t="n">
        <v>2.9</v>
      </c>
      <c r="J386" s="32" t="n">
        <v>156</v>
      </c>
      <c r="K386" s="32" t="inlineStr">
        <is>
          <t>12</t>
        </is>
      </c>
      <c r="L386" s="33" t="inlineStr">
        <is>
          <t>СК1</t>
        </is>
      </c>
      <c r="M386" s="33" t="n"/>
      <c r="N386" s="32" t="n">
        <v>50</v>
      </c>
      <c r="O386" s="58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6" s="372" t="n"/>
      <c r="Q386" s="372" t="n"/>
      <c r="R386" s="372" t="n"/>
      <c r="S386" s="370" t="n"/>
      <c r="T386" s="34" t="n"/>
      <c r="U386" s="34" t="n"/>
      <c r="V386" s="35" t="inlineStr">
        <is>
          <t>кг</t>
        </is>
      </c>
      <c r="W386" s="753" t="n">
        <v>0</v>
      </c>
      <c r="X386" s="754">
        <f>IFERROR(IF(W386="",0,CEILING((W386/$H386),1)*$H386),"")</f>
        <v/>
      </c>
      <c r="Y386" s="36">
        <f>IFERROR(IF(X386=0,"",ROUNDUP(X386/H386,0)*0.00753),"")</f>
        <v/>
      </c>
      <c r="Z386" s="56" t="n"/>
      <c r="AA386" s="57" t="n"/>
      <c r="AE386" s="58" t="n"/>
      <c r="BB386" s="278" t="inlineStr">
        <is>
          <t>КИ</t>
        </is>
      </c>
    </row>
    <row r="387" ht="27" customHeight="1">
      <c r="A387" s="54" t="inlineStr">
        <is>
          <t>SU002476</t>
        </is>
      </c>
      <c r="B387" s="54" t="inlineStr">
        <is>
          <t>P003147</t>
        </is>
      </c>
      <c r="C387" s="31" t="n">
        <v>4301011427</v>
      </c>
      <c r="D387" s="369" t="n">
        <v>4607091389692</v>
      </c>
      <c r="E387" s="370" t="n"/>
      <c r="F387" s="752" t="n">
        <v>0.45</v>
      </c>
      <c r="G387" s="32" t="n">
        <v>6</v>
      </c>
      <c r="H387" s="752" t="n">
        <v>2.7</v>
      </c>
      <c r="I387" s="752" t="n">
        <v>2.9</v>
      </c>
      <c r="J387" s="32" t="n">
        <v>156</v>
      </c>
      <c r="K387" s="32" t="inlineStr">
        <is>
          <t>12</t>
        </is>
      </c>
      <c r="L387" s="33" t="inlineStr">
        <is>
          <t>СК1</t>
        </is>
      </c>
      <c r="M387" s="33" t="n"/>
      <c r="N387" s="32" t="n">
        <v>50</v>
      </c>
      <c r="O387" s="47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7" s="372" t="n"/>
      <c r="Q387" s="372" t="n"/>
      <c r="R387" s="372" t="n"/>
      <c r="S387" s="370" t="n"/>
      <c r="T387" s="34" t="n"/>
      <c r="U387" s="34" t="n"/>
      <c r="V387" s="35" t="inlineStr">
        <is>
          <t>кг</t>
        </is>
      </c>
      <c r="W387" s="753" t="n">
        <v>0</v>
      </c>
      <c r="X387" s="754">
        <f>IFERROR(IF(W387="",0,CEILING((W387/$H387),1)*$H387),"")</f>
        <v/>
      </c>
      <c r="Y387" s="36">
        <f>IFERROR(IF(X387=0,"",ROUNDUP(X387/H387,0)*0.00753),"")</f>
        <v/>
      </c>
      <c r="Z387" s="56" t="n"/>
      <c r="AA387" s="57" t="n"/>
      <c r="AE387" s="58" t="n"/>
      <c r="BB387" s="279" t="inlineStr">
        <is>
          <t>КИ</t>
        </is>
      </c>
    </row>
    <row r="388">
      <c r="A388" s="396" t="n"/>
      <c r="B388" s="376" t="n"/>
      <c r="C388" s="376" t="n"/>
      <c r="D388" s="376" t="n"/>
      <c r="E388" s="376" t="n"/>
      <c r="F388" s="376" t="n"/>
      <c r="G388" s="376" t="n"/>
      <c r="H388" s="376" t="n"/>
      <c r="I388" s="376" t="n"/>
      <c r="J388" s="376" t="n"/>
      <c r="K388" s="376" t="n"/>
      <c r="L388" s="376" t="n"/>
      <c r="M388" s="376" t="n"/>
      <c r="N388" s="397" t="n"/>
      <c r="O388" s="391" t="inlineStr">
        <is>
          <t>Итого</t>
        </is>
      </c>
      <c r="P388" s="392" t="n"/>
      <c r="Q388" s="392" t="n"/>
      <c r="R388" s="392" t="n"/>
      <c r="S388" s="392" t="n"/>
      <c r="T388" s="392" t="n"/>
      <c r="U388" s="393" t="n"/>
      <c r="V388" s="37" t="inlineStr">
        <is>
          <t>кор</t>
        </is>
      </c>
      <c r="W388" s="755">
        <f>IFERROR(W386/H386,"0")+IFERROR(W387/H387,"0")</f>
        <v/>
      </c>
      <c r="X388" s="755">
        <f>IFERROR(X386/H386,"0")+IFERROR(X387/H387,"0")</f>
        <v/>
      </c>
      <c r="Y388" s="755">
        <f>IFERROR(IF(Y386="",0,Y386),"0")+IFERROR(IF(Y387="",0,Y387),"0")</f>
        <v/>
      </c>
      <c r="Z388" s="756" t="n"/>
      <c r="AA388" s="756" t="n"/>
    </row>
    <row r="389">
      <c r="A389" s="376" t="n"/>
      <c r="B389" s="376" t="n"/>
      <c r="C389" s="376" t="n"/>
      <c r="D389" s="376" t="n"/>
      <c r="E389" s="376" t="n"/>
      <c r="F389" s="376" t="n"/>
      <c r="G389" s="376" t="n"/>
      <c r="H389" s="376" t="n"/>
      <c r="I389" s="376" t="n"/>
      <c r="J389" s="376" t="n"/>
      <c r="K389" s="376" t="n"/>
      <c r="L389" s="376" t="n"/>
      <c r="M389" s="376" t="n"/>
      <c r="N389" s="397" t="n"/>
      <c r="O389" s="391" t="inlineStr">
        <is>
          <t>Итого</t>
        </is>
      </c>
      <c r="P389" s="392" t="n"/>
      <c r="Q389" s="392" t="n"/>
      <c r="R389" s="392" t="n"/>
      <c r="S389" s="392" t="n"/>
      <c r="T389" s="392" t="n"/>
      <c r="U389" s="393" t="n"/>
      <c r="V389" s="37" t="inlineStr">
        <is>
          <t>кг</t>
        </is>
      </c>
      <c r="W389" s="755">
        <f>IFERROR(SUM(W386:W387),"0")</f>
        <v/>
      </c>
      <c r="X389" s="755">
        <f>IFERROR(SUM(X386:X387),"0")</f>
        <v/>
      </c>
      <c r="Y389" s="37" t="n"/>
      <c r="Z389" s="756" t="n"/>
      <c r="AA389" s="756" t="n"/>
    </row>
    <row r="390" ht="14.25" customHeight="1">
      <c r="A390" s="375" t="inlineStr">
        <is>
          <t>Копченые колбасы</t>
        </is>
      </c>
      <c r="B390" s="376" t="n"/>
      <c r="C390" s="376" t="n"/>
      <c r="D390" s="376" t="n"/>
      <c r="E390" s="376" t="n"/>
      <c r="F390" s="376" t="n"/>
      <c r="G390" s="376" t="n"/>
      <c r="H390" s="376" t="n"/>
      <c r="I390" s="376" t="n"/>
      <c r="J390" s="376" t="n"/>
      <c r="K390" s="376" t="n"/>
      <c r="L390" s="376" t="n"/>
      <c r="M390" s="376" t="n"/>
      <c r="N390" s="376" t="n"/>
      <c r="O390" s="376" t="n"/>
      <c r="P390" s="376" t="n"/>
      <c r="Q390" s="376" t="n"/>
      <c r="R390" s="376" t="n"/>
      <c r="S390" s="376" t="n"/>
      <c r="T390" s="376" t="n"/>
      <c r="U390" s="376" t="n"/>
      <c r="V390" s="376" t="n"/>
      <c r="W390" s="376" t="n"/>
      <c r="X390" s="376" t="n"/>
      <c r="Y390" s="376" t="n"/>
      <c r="Z390" s="375" t="n"/>
      <c r="AA390" s="375" t="n"/>
    </row>
    <row r="391" ht="27" customHeight="1">
      <c r="A391" s="54" t="inlineStr">
        <is>
          <t>SU002614</t>
        </is>
      </c>
      <c r="B391" s="54" t="inlineStr">
        <is>
          <t>P003138</t>
        </is>
      </c>
      <c r="C391" s="31" t="n">
        <v>4301031177</v>
      </c>
      <c r="D391" s="369" t="n">
        <v>4607091389753</v>
      </c>
      <c r="E391" s="370" t="n"/>
      <c r="F391" s="752" t="n">
        <v>0.7</v>
      </c>
      <c r="G391" s="32" t="n">
        <v>6</v>
      </c>
      <c r="H391" s="752" t="n">
        <v>4.2</v>
      </c>
      <c r="I391" s="752" t="n">
        <v>4.43</v>
      </c>
      <c r="J391" s="32" t="n">
        <v>156</v>
      </c>
      <c r="K391" s="32" t="inlineStr">
        <is>
          <t>12</t>
        </is>
      </c>
      <c r="L391" s="33" t="inlineStr">
        <is>
          <t>СК2</t>
        </is>
      </c>
      <c r="M391" s="33" t="n"/>
      <c r="N391" s="32" t="n">
        <v>45</v>
      </c>
      <c r="O391" s="41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1" s="372" t="n"/>
      <c r="Q391" s="372" t="n"/>
      <c r="R391" s="372" t="n"/>
      <c r="S391" s="370" t="n"/>
      <c r="T391" s="34" t="n"/>
      <c r="U391" s="34" t="n"/>
      <c r="V391" s="35" t="inlineStr">
        <is>
          <t>кг</t>
        </is>
      </c>
      <c r="W391" s="753" t="n">
        <v>400</v>
      </c>
      <c r="X391" s="754">
        <f>IFERROR(IF(W391="",0,CEILING((W391/$H391),1)*$H391),"")</f>
        <v/>
      </c>
      <c r="Y391" s="36">
        <f>IFERROR(IF(X391=0,"",ROUNDUP(X391/H391,0)*0.00753),"")</f>
        <v/>
      </c>
      <c r="Z391" s="56" t="n"/>
      <c r="AA391" s="57" t="n"/>
      <c r="AE391" s="58" t="n"/>
      <c r="BB391" s="280" t="inlineStr">
        <is>
          <t>КИ</t>
        </is>
      </c>
    </row>
    <row r="392" ht="27" customHeight="1">
      <c r="A392" s="54" t="inlineStr">
        <is>
          <t>SU002615</t>
        </is>
      </c>
      <c r="B392" s="54" t="inlineStr">
        <is>
          <t>P003136</t>
        </is>
      </c>
      <c r="C392" s="31" t="n">
        <v>4301031174</v>
      </c>
      <c r="D392" s="369" t="n">
        <v>4607091389760</v>
      </c>
      <c r="E392" s="370" t="n"/>
      <c r="F392" s="752" t="n">
        <v>0.7</v>
      </c>
      <c r="G392" s="32" t="n">
        <v>6</v>
      </c>
      <c r="H392" s="752" t="n">
        <v>4.2</v>
      </c>
      <c r="I392" s="752" t="n">
        <v>4.43</v>
      </c>
      <c r="J392" s="32" t="n">
        <v>156</v>
      </c>
      <c r="K392" s="32" t="inlineStr">
        <is>
          <t>12</t>
        </is>
      </c>
      <c r="L392" s="33" t="inlineStr">
        <is>
          <t>СК2</t>
        </is>
      </c>
      <c r="M392" s="33" t="n"/>
      <c r="N392" s="32" t="n">
        <v>45</v>
      </c>
      <c r="O392" s="70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2" s="372" t="n"/>
      <c r="Q392" s="372" t="n"/>
      <c r="R392" s="372" t="n"/>
      <c r="S392" s="370" t="n"/>
      <c r="T392" s="34" t="n"/>
      <c r="U392" s="34" t="n"/>
      <c r="V392" s="35" t="inlineStr">
        <is>
          <t>кг</t>
        </is>
      </c>
      <c r="W392" s="753" t="n">
        <v>0</v>
      </c>
      <c r="X392" s="754">
        <f>IFERROR(IF(W392="",0,CEILING((W392/$H392),1)*$H392),"")</f>
        <v/>
      </c>
      <c r="Y392" s="36">
        <f>IFERROR(IF(X392=0,"",ROUNDUP(X392/H392,0)*0.00753),"")</f>
        <v/>
      </c>
      <c r="Z392" s="56" t="n"/>
      <c r="AA392" s="57" t="n"/>
      <c r="AE392" s="58" t="n"/>
      <c r="BB392" s="281" t="inlineStr">
        <is>
          <t>КИ</t>
        </is>
      </c>
    </row>
    <row r="393" ht="27" customHeight="1">
      <c r="A393" s="54" t="inlineStr">
        <is>
          <t>SU002613</t>
        </is>
      </c>
      <c r="B393" s="54" t="inlineStr">
        <is>
          <t>P003133</t>
        </is>
      </c>
      <c r="C393" s="31" t="n">
        <v>4301031175</v>
      </c>
      <c r="D393" s="369" t="n">
        <v>4607091389746</v>
      </c>
      <c r="E393" s="370" t="n"/>
      <c r="F393" s="752" t="n">
        <v>0.7</v>
      </c>
      <c r="G393" s="32" t="n">
        <v>6</v>
      </c>
      <c r="H393" s="752" t="n">
        <v>4.2</v>
      </c>
      <c r="I393" s="752" t="n">
        <v>4.43</v>
      </c>
      <c r="J393" s="32" t="n">
        <v>156</v>
      </c>
      <c r="K393" s="32" t="inlineStr">
        <is>
          <t>12</t>
        </is>
      </c>
      <c r="L393" s="33" t="inlineStr">
        <is>
          <t>СК2</t>
        </is>
      </c>
      <c r="M393" s="33" t="n"/>
      <c r="N393" s="32" t="n">
        <v>45</v>
      </c>
      <c r="O393" s="57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3" s="372" t="n"/>
      <c r="Q393" s="372" t="n"/>
      <c r="R393" s="372" t="n"/>
      <c r="S393" s="370" t="n"/>
      <c r="T393" s="34" t="n"/>
      <c r="U393" s="34" t="n"/>
      <c r="V393" s="35" t="inlineStr">
        <is>
          <t>кг</t>
        </is>
      </c>
      <c r="W393" s="753" t="n">
        <v>0</v>
      </c>
      <c r="X393" s="754">
        <f>IFERROR(IF(W393="",0,CEILING((W393/$H393),1)*$H393),"")</f>
        <v/>
      </c>
      <c r="Y393" s="36">
        <f>IFERROR(IF(X393=0,"",ROUNDUP(X393/H393,0)*0.00753),"")</f>
        <v/>
      </c>
      <c r="Z393" s="56" t="n"/>
      <c r="AA393" s="57" t="n"/>
      <c r="AE393" s="58" t="n"/>
      <c r="BB393" s="282" t="inlineStr">
        <is>
          <t>КИ</t>
        </is>
      </c>
    </row>
    <row r="394" ht="37.5" customHeight="1">
      <c r="A394" s="54" t="inlineStr">
        <is>
          <t>SU003035</t>
        </is>
      </c>
      <c r="B394" s="54" t="inlineStr">
        <is>
          <t>P003496</t>
        </is>
      </c>
      <c r="C394" s="31" t="n">
        <v>4301031236</v>
      </c>
      <c r="D394" s="369" t="n">
        <v>4680115882928</v>
      </c>
      <c r="E394" s="370" t="n"/>
      <c r="F394" s="752" t="n">
        <v>0.28</v>
      </c>
      <c r="G394" s="32" t="n">
        <v>6</v>
      </c>
      <c r="H394" s="752" t="n">
        <v>1.68</v>
      </c>
      <c r="I394" s="752" t="n">
        <v>2.6</v>
      </c>
      <c r="J394" s="32" t="n">
        <v>156</v>
      </c>
      <c r="K394" s="32" t="inlineStr">
        <is>
          <t>12</t>
        </is>
      </c>
      <c r="L394" s="33" t="inlineStr">
        <is>
          <t>СК2</t>
        </is>
      </c>
      <c r="M394" s="33" t="n"/>
      <c r="N394" s="32" t="n">
        <v>35</v>
      </c>
      <c r="O394" s="70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4" s="372" t="n"/>
      <c r="Q394" s="372" t="n"/>
      <c r="R394" s="372" t="n"/>
      <c r="S394" s="370" t="n"/>
      <c r="T394" s="34" t="n"/>
      <c r="U394" s="34" t="n"/>
      <c r="V394" s="35" t="inlineStr">
        <is>
          <t>кг</t>
        </is>
      </c>
      <c r="W394" s="753" t="n">
        <v>0</v>
      </c>
      <c r="X394" s="754">
        <f>IFERROR(IF(W394="",0,CEILING((W394/$H394),1)*$H394),"")</f>
        <v/>
      </c>
      <c r="Y394" s="36">
        <f>IFERROR(IF(X394=0,"",ROUNDUP(X394/H394,0)*0.00753),"")</f>
        <v/>
      </c>
      <c r="Z394" s="56" t="n"/>
      <c r="AA394" s="57" t="n"/>
      <c r="AE394" s="58" t="n"/>
      <c r="BB394" s="283" t="inlineStr">
        <is>
          <t>КИ</t>
        </is>
      </c>
    </row>
    <row r="395" ht="27" customHeight="1">
      <c r="A395" s="54" t="inlineStr">
        <is>
          <t>SU003083</t>
        </is>
      </c>
      <c r="B395" s="54" t="inlineStr">
        <is>
          <t>P003646</t>
        </is>
      </c>
      <c r="C395" s="31" t="n">
        <v>4301031257</v>
      </c>
      <c r="D395" s="369" t="n">
        <v>4680115883147</v>
      </c>
      <c r="E395" s="370" t="n"/>
      <c r="F395" s="752" t="n">
        <v>0.28</v>
      </c>
      <c r="G395" s="32" t="n">
        <v>6</v>
      </c>
      <c r="H395" s="752" t="n">
        <v>1.68</v>
      </c>
      <c r="I395" s="752" t="n">
        <v>1.81</v>
      </c>
      <c r="J395" s="32" t="n">
        <v>234</v>
      </c>
      <c r="K395" s="32" t="inlineStr">
        <is>
          <t>18</t>
        </is>
      </c>
      <c r="L395" s="33" t="inlineStr">
        <is>
          <t>СК2</t>
        </is>
      </c>
      <c r="M395" s="33" t="n"/>
      <c r="N395" s="32" t="n">
        <v>45</v>
      </c>
      <c r="O395" s="64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5" s="372" t="n"/>
      <c r="Q395" s="372" t="n"/>
      <c r="R395" s="372" t="n"/>
      <c r="S395" s="370" t="n"/>
      <c r="T395" s="34" t="n"/>
      <c r="U395" s="34" t="n"/>
      <c r="V395" s="35" t="inlineStr">
        <is>
          <t>кг</t>
        </is>
      </c>
      <c r="W395" s="753" t="n">
        <v>0</v>
      </c>
      <c r="X395" s="754">
        <f>IFERROR(IF(W395="",0,CEILING((W395/$H395),1)*$H395),"")</f>
        <v/>
      </c>
      <c r="Y395" s="36">
        <f>IFERROR(IF(X395=0,"",ROUNDUP(X395/H395,0)*0.00502),"")</f>
        <v/>
      </c>
      <c r="Z395" s="56" t="n"/>
      <c r="AA395" s="57" t="n"/>
      <c r="AE395" s="58" t="n"/>
      <c r="BB395" s="284" t="inlineStr">
        <is>
          <t>КИ</t>
        </is>
      </c>
    </row>
    <row r="396" ht="27" customHeight="1">
      <c r="A396" s="54" t="inlineStr">
        <is>
          <t>SU002538</t>
        </is>
      </c>
      <c r="B396" s="54" t="inlineStr">
        <is>
          <t>P003139</t>
        </is>
      </c>
      <c r="C396" s="31" t="n">
        <v>4301031178</v>
      </c>
      <c r="D396" s="369" t="n">
        <v>4607091384338</v>
      </c>
      <c r="E396" s="370" t="n"/>
      <c r="F396" s="752" t="n">
        <v>0.35</v>
      </c>
      <c r="G396" s="32" t="n">
        <v>6</v>
      </c>
      <c r="H396" s="752" t="n">
        <v>2.1</v>
      </c>
      <c r="I396" s="752" t="n">
        <v>2.23</v>
      </c>
      <c r="J396" s="32" t="n">
        <v>234</v>
      </c>
      <c r="K396" s="32" t="inlineStr">
        <is>
          <t>18</t>
        </is>
      </c>
      <c r="L396" s="33" t="inlineStr">
        <is>
          <t>СК2</t>
        </is>
      </c>
      <c r="M396" s="33" t="n"/>
      <c r="N396" s="32" t="n">
        <v>45</v>
      </c>
      <c r="O396" s="64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6" s="372" t="n"/>
      <c r="Q396" s="372" t="n"/>
      <c r="R396" s="372" t="n"/>
      <c r="S396" s="370" t="n"/>
      <c r="T396" s="34" t="n"/>
      <c r="U396" s="34" t="n"/>
      <c r="V396" s="35" t="inlineStr">
        <is>
          <t>кг</t>
        </is>
      </c>
      <c r="W396" s="753" t="n">
        <v>0</v>
      </c>
      <c r="X396" s="754">
        <f>IFERROR(IF(W396="",0,CEILING((W396/$H396),1)*$H396),"")</f>
        <v/>
      </c>
      <c r="Y396" s="36">
        <f>IFERROR(IF(X396=0,"",ROUNDUP(X396/H396,0)*0.00502),"")</f>
        <v/>
      </c>
      <c r="Z396" s="56" t="n"/>
      <c r="AA396" s="57" t="n"/>
      <c r="AE396" s="58" t="n"/>
      <c r="BB396" s="285" t="inlineStr">
        <is>
          <t>КИ</t>
        </is>
      </c>
    </row>
    <row r="397" ht="37.5" customHeight="1">
      <c r="A397" s="54" t="inlineStr">
        <is>
          <t>SU003079</t>
        </is>
      </c>
      <c r="B397" s="54" t="inlineStr">
        <is>
          <t>P003643</t>
        </is>
      </c>
      <c r="C397" s="31" t="n">
        <v>4301031254</v>
      </c>
      <c r="D397" s="369" t="n">
        <v>4680115883154</v>
      </c>
      <c r="E397" s="370" t="n"/>
      <c r="F397" s="752" t="n">
        <v>0.28</v>
      </c>
      <c r="G397" s="32" t="n">
        <v>6</v>
      </c>
      <c r="H397" s="752" t="n">
        <v>1.68</v>
      </c>
      <c r="I397" s="752" t="n">
        <v>1.81</v>
      </c>
      <c r="J397" s="32" t="n">
        <v>234</v>
      </c>
      <c r="K397" s="32" t="inlineStr">
        <is>
          <t>18</t>
        </is>
      </c>
      <c r="L397" s="33" t="inlineStr">
        <is>
          <t>СК2</t>
        </is>
      </c>
      <c r="M397" s="33" t="n"/>
      <c r="N397" s="32" t="n">
        <v>45</v>
      </c>
      <c r="O397" s="52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7" s="372" t="n"/>
      <c r="Q397" s="372" t="n"/>
      <c r="R397" s="372" t="n"/>
      <c r="S397" s="370" t="n"/>
      <c r="T397" s="34" t="n"/>
      <c r="U397" s="34" t="n"/>
      <c r="V397" s="35" t="inlineStr">
        <is>
          <t>кг</t>
        </is>
      </c>
      <c r="W397" s="753" t="n">
        <v>0</v>
      </c>
      <c r="X397" s="754">
        <f>IFERROR(IF(W397="",0,CEILING((W397/$H397),1)*$H397),"")</f>
        <v/>
      </c>
      <c r="Y397" s="36">
        <f>IFERROR(IF(X397=0,"",ROUNDUP(X397/H397,0)*0.00502),"")</f>
        <v/>
      </c>
      <c r="Z397" s="56" t="n"/>
      <c r="AA397" s="57" t="n"/>
      <c r="AE397" s="58" t="n"/>
      <c r="BB397" s="286" t="inlineStr">
        <is>
          <t>КИ</t>
        </is>
      </c>
    </row>
    <row r="398" ht="37.5" customHeight="1">
      <c r="A398" s="54" t="inlineStr">
        <is>
          <t>SU002602</t>
        </is>
      </c>
      <c r="B398" s="54" t="inlineStr">
        <is>
          <t>P003132</t>
        </is>
      </c>
      <c r="C398" s="31" t="n">
        <v>4301031171</v>
      </c>
      <c r="D398" s="369" t="n">
        <v>4607091389524</v>
      </c>
      <c r="E398" s="370" t="n"/>
      <c r="F398" s="752" t="n">
        <v>0.35</v>
      </c>
      <c r="G398" s="32" t="n">
        <v>6</v>
      </c>
      <c r="H398" s="752" t="n">
        <v>2.1</v>
      </c>
      <c r="I398" s="752" t="n">
        <v>2.23</v>
      </c>
      <c r="J398" s="32" t="n">
        <v>234</v>
      </c>
      <c r="K398" s="32" t="inlineStr">
        <is>
          <t>18</t>
        </is>
      </c>
      <c r="L398" s="33" t="inlineStr">
        <is>
          <t>СК2</t>
        </is>
      </c>
      <c r="M398" s="33" t="n"/>
      <c r="N398" s="32" t="n">
        <v>45</v>
      </c>
      <c r="O398" s="65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8" s="372" t="n"/>
      <c r="Q398" s="372" t="n"/>
      <c r="R398" s="372" t="n"/>
      <c r="S398" s="370" t="n"/>
      <c r="T398" s="34" t="n"/>
      <c r="U398" s="34" t="n"/>
      <c r="V398" s="35" t="inlineStr">
        <is>
          <t>кг</t>
        </is>
      </c>
      <c r="W398" s="753" t="n">
        <v>0</v>
      </c>
      <c r="X398" s="754">
        <f>IFERROR(IF(W398="",0,CEILING((W398/$H398),1)*$H398),"")</f>
        <v/>
      </c>
      <c r="Y398" s="36">
        <f>IFERROR(IF(X398=0,"",ROUNDUP(X398/H398,0)*0.00502),"")</f>
        <v/>
      </c>
      <c r="Z398" s="56" t="n"/>
      <c r="AA398" s="57" t="n"/>
      <c r="AE398" s="58" t="n"/>
      <c r="BB398" s="287" t="inlineStr">
        <is>
          <t>КИ</t>
        </is>
      </c>
    </row>
    <row r="399" ht="27" customHeight="1">
      <c r="A399" s="54" t="inlineStr">
        <is>
          <t>SU003080</t>
        </is>
      </c>
      <c r="B399" s="54" t="inlineStr">
        <is>
          <t>P003647</t>
        </is>
      </c>
      <c r="C399" s="31" t="n">
        <v>4301031258</v>
      </c>
      <c r="D399" s="369" t="n">
        <v>4680115883161</v>
      </c>
      <c r="E399" s="370" t="n"/>
      <c r="F399" s="752" t="n">
        <v>0.28</v>
      </c>
      <c r="G399" s="32" t="n">
        <v>6</v>
      </c>
      <c r="H399" s="752" t="n">
        <v>1.68</v>
      </c>
      <c r="I399" s="752" t="n">
        <v>1.81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3" t="n"/>
      <c r="N399" s="32" t="n">
        <v>45</v>
      </c>
      <c r="O399" s="68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9" s="372" t="n"/>
      <c r="Q399" s="372" t="n"/>
      <c r="R399" s="372" t="n"/>
      <c r="S399" s="370" t="n"/>
      <c r="T399" s="34" t="n"/>
      <c r="U399" s="34" t="n"/>
      <c r="V399" s="35" t="inlineStr">
        <is>
          <t>кг</t>
        </is>
      </c>
      <c r="W399" s="753" t="n">
        <v>0</v>
      </c>
      <c r="X399" s="754">
        <f>IFERROR(IF(W399="",0,CEILING((W399/$H399),1)*$H399),"")</f>
        <v/>
      </c>
      <c r="Y399" s="36">
        <f>IFERROR(IF(X399=0,"",ROUNDUP(X399/H399,0)*0.00502),"")</f>
        <v/>
      </c>
      <c r="Z399" s="56" t="n"/>
      <c r="AA399" s="57" t="n"/>
      <c r="AE399" s="58" t="n"/>
      <c r="BB399" s="288" t="inlineStr">
        <is>
          <t>КИ</t>
        </is>
      </c>
    </row>
    <row r="400" ht="27" customHeight="1">
      <c r="A400" s="54" t="inlineStr">
        <is>
          <t>SU002603</t>
        </is>
      </c>
      <c r="B400" s="54" t="inlineStr">
        <is>
          <t>P003131</t>
        </is>
      </c>
      <c r="C400" s="31" t="n">
        <v>4301031170</v>
      </c>
      <c r="D400" s="369" t="n">
        <v>4607091384345</v>
      </c>
      <c r="E400" s="370" t="n"/>
      <c r="F400" s="752" t="n">
        <v>0.35</v>
      </c>
      <c r="G400" s="32" t="n">
        <v>6</v>
      </c>
      <c r="H400" s="752" t="n">
        <v>2.1</v>
      </c>
      <c r="I400" s="752" t="n">
        <v>2.23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3" t="n"/>
      <c r="N400" s="32" t="n">
        <v>45</v>
      </c>
      <c r="O400" s="5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400" s="372" t="n"/>
      <c r="Q400" s="372" t="n"/>
      <c r="R400" s="372" t="n"/>
      <c r="S400" s="370" t="n"/>
      <c r="T400" s="34" t="n"/>
      <c r="U400" s="34" t="n"/>
      <c r="V400" s="35" t="inlineStr">
        <is>
          <t>кг</t>
        </is>
      </c>
      <c r="W400" s="753" t="n">
        <v>0</v>
      </c>
      <c r="X400" s="754">
        <f>IFERROR(IF(W400="",0,CEILING((W400/$H400),1)*$H400),"")</f>
        <v/>
      </c>
      <c r="Y400" s="36">
        <f>IFERROR(IF(X400=0,"",ROUNDUP(X400/H400,0)*0.00502),"")</f>
        <v/>
      </c>
      <c r="Z400" s="56" t="n"/>
      <c r="AA400" s="57" t="n"/>
      <c r="AE400" s="58" t="n"/>
      <c r="BB400" s="289" t="inlineStr">
        <is>
          <t>КИ</t>
        </is>
      </c>
    </row>
    <row r="401" ht="27" customHeight="1">
      <c r="A401" s="54" t="inlineStr">
        <is>
          <t>SU003081</t>
        </is>
      </c>
      <c r="B401" s="54" t="inlineStr">
        <is>
          <t>P003645</t>
        </is>
      </c>
      <c r="C401" s="31" t="n">
        <v>4301031256</v>
      </c>
      <c r="D401" s="369" t="n">
        <v>4680115883178</v>
      </c>
      <c r="E401" s="370" t="n"/>
      <c r="F401" s="752" t="n">
        <v>0.28</v>
      </c>
      <c r="G401" s="32" t="n">
        <v>6</v>
      </c>
      <c r="H401" s="752" t="n">
        <v>1.68</v>
      </c>
      <c r="I401" s="752" t="n">
        <v>1.81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3" t="n"/>
      <c r="N401" s="32" t="n">
        <v>45</v>
      </c>
      <c r="O401" s="53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1" s="372" t="n"/>
      <c r="Q401" s="372" t="n"/>
      <c r="R401" s="372" t="n"/>
      <c r="S401" s="370" t="n"/>
      <c r="T401" s="34" t="n"/>
      <c r="U401" s="34" t="n"/>
      <c r="V401" s="35" t="inlineStr">
        <is>
          <t>кг</t>
        </is>
      </c>
      <c r="W401" s="753" t="n">
        <v>0</v>
      </c>
      <c r="X401" s="754">
        <f>IFERROR(IF(W401="",0,CEILING((W401/$H401),1)*$H401),"")</f>
        <v/>
      </c>
      <c r="Y401" s="36">
        <f>IFERROR(IF(X401=0,"",ROUNDUP(X401/H401,0)*0.00502),"")</f>
        <v/>
      </c>
      <c r="Z401" s="56" t="n"/>
      <c r="AA401" s="57" t="n"/>
      <c r="AE401" s="58" t="n"/>
      <c r="BB401" s="290" t="inlineStr">
        <is>
          <t>КИ</t>
        </is>
      </c>
    </row>
    <row r="402" ht="27" customHeight="1">
      <c r="A402" s="54" t="inlineStr">
        <is>
          <t>SU002606</t>
        </is>
      </c>
      <c r="B402" s="54" t="inlineStr">
        <is>
          <t>P003134</t>
        </is>
      </c>
      <c r="C402" s="31" t="n">
        <v>4301031172</v>
      </c>
      <c r="D402" s="369" t="n">
        <v>4607091389531</v>
      </c>
      <c r="E402" s="370" t="n"/>
      <c r="F402" s="752" t="n">
        <v>0.35</v>
      </c>
      <c r="G402" s="32" t="n">
        <v>6</v>
      </c>
      <c r="H402" s="752" t="n">
        <v>2.1</v>
      </c>
      <c r="I402" s="752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3" t="n"/>
      <c r="N402" s="32" t="n">
        <v>45</v>
      </c>
      <c r="O402" s="5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2" s="372" t="n"/>
      <c r="Q402" s="372" t="n"/>
      <c r="R402" s="372" t="n"/>
      <c r="S402" s="370" t="n"/>
      <c r="T402" s="34" t="n"/>
      <c r="U402" s="34" t="n"/>
      <c r="V402" s="35" t="inlineStr">
        <is>
          <t>кг</t>
        </is>
      </c>
      <c r="W402" s="753" t="n">
        <v>0</v>
      </c>
      <c r="X402" s="754">
        <f>IFERROR(IF(W402="",0,CEILING((W402/$H402),1)*$H402),"")</f>
        <v/>
      </c>
      <c r="Y402" s="36">
        <f>IFERROR(IF(X402=0,"",ROUNDUP(X402/H402,0)*0.00502),"")</f>
        <v/>
      </c>
      <c r="Z402" s="56" t="n"/>
      <c r="AA402" s="57" t="n"/>
      <c r="AE402" s="58" t="n"/>
      <c r="BB402" s="291" t="inlineStr">
        <is>
          <t>КИ</t>
        </is>
      </c>
    </row>
    <row r="403" ht="27" customHeight="1">
      <c r="A403" s="54" t="inlineStr">
        <is>
          <t>SU003082</t>
        </is>
      </c>
      <c r="B403" s="54" t="inlineStr">
        <is>
          <t>P003644</t>
        </is>
      </c>
      <c r="C403" s="31" t="n">
        <v>4301031255</v>
      </c>
      <c r="D403" s="369" t="n">
        <v>4680115883185</v>
      </c>
      <c r="E403" s="370" t="n"/>
      <c r="F403" s="752" t="n">
        <v>0.28</v>
      </c>
      <c r="G403" s="32" t="n">
        <v>6</v>
      </c>
      <c r="H403" s="752" t="n">
        <v>1.68</v>
      </c>
      <c r="I403" s="752" t="n">
        <v>1.81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3" t="n"/>
      <c r="N403" s="32" t="n">
        <v>45</v>
      </c>
      <c r="O403" s="54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3" s="372" t="n"/>
      <c r="Q403" s="372" t="n"/>
      <c r="R403" s="372" t="n"/>
      <c r="S403" s="370" t="n"/>
      <c r="T403" s="34" t="n"/>
      <c r="U403" s="34" t="n"/>
      <c r="V403" s="35" t="inlineStr">
        <is>
          <t>кг</t>
        </is>
      </c>
      <c r="W403" s="753" t="n">
        <v>0</v>
      </c>
      <c r="X403" s="754">
        <f>IFERROR(IF(W403="",0,CEILING((W403/$H403),1)*$H403),"")</f>
        <v/>
      </c>
      <c r="Y403" s="36">
        <f>IFERROR(IF(X403=0,"",ROUNDUP(X403/H403,0)*0.00502),"")</f>
        <v/>
      </c>
      <c r="Z403" s="56" t="n"/>
      <c r="AA403" s="57" t="n"/>
      <c r="AE403" s="58" t="n"/>
      <c r="BB403" s="292" t="inlineStr">
        <is>
          <t>КИ</t>
        </is>
      </c>
    </row>
    <row r="404">
      <c r="A404" s="396" t="n"/>
      <c r="B404" s="376" t="n"/>
      <c r="C404" s="376" t="n"/>
      <c r="D404" s="376" t="n"/>
      <c r="E404" s="376" t="n"/>
      <c r="F404" s="376" t="n"/>
      <c r="G404" s="376" t="n"/>
      <c r="H404" s="376" t="n"/>
      <c r="I404" s="376" t="n"/>
      <c r="J404" s="376" t="n"/>
      <c r="K404" s="376" t="n"/>
      <c r="L404" s="376" t="n"/>
      <c r="M404" s="376" t="n"/>
      <c r="N404" s="397" t="n"/>
      <c r="O404" s="391" t="inlineStr">
        <is>
          <t>Итого</t>
        </is>
      </c>
      <c r="P404" s="392" t="n"/>
      <c r="Q404" s="392" t="n"/>
      <c r="R404" s="392" t="n"/>
      <c r="S404" s="392" t="n"/>
      <c r="T404" s="392" t="n"/>
      <c r="U404" s="393" t="n"/>
      <c r="V404" s="37" t="inlineStr">
        <is>
          <t>кор</t>
        </is>
      </c>
      <c r="W404" s="755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/>
      </c>
      <c r="X404" s="755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/>
      </c>
      <c r="Y404" s="755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/>
      </c>
      <c r="Z404" s="756" t="n"/>
      <c r="AA404" s="756" t="n"/>
    </row>
    <row r="405">
      <c r="A405" s="376" t="n"/>
      <c r="B405" s="376" t="n"/>
      <c r="C405" s="376" t="n"/>
      <c r="D405" s="376" t="n"/>
      <c r="E405" s="376" t="n"/>
      <c r="F405" s="376" t="n"/>
      <c r="G405" s="376" t="n"/>
      <c r="H405" s="376" t="n"/>
      <c r="I405" s="376" t="n"/>
      <c r="J405" s="376" t="n"/>
      <c r="K405" s="376" t="n"/>
      <c r="L405" s="376" t="n"/>
      <c r="M405" s="376" t="n"/>
      <c r="N405" s="397" t="n"/>
      <c r="O405" s="391" t="inlineStr">
        <is>
          <t>Итого</t>
        </is>
      </c>
      <c r="P405" s="392" t="n"/>
      <c r="Q405" s="392" t="n"/>
      <c r="R405" s="392" t="n"/>
      <c r="S405" s="392" t="n"/>
      <c r="T405" s="392" t="n"/>
      <c r="U405" s="393" t="n"/>
      <c r="V405" s="37" t="inlineStr">
        <is>
          <t>кг</t>
        </is>
      </c>
      <c r="W405" s="755">
        <f>IFERROR(SUM(W391:W403),"0")</f>
        <v/>
      </c>
      <c r="X405" s="755">
        <f>IFERROR(SUM(X391:X403),"0")</f>
        <v/>
      </c>
      <c r="Y405" s="37" t="n"/>
      <c r="Z405" s="756" t="n"/>
      <c r="AA405" s="756" t="n"/>
    </row>
    <row r="406" ht="14.25" customHeight="1">
      <c r="A406" s="375" t="inlineStr">
        <is>
          <t>Сосиски</t>
        </is>
      </c>
      <c r="B406" s="376" t="n"/>
      <c r="C406" s="376" t="n"/>
      <c r="D406" s="376" t="n"/>
      <c r="E406" s="376" t="n"/>
      <c r="F406" s="376" t="n"/>
      <c r="G406" s="376" t="n"/>
      <c r="H406" s="376" t="n"/>
      <c r="I406" s="376" t="n"/>
      <c r="J406" s="376" t="n"/>
      <c r="K406" s="376" t="n"/>
      <c r="L406" s="376" t="n"/>
      <c r="M406" s="376" t="n"/>
      <c r="N406" s="376" t="n"/>
      <c r="O406" s="376" t="n"/>
      <c r="P406" s="376" t="n"/>
      <c r="Q406" s="376" t="n"/>
      <c r="R406" s="376" t="n"/>
      <c r="S406" s="376" t="n"/>
      <c r="T406" s="376" t="n"/>
      <c r="U406" s="376" t="n"/>
      <c r="V406" s="376" t="n"/>
      <c r="W406" s="376" t="n"/>
      <c r="X406" s="376" t="n"/>
      <c r="Y406" s="376" t="n"/>
      <c r="Z406" s="375" t="n"/>
      <c r="AA406" s="375" t="n"/>
    </row>
    <row r="407" ht="27" customHeight="1">
      <c r="A407" s="54" t="inlineStr">
        <is>
          <t>SU002448</t>
        </is>
      </c>
      <c r="B407" s="54" t="inlineStr">
        <is>
          <t>P002914</t>
        </is>
      </c>
      <c r="C407" s="31" t="n">
        <v>4301051258</v>
      </c>
      <c r="D407" s="369" t="n">
        <v>4607091389685</v>
      </c>
      <c r="E407" s="370" t="n"/>
      <c r="F407" s="752" t="n">
        <v>1.3</v>
      </c>
      <c r="G407" s="32" t="n">
        <v>6</v>
      </c>
      <c r="H407" s="752" t="n">
        <v>7.8</v>
      </c>
      <c r="I407" s="752" t="n">
        <v>8.346</v>
      </c>
      <c r="J407" s="32" t="n">
        <v>56</v>
      </c>
      <c r="K407" s="32" t="inlineStr">
        <is>
          <t>8</t>
        </is>
      </c>
      <c r="L407" s="33" t="inlineStr">
        <is>
          <t>СК3</t>
        </is>
      </c>
      <c r="M407" s="33" t="n"/>
      <c r="N407" s="32" t="n">
        <v>45</v>
      </c>
      <c r="O407" s="71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7" s="372" t="n"/>
      <c r="Q407" s="372" t="n"/>
      <c r="R407" s="372" t="n"/>
      <c r="S407" s="370" t="n"/>
      <c r="T407" s="34" t="n"/>
      <c r="U407" s="34" t="n"/>
      <c r="V407" s="35" t="inlineStr">
        <is>
          <t>кг</t>
        </is>
      </c>
      <c r="W407" s="753" t="n">
        <v>0</v>
      </c>
      <c r="X407" s="754">
        <f>IFERROR(IF(W407="",0,CEILING((W407/$H407),1)*$H407),"")</f>
        <v/>
      </c>
      <c r="Y407" s="36">
        <f>IFERROR(IF(X407=0,"",ROUNDUP(X407/H407,0)*0.02175),"")</f>
        <v/>
      </c>
      <c r="Z407" s="56" t="n"/>
      <c r="AA407" s="57" t="n"/>
      <c r="AE407" s="58" t="n"/>
      <c r="BB407" s="293" t="inlineStr">
        <is>
          <t>КИ</t>
        </is>
      </c>
    </row>
    <row r="408" ht="27" customHeight="1">
      <c r="A408" s="54" t="inlineStr">
        <is>
          <t>SU002557</t>
        </is>
      </c>
      <c r="B408" s="54" t="inlineStr">
        <is>
          <t>P003318</t>
        </is>
      </c>
      <c r="C408" s="31" t="n">
        <v>4301051431</v>
      </c>
      <c r="D408" s="369" t="n">
        <v>4607091389654</v>
      </c>
      <c r="E408" s="370" t="n"/>
      <c r="F408" s="752" t="n">
        <v>0.33</v>
      </c>
      <c r="G408" s="32" t="n">
        <v>6</v>
      </c>
      <c r="H408" s="752" t="n">
        <v>1.98</v>
      </c>
      <c r="I408" s="752" t="n">
        <v>2.258</v>
      </c>
      <c r="J408" s="32" t="n">
        <v>156</v>
      </c>
      <c r="K408" s="32" t="inlineStr">
        <is>
          <t>12</t>
        </is>
      </c>
      <c r="L408" s="33" t="inlineStr">
        <is>
          <t>СК3</t>
        </is>
      </c>
      <c r="M408" s="33" t="n"/>
      <c r="N408" s="32" t="n">
        <v>45</v>
      </c>
      <c r="O408" s="53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8" s="372" t="n"/>
      <c r="Q408" s="372" t="n"/>
      <c r="R408" s="372" t="n"/>
      <c r="S408" s="370" t="n"/>
      <c r="T408" s="34" t="n"/>
      <c r="U408" s="34" t="n"/>
      <c r="V408" s="35" t="inlineStr">
        <is>
          <t>кг</t>
        </is>
      </c>
      <c r="W408" s="753" t="n">
        <v>0</v>
      </c>
      <c r="X408" s="754">
        <f>IFERROR(IF(W408="",0,CEILING((W408/$H408),1)*$H408),"")</f>
        <v/>
      </c>
      <c r="Y408" s="36">
        <f>IFERROR(IF(X408=0,"",ROUNDUP(X408/H408,0)*0.00753),"")</f>
        <v/>
      </c>
      <c r="Z408" s="56" t="n"/>
      <c r="AA408" s="57" t="n"/>
      <c r="AE408" s="58" t="n"/>
      <c r="BB408" s="294" t="inlineStr">
        <is>
          <t>КИ</t>
        </is>
      </c>
    </row>
    <row r="409" ht="27" customHeight="1">
      <c r="A409" s="54" t="inlineStr">
        <is>
          <t>SU002285</t>
        </is>
      </c>
      <c r="B409" s="54" t="inlineStr">
        <is>
          <t>P002969</t>
        </is>
      </c>
      <c r="C409" s="31" t="n">
        <v>4301051284</v>
      </c>
      <c r="D409" s="369" t="n">
        <v>4607091384352</v>
      </c>
      <c r="E409" s="370" t="n"/>
      <c r="F409" s="752" t="n">
        <v>0.6</v>
      </c>
      <c r="G409" s="32" t="n">
        <v>4</v>
      </c>
      <c r="H409" s="752" t="n">
        <v>2.4</v>
      </c>
      <c r="I409" s="752" t="n">
        <v>2.646</v>
      </c>
      <c r="J409" s="32" t="n">
        <v>120</v>
      </c>
      <c r="K409" s="32" t="inlineStr">
        <is>
          <t>12</t>
        </is>
      </c>
      <c r="L409" s="33" t="inlineStr">
        <is>
          <t>СК3</t>
        </is>
      </c>
      <c r="M409" s="33" t="n"/>
      <c r="N409" s="32" t="n">
        <v>45</v>
      </c>
      <c r="O409" s="6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9" s="372" t="n"/>
      <c r="Q409" s="372" t="n"/>
      <c r="R409" s="372" t="n"/>
      <c r="S409" s="370" t="n"/>
      <c r="T409" s="34" t="n"/>
      <c r="U409" s="34" t="n"/>
      <c r="V409" s="35" t="inlineStr">
        <is>
          <t>кг</t>
        </is>
      </c>
      <c r="W409" s="753" t="n">
        <v>0</v>
      </c>
      <c r="X409" s="754">
        <f>IFERROR(IF(W409="",0,CEILING((W409/$H409),1)*$H409),"")</f>
        <v/>
      </c>
      <c r="Y409" s="36">
        <f>IFERROR(IF(X409=0,"",ROUNDUP(X409/H409,0)*0.00937),"")</f>
        <v/>
      </c>
      <c r="Z409" s="56" t="n"/>
      <c r="AA409" s="57" t="n"/>
      <c r="AE409" s="58" t="n"/>
      <c r="BB409" s="295" t="inlineStr">
        <is>
          <t>КИ</t>
        </is>
      </c>
    </row>
    <row r="410">
      <c r="A410" s="396" t="n"/>
      <c r="B410" s="376" t="n"/>
      <c r="C410" s="376" t="n"/>
      <c r="D410" s="376" t="n"/>
      <c r="E410" s="376" t="n"/>
      <c r="F410" s="376" t="n"/>
      <c r="G410" s="376" t="n"/>
      <c r="H410" s="376" t="n"/>
      <c r="I410" s="376" t="n"/>
      <c r="J410" s="376" t="n"/>
      <c r="K410" s="376" t="n"/>
      <c r="L410" s="376" t="n"/>
      <c r="M410" s="376" t="n"/>
      <c r="N410" s="397" t="n"/>
      <c r="O410" s="391" t="inlineStr">
        <is>
          <t>Итого</t>
        </is>
      </c>
      <c r="P410" s="392" t="n"/>
      <c r="Q410" s="392" t="n"/>
      <c r="R410" s="392" t="n"/>
      <c r="S410" s="392" t="n"/>
      <c r="T410" s="392" t="n"/>
      <c r="U410" s="393" t="n"/>
      <c r="V410" s="37" t="inlineStr">
        <is>
          <t>кор</t>
        </is>
      </c>
      <c r="W410" s="755">
        <f>IFERROR(W407/H407,"0")+IFERROR(W408/H408,"0")+IFERROR(W409/H409,"0")</f>
        <v/>
      </c>
      <c r="X410" s="755">
        <f>IFERROR(X407/H407,"0")+IFERROR(X408/H408,"0")+IFERROR(X409/H409,"0")</f>
        <v/>
      </c>
      <c r="Y410" s="755">
        <f>IFERROR(IF(Y407="",0,Y407),"0")+IFERROR(IF(Y408="",0,Y408),"0")+IFERROR(IF(Y409="",0,Y409),"0")</f>
        <v/>
      </c>
      <c r="Z410" s="756" t="n"/>
      <c r="AA410" s="756" t="n"/>
    </row>
    <row r="411">
      <c r="A411" s="376" t="n"/>
      <c r="B411" s="376" t="n"/>
      <c r="C411" s="376" t="n"/>
      <c r="D411" s="376" t="n"/>
      <c r="E411" s="376" t="n"/>
      <c r="F411" s="376" t="n"/>
      <c r="G411" s="376" t="n"/>
      <c r="H411" s="376" t="n"/>
      <c r="I411" s="376" t="n"/>
      <c r="J411" s="376" t="n"/>
      <c r="K411" s="376" t="n"/>
      <c r="L411" s="376" t="n"/>
      <c r="M411" s="376" t="n"/>
      <c r="N411" s="397" t="n"/>
      <c r="O411" s="391" t="inlineStr">
        <is>
          <t>Итого</t>
        </is>
      </c>
      <c r="P411" s="392" t="n"/>
      <c r="Q411" s="392" t="n"/>
      <c r="R411" s="392" t="n"/>
      <c r="S411" s="392" t="n"/>
      <c r="T411" s="392" t="n"/>
      <c r="U411" s="393" t="n"/>
      <c r="V411" s="37" t="inlineStr">
        <is>
          <t>кг</t>
        </is>
      </c>
      <c r="W411" s="755">
        <f>IFERROR(SUM(W407:W409),"0")</f>
        <v/>
      </c>
      <c r="X411" s="755">
        <f>IFERROR(SUM(X407:X409),"0")</f>
        <v/>
      </c>
      <c r="Y411" s="37" t="n"/>
      <c r="Z411" s="756" t="n"/>
      <c r="AA411" s="756" t="n"/>
    </row>
    <row r="412" ht="14.25" customHeight="1">
      <c r="A412" s="375" t="inlineStr">
        <is>
          <t>Сардельки</t>
        </is>
      </c>
      <c r="B412" s="376" t="n"/>
      <c r="C412" s="376" t="n"/>
      <c r="D412" s="376" t="n"/>
      <c r="E412" s="376" t="n"/>
      <c r="F412" s="376" t="n"/>
      <c r="G412" s="376" t="n"/>
      <c r="H412" s="376" t="n"/>
      <c r="I412" s="376" t="n"/>
      <c r="J412" s="376" t="n"/>
      <c r="K412" s="376" t="n"/>
      <c r="L412" s="376" t="n"/>
      <c r="M412" s="376" t="n"/>
      <c r="N412" s="376" t="n"/>
      <c r="O412" s="376" t="n"/>
      <c r="P412" s="376" t="n"/>
      <c r="Q412" s="376" t="n"/>
      <c r="R412" s="376" t="n"/>
      <c r="S412" s="376" t="n"/>
      <c r="T412" s="376" t="n"/>
      <c r="U412" s="376" t="n"/>
      <c r="V412" s="376" t="n"/>
      <c r="W412" s="376" t="n"/>
      <c r="X412" s="376" t="n"/>
      <c r="Y412" s="376" t="n"/>
      <c r="Z412" s="375" t="n"/>
      <c r="AA412" s="375" t="n"/>
    </row>
    <row r="413" ht="27" customHeight="1">
      <c r="A413" s="54" t="inlineStr">
        <is>
          <t>SU002846</t>
        </is>
      </c>
      <c r="B413" s="54" t="inlineStr">
        <is>
          <t>P003254</t>
        </is>
      </c>
      <c r="C413" s="31" t="n">
        <v>4301060352</v>
      </c>
      <c r="D413" s="369" t="n">
        <v>4680115881648</v>
      </c>
      <c r="E413" s="370" t="n"/>
      <c r="F413" s="752" t="n">
        <v>1</v>
      </c>
      <c r="G413" s="32" t="n">
        <v>4</v>
      </c>
      <c r="H413" s="752" t="n">
        <v>4</v>
      </c>
      <c r="I413" s="752" t="n">
        <v>4.404</v>
      </c>
      <c r="J413" s="32" t="n">
        <v>104</v>
      </c>
      <c r="K413" s="32" t="inlineStr">
        <is>
          <t>8</t>
        </is>
      </c>
      <c r="L413" s="33" t="inlineStr">
        <is>
          <t>СК2</t>
        </is>
      </c>
      <c r="M413" s="33" t="n"/>
      <c r="N413" s="32" t="n">
        <v>35</v>
      </c>
      <c r="O413" s="51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3" s="372" t="n"/>
      <c r="Q413" s="372" t="n"/>
      <c r="R413" s="372" t="n"/>
      <c r="S413" s="370" t="n"/>
      <c r="T413" s="34" t="n"/>
      <c r="U413" s="34" t="n"/>
      <c r="V413" s="35" t="inlineStr">
        <is>
          <t>кг</t>
        </is>
      </c>
      <c r="W413" s="753" t="n">
        <v>0</v>
      </c>
      <c r="X413" s="754">
        <f>IFERROR(IF(W413="",0,CEILING((W413/$H413),1)*$H413),"")</f>
        <v/>
      </c>
      <c r="Y413" s="36">
        <f>IFERROR(IF(X413=0,"",ROUNDUP(X413/H413,0)*0.01196),"")</f>
        <v/>
      </c>
      <c r="Z413" s="56" t="n"/>
      <c r="AA413" s="57" t="n"/>
      <c r="AE413" s="58" t="n"/>
      <c r="BB413" s="296" t="inlineStr">
        <is>
          <t>КИ</t>
        </is>
      </c>
    </row>
    <row r="414">
      <c r="A414" s="396" t="n"/>
      <c r="B414" s="376" t="n"/>
      <c r="C414" s="376" t="n"/>
      <c r="D414" s="376" t="n"/>
      <c r="E414" s="376" t="n"/>
      <c r="F414" s="376" t="n"/>
      <c r="G414" s="376" t="n"/>
      <c r="H414" s="376" t="n"/>
      <c r="I414" s="376" t="n"/>
      <c r="J414" s="376" t="n"/>
      <c r="K414" s="376" t="n"/>
      <c r="L414" s="376" t="n"/>
      <c r="M414" s="376" t="n"/>
      <c r="N414" s="397" t="n"/>
      <c r="O414" s="391" t="inlineStr">
        <is>
          <t>Итого</t>
        </is>
      </c>
      <c r="P414" s="392" t="n"/>
      <c r="Q414" s="392" t="n"/>
      <c r="R414" s="392" t="n"/>
      <c r="S414" s="392" t="n"/>
      <c r="T414" s="392" t="n"/>
      <c r="U414" s="393" t="n"/>
      <c r="V414" s="37" t="inlineStr">
        <is>
          <t>кор</t>
        </is>
      </c>
      <c r="W414" s="755">
        <f>IFERROR(W413/H413,"0")</f>
        <v/>
      </c>
      <c r="X414" s="755">
        <f>IFERROR(X413/H413,"0")</f>
        <v/>
      </c>
      <c r="Y414" s="755">
        <f>IFERROR(IF(Y413="",0,Y413),"0")</f>
        <v/>
      </c>
      <c r="Z414" s="756" t="n"/>
      <c r="AA414" s="756" t="n"/>
    </row>
    <row r="415">
      <c r="A415" s="376" t="n"/>
      <c r="B415" s="376" t="n"/>
      <c r="C415" s="376" t="n"/>
      <c r="D415" s="376" t="n"/>
      <c r="E415" s="376" t="n"/>
      <c r="F415" s="376" t="n"/>
      <c r="G415" s="376" t="n"/>
      <c r="H415" s="376" t="n"/>
      <c r="I415" s="376" t="n"/>
      <c r="J415" s="376" t="n"/>
      <c r="K415" s="376" t="n"/>
      <c r="L415" s="376" t="n"/>
      <c r="M415" s="376" t="n"/>
      <c r="N415" s="397" t="n"/>
      <c r="O415" s="391" t="inlineStr">
        <is>
          <t>Итого</t>
        </is>
      </c>
      <c r="P415" s="392" t="n"/>
      <c r="Q415" s="392" t="n"/>
      <c r="R415" s="392" t="n"/>
      <c r="S415" s="392" t="n"/>
      <c r="T415" s="392" t="n"/>
      <c r="U415" s="393" t="n"/>
      <c r="V415" s="37" t="inlineStr">
        <is>
          <t>кг</t>
        </is>
      </c>
      <c r="W415" s="755">
        <f>IFERROR(SUM(W413:W413),"0")</f>
        <v/>
      </c>
      <c r="X415" s="755">
        <f>IFERROR(SUM(X413:X413),"0")</f>
        <v/>
      </c>
      <c r="Y415" s="37" t="n"/>
      <c r="Z415" s="756" t="n"/>
      <c r="AA415" s="756" t="n"/>
    </row>
    <row r="416" ht="14.25" customHeight="1">
      <c r="A416" s="375" t="inlineStr">
        <is>
          <t>Сырокопченые колбасы</t>
        </is>
      </c>
      <c r="B416" s="376" t="n"/>
      <c r="C416" s="376" t="n"/>
      <c r="D416" s="376" t="n"/>
      <c r="E416" s="376" t="n"/>
      <c r="F416" s="376" t="n"/>
      <c r="G416" s="376" t="n"/>
      <c r="H416" s="376" t="n"/>
      <c r="I416" s="376" t="n"/>
      <c r="J416" s="376" t="n"/>
      <c r="K416" s="376" t="n"/>
      <c r="L416" s="376" t="n"/>
      <c r="M416" s="376" t="n"/>
      <c r="N416" s="376" t="n"/>
      <c r="O416" s="376" t="n"/>
      <c r="P416" s="376" t="n"/>
      <c r="Q416" s="376" t="n"/>
      <c r="R416" s="376" t="n"/>
      <c r="S416" s="376" t="n"/>
      <c r="T416" s="376" t="n"/>
      <c r="U416" s="376" t="n"/>
      <c r="V416" s="376" t="n"/>
      <c r="W416" s="376" t="n"/>
      <c r="X416" s="376" t="n"/>
      <c r="Y416" s="376" t="n"/>
      <c r="Z416" s="375" t="n"/>
      <c r="AA416" s="375" t="n"/>
    </row>
    <row r="417" ht="27" customHeight="1">
      <c r="A417" s="54" t="inlineStr">
        <is>
          <t>SU003277</t>
        </is>
      </c>
      <c r="B417" s="54" t="inlineStr">
        <is>
          <t>P003775</t>
        </is>
      </c>
      <c r="C417" s="31" t="n">
        <v>4301032045</v>
      </c>
      <c r="D417" s="369" t="n">
        <v>4680115884335</v>
      </c>
      <c r="E417" s="370" t="n"/>
      <c r="F417" s="752" t="n">
        <v>0.06</v>
      </c>
      <c r="G417" s="32" t="n">
        <v>20</v>
      </c>
      <c r="H417" s="752" t="n">
        <v>1.2</v>
      </c>
      <c r="I417" s="752" t="n">
        <v>1.8</v>
      </c>
      <c r="J417" s="32" t="n">
        <v>200</v>
      </c>
      <c r="K417" s="32" t="inlineStr">
        <is>
          <t>10</t>
        </is>
      </c>
      <c r="L417" s="33" t="inlineStr">
        <is>
          <t>ДК</t>
        </is>
      </c>
      <c r="M417" s="33" t="n"/>
      <c r="N417" s="32" t="n">
        <v>60</v>
      </c>
      <c r="O417" s="69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7" s="372" t="n"/>
      <c r="Q417" s="372" t="n"/>
      <c r="R417" s="372" t="n"/>
      <c r="S417" s="370" t="n"/>
      <c r="T417" s="34" t="n"/>
      <c r="U417" s="34" t="n"/>
      <c r="V417" s="35" t="inlineStr">
        <is>
          <t>кг</t>
        </is>
      </c>
      <c r="W417" s="753" t="n">
        <v>0</v>
      </c>
      <c r="X417" s="754">
        <f>IFERROR(IF(W417="",0,CEILING((W417/$H417),1)*$H417),"")</f>
        <v/>
      </c>
      <c r="Y417" s="36">
        <f>IFERROR(IF(X417=0,"",ROUNDUP(X417/H417,0)*0.00627),"")</f>
        <v/>
      </c>
      <c r="Z417" s="56" t="n"/>
      <c r="AA417" s="57" t="n"/>
      <c r="AE417" s="58" t="n"/>
      <c r="BB417" s="297" t="inlineStr">
        <is>
          <t>КИ</t>
        </is>
      </c>
    </row>
    <row r="418" ht="27" customHeight="1">
      <c r="A418" s="54" t="inlineStr">
        <is>
          <t>SU003278</t>
        </is>
      </c>
      <c r="B418" s="54" t="inlineStr">
        <is>
          <t>P003777</t>
        </is>
      </c>
      <c r="C418" s="31" t="n">
        <v>4301032047</v>
      </c>
      <c r="D418" s="369" t="n">
        <v>4680115884342</v>
      </c>
      <c r="E418" s="370" t="n"/>
      <c r="F418" s="752" t="n">
        <v>0.06</v>
      </c>
      <c r="G418" s="32" t="n">
        <v>20</v>
      </c>
      <c r="H418" s="752" t="n">
        <v>1.2</v>
      </c>
      <c r="I418" s="752" t="n">
        <v>1.8</v>
      </c>
      <c r="J418" s="32" t="n">
        <v>200</v>
      </c>
      <c r="K418" s="32" t="inlineStr">
        <is>
          <t>10</t>
        </is>
      </c>
      <c r="L418" s="33" t="inlineStr">
        <is>
          <t>ДК</t>
        </is>
      </c>
      <c r="M418" s="33" t="n"/>
      <c r="N418" s="32" t="n">
        <v>60</v>
      </c>
      <c r="O418" s="72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8" s="372" t="n"/>
      <c r="Q418" s="372" t="n"/>
      <c r="R418" s="372" t="n"/>
      <c r="S418" s="370" t="n"/>
      <c r="T418" s="34" t="n"/>
      <c r="U418" s="34" t="n"/>
      <c r="V418" s="35" t="inlineStr">
        <is>
          <t>кг</t>
        </is>
      </c>
      <c r="W418" s="753" t="n">
        <v>0</v>
      </c>
      <c r="X418" s="754">
        <f>IFERROR(IF(W418="",0,CEILING((W418/$H418),1)*$H418),"")</f>
        <v/>
      </c>
      <c r="Y418" s="36">
        <f>IFERROR(IF(X418=0,"",ROUNDUP(X418/H418,0)*0.00627),"")</f>
        <v/>
      </c>
      <c r="Z418" s="56" t="n"/>
      <c r="AA418" s="57" t="n"/>
      <c r="AE418" s="58" t="n"/>
      <c r="BB418" s="298" t="inlineStr">
        <is>
          <t>КИ</t>
        </is>
      </c>
    </row>
    <row r="419" ht="27" customHeight="1">
      <c r="A419" s="54" t="inlineStr">
        <is>
          <t>SU003281</t>
        </is>
      </c>
      <c r="B419" s="54" t="inlineStr">
        <is>
          <t>P003774</t>
        </is>
      </c>
      <c r="C419" s="31" t="n">
        <v>4301170011</v>
      </c>
      <c r="D419" s="369" t="n">
        <v>4680115884113</v>
      </c>
      <c r="E419" s="370" t="n"/>
      <c r="F419" s="752" t="n">
        <v>0.11</v>
      </c>
      <c r="G419" s="32" t="n">
        <v>12</v>
      </c>
      <c r="H419" s="752" t="n">
        <v>1.32</v>
      </c>
      <c r="I419" s="752" t="n">
        <v>1.88</v>
      </c>
      <c r="J419" s="32" t="n">
        <v>200</v>
      </c>
      <c r="K419" s="32" t="inlineStr">
        <is>
          <t>10</t>
        </is>
      </c>
      <c r="L419" s="33" t="inlineStr">
        <is>
          <t>ДК</t>
        </is>
      </c>
      <c r="M419" s="33" t="n"/>
      <c r="N419" s="32" t="n">
        <v>150</v>
      </c>
      <c r="O419" s="7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9" s="372" t="n"/>
      <c r="Q419" s="372" t="n"/>
      <c r="R419" s="372" t="n"/>
      <c r="S419" s="370" t="n"/>
      <c r="T419" s="34" t="n"/>
      <c r="U419" s="34" t="n"/>
      <c r="V419" s="35" t="inlineStr">
        <is>
          <t>кг</t>
        </is>
      </c>
      <c r="W419" s="753" t="n">
        <v>0</v>
      </c>
      <c r="X419" s="754">
        <f>IFERROR(IF(W419="",0,CEILING((W419/$H419),1)*$H419),"")</f>
        <v/>
      </c>
      <c r="Y419" s="36">
        <f>IFERROR(IF(X419=0,"",ROUNDUP(X419/H419,0)*0.00627),"")</f>
        <v/>
      </c>
      <c r="Z419" s="56" t="n"/>
      <c r="AA419" s="57" t="n"/>
      <c r="AE419" s="58" t="n"/>
      <c r="BB419" s="299" t="inlineStr">
        <is>
          <t>КИ</t>
        </is>
      </c>
    </row>
    <row r="420">
      <c r="A420" s="396" t="n"/>
      <c r="B420" s="376" t="n"/>
      <c r="C420" s="376" t="n"/>
      <c r="D420" s="376" t="n"/>
      <c r="E420" s="376" t="n"/>
      <c r="F420" s="376" t="n"/>
      <c r="G420" s="376" t="n"/>
      <c r="H420" s="376" t="n"/>
      <c r="I420" s="376" t="n"/>
      <c r="J420" s="376" t="n"/>
      <c r="K420" s="376" t="n"/>
      <c r="L420" s="376" t="n"/>
      <c r="M420" s="376" t="n"/>
      <c r="N420" s="397" t="n"/>
      <c r="O420" s="391" t="inlineStr">
        <is>
          <t>Итого</t>
        </is>
      </c>
      <c r="P420" s="392" t="n"/>
      <c r="Q420" s="392" t="n"/>
      <c r="R420" s="392" t="n"/>
      <c r="S420" s="392" t="n"/>
      <c r="T420" s="392" t="n"/>
      <c r="U420" s="393" t="n"/>
      <c r="V420" s="37" t="inlineStr">
        <is>
          <t>кор</t>
        </is>
      </c>
      <c r="W420" s="755">
        <f>IFERROR(W417/H417,"0")+IFERROR(W418/H418,"0")+IFERROR(W419/H419,"0")</f>
        <v/>
      </c>
      <c r="X420" s="755">
        <f>IFERROR(X417/H417,"0")+IFERROR(X418/H418,"0")+IFERROR(X419/H419,"0")</f>
        <v/>
      </c>
      <c r="Y420" s="755">
        <f>IFERROR(IF(Y417="",0,Y417),"0")+IFERROR(IF(Y418="",0,Y418),"0")+IFERROR(IF(Y419="",0,Y419),"0")</f>
        <v/>
      </c>
      <c r="Z420" s="756" t="n"/>
      <c r="AA420" s="756" t="n"/>
    </row>
    <row r="421">
      <c r="A421" s="376" t="n"/>
      <c r="B421" s="376" t="n"/>
      <c r="C421" s="376" t="n"/>
      <c r="D421" s="376" t="n"/>
      <c r="E421" s="376" t="n"/>
      <c r="F421" s="376" t="n"/>
      <c r="G421" s="376" t="n"/>
      <c r="H421" s="376" t="n"/>
      <c r="I421" s="376" t="n"/>
      <c r="J421" s="376" t="n"/>
      <c r="K421" s="376" t="n"/>
      <c r="L421" s="376" t="n"/>
      <c r="M421" s="376" t="n"/>
      <c r="N421" s="397" t="n"/>
      <c r="O421" s="391" t="inlineStr">
        <is>
          <t>Итого</t>
        </is>
      </c>
      <c r="P421" s="392" t="n"/>
      <c r="Q421" s="392" t="n"/>
      <c r="R421" s="392" t="n"/>
      <c r="S421" s="392" t="n"/>
      <c r="T421" s="392" t="n"/>
      <c r="U421" s="393" t="n"/>
      <c r="V421" s="37" t="inlineStr">
        <is>
          <t>кг</t>
        </is>
      </c>
      <c r="W421" s="755">
        <f>IFERROR(SUM(W417:W419),"0")</f>
        <v/>
      </c>
      <c r="X421" s="755">
        <f>IFERROR(SUM(X417:X419),"0")</f>
        <v/>
      </c>
      <c r="Y421" s="37" t="n"/>
      <c r="Z421" s="756" t="n"/>
      <c r="AA421" s="756" t="n"/>
    </row>
    <row r="422" ht="16.5" customHeight="1">
      <c r="A422" s="378" t="inlineStr">
        <is>
          <t>Балыкбургская</t>
        </is>
      </c>
      <c r="B422" s="376" t="n"/>
      <c r="C422" s="376" t="n"/>
      <c r="D422" s="376" t="n"/>
      <c r="E422" s="376" t="n"/>
      <c r="F422" s="376" t="n"/>
      <c r="G422" s="376" t="n"/>
      <c r="H422" s="376" t="n"/>
      <c r="I422" s="376" t="n"/>
      <c r="J422" s="376" t="n"/>
      <c r="K422" s="376" t="n"/>
      <c r="L422" s="376" t="n"/>
      <c r="M422" s="376" t="n"/>
      <c r="N422" s="376" t="n"/>
      <c r="O422" s="376" t="n"/>
      <c r="P422" s="376" t="n"/>
      <c r="Q422" s="376" t="n"/>
      <c r="R422" s="376" t="n"/>
      <c r="S422" s="376" t="n"/>
      <c r="T422" s="376" t="n"/>
      <c r="U422" s="376" t="n"/>
      <c r="V422" s="376" t="n"/>
      <c r="W422" s="376" t="n"/>
      <c r="X422" s="376" t="n"/>
      <c r="Y422" s="376" t="n"/>
      <c r="Z422" s="378" t="n"/>
      <c r="AA422" s="378" t="n"/>
    </row>
    <row r="423" ht="14.25" customHeight="1">
      <c r="A423" s="375" t="inlineStr">
        <is>
          <t>Ветчины</t>
        </is>
      </c>
      <c r="B423" s="376" t="n"/>
      <c r="C423" s="376" t="n"/>
      <c r="D423" s="376" t="n"/>
      <c r="E423" s="376" t="n"/>
      <c r="F423" s="376" t="n"/>
      <c r="G423" s="376" t="n"/>
      <c r="H423" s="376" t="n"/>
      <c r="I423" s="376" t="n"/>
      <c r="J423" s="376" t="n"/>
      <c r="K423" s="376" t="n"/>
      <c r="L423" s="376" t="n"/>
      <c r="M423" s="376" t="n"/>
      <c r="N423" s="376" t="n"/>
      <c r="O423" s="376" t="n"/>
      <c r="P423" s="376" t="n"/>
      <c r="Q423" s="376" t="n"/>
      <c r="R423" s="376" t="n"/>
      <c r="S423" s="376" t="n"/>
      <c r="T423" s="376" t="n"/>
      <c r="U423" s="376" t="n"/>
      <c r="V423" s="376" t="n"/>
      <c r="W423" s="376" t="n"/>
      <c r="X423" s="376" t="n"/>
      <c r="Y423" s="376" t="n"/>
      <c r="Z423" s="375" t="n"/>
      <c r="AA423" s="375" t="n"/>
    </row>
    <row r="424" ht="27" customHeight="1">
      <c r="A424" s="54" t="inlineStr">
        <is>
          <t>SU002542</t>
        </is>
      </c>
      <c r="B424" s="54" t="inlineStr">
        <is>
          <t>P002847</t>
        </is>
      </c>
      <c r="C424" s="31" t="n">
        <v>4301020214</v>
      </c>
      <c r="D424" s="369" t="n">
        <v>4607091389388</v>
      </c>
      <c r="E424" s="370" t="n"/>
      <c r="F424" s="752" t="n">
        <v>1.3</v>
      </c>
      <c r="G424" s="32" t="n">
        <v>4</v>
      </c>
      <c r="H424" s="752" t="n">
        <v>5.2</v>
      </c>
      <c r="I424" s="752" t="n">
        <v>5.608</v>
      </c>
      <c r="J424" s="32" t="n">
        <v>104</v>
      </c>
      <c r="K424" s="32" t="inlineStr">
        <is>
          <t>8</t>
        </is>
      </c>
      <c r="L424" s="33" t="inlineStr">
        <is>
          <t>СК1</t>
        </is>
      </c>
      <c r="M424" s="33" t="n"/>
      <c r="N424" s="32" t="n">
        <v>35</v>
      </c>
      <c r="O424" s="5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4" s="372" t="n"/>
      <c r="Q424" s="372" t="n"/>
      <c r="R424" s="372" t="n"/>
      <c r="S424" s="370" t="n"/>
      <c r="T424" s="34" t="n"/>
      <c r="U424" s="34" t="n"/>
      <c r="V424" s="35" t="inlineStr">
        <is>
          <t>кг</t>
        </is>
      </c>
      <c r="W424" s="753" t="n">
        <v>0</v>
      </c>
      <c r="X424" s="754">
        <f>IFERROR(IF(W424="",0,CEILING((W424/$H424),1)*$H424),"")</f>
        <v/>
      </c>
      <c r="Y424" s="36">
        <f>IFERROR(IF(X424=0,"",ROUNDUP(X424/H424,0)*0.01196),"")</f>
        <v/>
      </c>
      <c r="Z424" s="56" t="n"/>
      <c r="AA424" s="57" t="n"/>
      <c r="AE424" s="58" t="n"/>
      <c r="BB424" s="300" t="inlineStr">
        <is>
          <t>КИ</t>
        </is>
      </c>
    </row>
    <row r="425" ht="27" customHeight="1">
      <c r="A425" s="54" t="inlineStr">
        <is>
          <t>SU002319</t>
        </is>
      </c>
      <c r="B425" s="54" t="inlineStr">
        <is>
          <t>P002597</t>
        </is>
      </c>
      <c r="C425" s="31" t="n">
        <v>4301020185</v>
      </c>
      <c r="D425" s="369" t="n">
        <v>4607091389364</v>
      </c>
      <c r="E425" s="370" t="n"/>
      <c r="F425" s="752" t="n">
        <v>0.42</v>
      </c>
      <c r="G425" s="32" t="n">
        <v>6</v>
      </c>
      <c r="H425" s="752" t="n">
        <v>2.52</v>
      </c>
      <c r="I425" s="752" t="n">
        <v>2.75</v>
      </c>
      <c r="J425" s="32" t="n">
        <v>156</v>
      </c>
      <c r="K425" s="32" t="inlineStr">
        <is>
          <t>12</t>
        </is>
      </c>
      <c r="L425" s="33" t="inlineStr">
        <is>
          <t>СК3</t>
        </is>
      </c>
      <c r="M425" s="33" t="n"/>
      <c r="N425" s="32" t="n">
        <v>35</v>
      </c>
      <c r="O425" s="6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5" s="372" t="n"/>
      <c r="Q425" s="372" t="n"/>
      <c r="R425" s="372" t="n"/>
      <c r="S425" s="370" t="n"/>
      <c r="T425" s="34" t="n"/>
      <c r="U425" s="34" t="n"/>
      <c r="V425" s="35" t="inlineStr">
        <is>
          <t>кг</t>
        </is>
      </c>
      <c r="W425" s="753" t="n">
        <v>0</v>
      </c>
      <c r="X425" s="754">
        <f>IFERROR(IF(W425="",0,CEILING((W425/$H425),1)*$H425),"")</f>
        <v/>
      </c>
      <c r="Y425" s="36">
        <f>IFERROR(IF(X425=0,"",ROUNDUP(X425/H425,0)*0.00753),"")</f>
        <v/>
      </c>
      <c r="Z425" s="56" t="n"/>
      <c r="AA425" s="57" t="n"/>
      <c r="AE425" s="58" t="n"/>
      <c r="BB425" s="301" t="inlineStr">
        <is>
          <t>КИ</t>
        </is>
      </c>
    </row>
    <row r="426">
      <c r="A426" s="396" t="n"/>
      <c r="B426" s="376" t="n"/>
      <c r="C426" s="376" t="n"/>
      <c r="D426" s="376" t="n"/>
      <c r="E426" s="376" t="n"/>
      <c r="F426" s="376" t="n"/>
      <c r="G426" s="376" t="n"/>
      <c r="H426" s="376" t="n"/>
      <c r="I426" s="376" t="n"/>
      <c r="J426" s="376" t="n"/>
      <c r="K426" s="376" t="n"/>
      <c r="L426" s="376" t="n"/>
      <c r="M426" s="376" t="n"/>
      <c r="N426" s="397" t="n"/>
      <c r="O426" s="391" t="inlineStr">
        <is>
          <t>Итого</t>
        </is>
      </c>
      <c r="P426" s="392" t="n"/>
      <c r="Q426" s="392" t="n"/>
      <c r="R426" s="392" t="n"/>
      <c r="S426" s="392" t="n"/>
      <c r="T426" s="392" t="n"/>
      <c r="U426" s="393" t="n"/>
      <c r="V426" s="37" t="inlineStr">
        <is>
          <t>кор</t>
        </is>
      </c>
      <c r="W426" s="755">
        <f>IFERROR(W424/H424,"0")+IFERROR(W425/H425,"0")</f>
        <v/>
      </c>
      <c r="X426" s="755">
        <f>IFERROR(X424/H424,"0")+IFERROR(X425/H425,"0")</f>
        <v/>
      </c>
      <c r="Y426" s="755">
        <f>IFERROR(IF(Y424="",0,Y424),"0")+IFERROR(IF(Y425="",0,Y425),"0")</f>
        <v/>
      </c>
      <c r="Z426" s="756" t="n"/>
      <c r="AA426" s="756" t="n"/>
    </row>
    <row r="427">
      <c r="A427" s="376" t="n"/>
      <c r="B427" s="376" t="n"/>
      <c r="C427" s="376" t="n"/>
      <c r="D427" s="376" t="n"/>
      <c r="E427" s="376" t="n"/>
      <c r="F427" s="376" t="n"/>
      <c r="G427" s="376" t="n"/>
      <c r="H427" s="376" t="n"/>
      <c r="I427" s="376" t="n"/>
      <c r="J427" s="376" t="n"/>
      <c r="K427" s="376" t="n"/>
      <c r="L427" s="376" t="n"/>
      <c r="M427" s="376" t="n"/>
      <c r="N427" s="397" t="n"/>
      <c r="O427" s="391" t="inlineStr">
        <is>
          <t>Итого</t>
        </is>
      </c>
      <c r="P427" s="392" t="n"/>
      <c r="Q427" s="392" t="n"/>
      <c r="R427" s="392" t="n"/>
      <c r="S427" s="392" t="n"/>
      <c r="T427" s="392" t="n"/>
      <c r="U427" s="393" t="n"/>
      <c r="V427" s="37" t="inlineStr">
        <is>
          <t>кг</t>
        </is>
      </c>
      <c r="W427" s="755">
        <f>IFERROR(SUM(W424:W425),"0")</f>
        <v/>
      </c>
      <c r="X427" s="755">
        <f>IFERROR(SUM(X424:X425),"0")</f>
        <v/>
      </c>
      <c r="Y427" s="37" t="n"/>
      <c r="Z427" s="756" t="n"/>
      <c r="AA427" s="756" t="n"/>
    </row>
    <row r="428" ht="14.25" customHeight="1">
      <c r="A428" s="375" t="inlineStr">
        <is>
          <t>Копченые колбасы</t>
        </is>
      </c>
      <c r="B428" s="376" t="n"/>
      <c r="C428" s="376" t="n"/>
      <c r="D428" s="376" t="n"/>
      <c r="E428" s="376" t="n"/>
      <c r="F428" s="376" t="n"/>
      <c r="G428" s="376" t="n"/>
      <c r="H428" s="376" t="n"/>
      <c r="I428" s="376" t="n"/>
      <c r="J428" s="376" t="n"/>
      <c r="K428" s="376" t="n"/>
      <c r="L428" s="376" t="n"/>
      <c r="M428" s="376" t="n"/>
      <c r="N428" s="376" t="n"/>
      <c r="O428" s="376" t="n"/>
      <c r="P428" s="376" t="n"/>
      <c r="Q428" s="376" t="n"/>
      <c r="R428" s="376" t="n"/>
      <c r="S428" s="376" t="n"/>
      <c r="T428" s="376" t="n"/>
      <c r="U428" s="376" t="n"/>
      <c r="V428" s="376" t="n"/>
      <c r="W428" s="376" t="n"/>
      <c r="X428" s="376" t="n"/>
      <c r="Y428" s="376" t="n"/>
      <c r="Z428" s="375" t="n"/>
      <c r="AA428" s="375" t="n"/>
    </row>
    <row r="429" ht="27" customHeight="1">
      <c r="A429" s="54" t="inlineStr">
        <is>
          <t>SU002612</t>
        </is>
      </c>
      <c r="B429" s="54" t="inlineStr">
        <is>
          <t>P003140</t>
        </is>
      </c>
      <c r="C429" s="31" t="n">
        <v>4301031212</v>
      </c>
      <c r="D429" s="369" t="n">
        <v>4607091389739</v>
      </c>
      <c r="E429" s="370" t="n"/>
      <c r="F429" s="752" t="n">
        <v>0.7</v>
      </c>
      <c r="G429" s="32" t="n">
        <v>6</v>
      </c>
      <c r="H429" s="752" t="n">
        <v>4.2</v>
      </c>
      <c r="I429" s="752" t="n">
        <v>4.43</v>
      </c>
      <c r="J429" s="32" t="n">
        <v>156</v>
      </c>
      <c r="K429" s="32" t="inlineStr">
        <is>
          <t>12</t>
        </is>
      </c>
      <c r="L429" s="33" t="inlineStr">
        <is>
          <t>СК1</t>
        </is>
      </c>
      <c r="M429" s="33" t="n"/>
      <c r="N429" s="32" t="n">
        <v>45</v>
      </c>
      <c r="O429" s="54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9" s="372" t="n"/>
      <c r="Q429" s="372" t="n"/>
      <c r="R429" s="372" t="n"/>
      <c r="S429" s="370" t="n"/>
      <c r="T429" s="34" t="n"/>
      <c r="U429" s="34" t="n"/>
      <c r="V429" s="35" t="inlineStr">
        <is>
          <t>кг</t>
        </is>
      </c>
      <c r="W429" s="753" t="n">
        <v>600</v>
      </c>
      <c r="X429" s="754">
        <f>IFERROR(IF(W429="",0,CEILING((W429/$H429),1)*$H429),"")</f>
        <v/>
      </c>
      <c r="Y429" s="36">
        <f>IFERROR(IF(X429=0,"",ROUNDUP(X429/H429,0)*0.00753),"")</f>
        <v/>
      </c>
      <c r="Z429" s="56" t="n"/>
      <c r="AA429" s="57" t="n"/>
      <c r="AE429" s="58" t="n"/>
      <c r="BB429" s="302" t="inlineStr">
        <is>
          <t>КИ</t>
        </is>
      </c>
    </row>
    <row r="430" ht="27" customHeight="1">
      <c r="A430" s="54" t="inlineStr">
        <is>
          <t>SU003071</t>
        </is>
      </c>
      <c r="B430" s="54" t="inlineStr">
        <is>
          <t>P003612</t>
        </is>
      </c>
      <c r="C430" s="31" t="n">
        <v>4301031247</v>
      </c>
      <c r="D430" s="369" t="n">
        <v>4680115883048</v>
      </c>
      <c r="E430" s="370" t="n"/>
      <c r="F430" s="752" t="n">
        <v>1</v>
      </c>
      <c r="G430" s="32" t="n">
        <v>4</v>
      </c>
      <c r="H430" s="752" t="n">
        <v>4</v>
      </c>
      <c r="I430" s="752" t="n">
        <v>4.21</v>
      </c>
      <c r="J430" s="32" t="n">
        <v>120</v>
      </c>
      <c r="K430" s="32" t="inlineStr">
        <is>
          <t>12</t>
        </is>
      </c>
      <c r="L430" s="33" t="inlineStr">
        <is>
          <t>СК2</t>
        </is>
      </c>
      <c r="M430" s="33" t="n"/>
      <c r="N430" s="32" t="n">
        <v>40</v>
      </c>
      <c r="O430" s="6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30" s="372" t="n"/>
      <c r="Q430" s="372" t="n"/>
      <c r="R430" s="372" t="n"/>
      <c r="S430" s="370" t="n"/>
      <c r="T430" s="34" t="n"/>
      <c r="U430" s="34" t="n"/>
      <c r="V430" s="35" t="inlineStr">
        <is>
          <t>кг</t>
        </is>
      </c>
      <c r="W430" s="753" t="n">
        <v>0</v>
      </c>
      <c r="X430" s="754">
        <f>IFERROR(IF(W430="",0,CEILING((W430/$H430),1)*$H430),"")</f>
        <v/>
      </c>
      <c r="Y430" s="36">
        <f>IFERROR(IF(X430=0,"",ROUNDUP(X430/H430,0)*0.00937),"")</f>
        <v/>
      </c>
      <c r="Z430" s="56" t="n"/>
      <c r="AA430" s="57" t="n"/>
      <c r="AE430" s="58" t="n"/>
      <c r="BB430" s="303" t="inlineStr">
        <is>
          <t>КИ</t>
        </is>
      </c>
    </row>
    <row r="431" ht="27" customHeight="1">
      <c r="A431" s="54" t="inlineStr">
        <is>
          <t>SU002545</t>
        </is>
      </c>
      <c r="B431" s="54" t="inlineStr">
        <is>
          <t>P003137</t>
        </is>
      </c>
      <c r="C431" s="31" t="n">
        <v>4301031176</v>
      </c>
      <c r="D431" s="369" t="n">
        <v>4607091389425</v>
      </c>
      <c r="E431" s="370" t="n"/>
      <c r="F431" s="752" t="n">
        <v>0.35</v>
      </c>
      <c r="G431" s="32" t="n">
        <v>6</v>
      </c>
      <c r="H431" s="752" t="n">
        <v>2.1</v>
      </c>
      <c r="I431" s="752" t="n">
        <v>2.23</v>
      </c>
      <c r="J431" s="32" t="n">
        <v>234</v>
      </c>
      <c r="K431" s="32" t="inlineStr">
        <is>
          <t>18</t>
        </is>
      </c>
      <c r="L431" s="33" t="inlineStr">
        <is>
          <t>СК2</t>
        </is>
      </c>
      <c r="M431" s="33" t="n"/>
      <c r="N431" s="32" t="n">
        <v>45</v>
      </c>
      <c r="O431" s="4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31" s="372" t="n"/>
      <c r="Q431" s="372" t="n"/>
      <c r="R431" s="372" t="n"/>
      <c r="S431" s="370" t="n"/>
      <c r="T431" s="34" t="n"/>
      <c r="U431" s="34" t="n"/>
      <c r="V431" s="35" t="inlineStr">
        <is>
          <t>кг</t>
        </is>
      </c>
      <c r="W431" s="753" t="n">
        <v>0</v>
      </c>
      <c r="X431" s="754">
        <f>IFERROR(IF(W431="",0,CEILING((W431/$H431),1)*$H431),"")</f>
        <v/>
      </c>
      <c r="Y431" s="36">
        <f>IFERROR(IF(X431=0,"",ROUNDUP(X431/H431,0)*0.00502),"")</f>
        <v/>
      </c>
      <c r="Z431" s="56" t="n"/>
      <c r="AA431" s="57" t="n"/>
      <c r="AE431" s="58" t="n"/>
      <c r="BB431" s="304" t="inlineStr">
        <is>
          <t>КИ</t>
        </is>
      </c>
    </row>
    <row r="432" ht="27" customHeight="1">
      <c r="A432" s="54" t="inlineStr">
        <is>
          <t>SU002917</t>
        </is>
      </c>
      <c r="B432" s="54" t="inlineStr">
        <is>
          <t>P003343</t>
        </is>
      </c>
      <c r="C432" s="31" t="n">
        <v>4301031215</v>
      </c>
      <c r="D432" s="369" t="n">
        <v>4680115882911</v>
      </c>
      <c r="E432" s="370" t="n"/>
      <c r="F432" s="752" t="n">
        <v>0.4</v>
      </c>
      <c r="G432" s="32" t="n">
        <v>6</v>
      </c>
      <c r="H432" s="752" t="n">
        <v>2.4</v>
      </c>
      <c r="I432" s="752" t="n">
        <v>2.53</v>
      </c>
      <c r="J432" s="32" t="n">
        <v>234</v>
      </c>
      <c r="K432" s="32" t="inlineStr">
        <is>
          <t>18</t>
        </is>
      </c>
      <c r="L432" s="33" t="inlineStr">
        <is>
          <t>СК2</t>
        </is>
      </c>
      <c r="M432" s="33" t="n"/>
      <c r="N432" s="32" t="n">
        <v>40</v>
      </c>
      <c r="O432" s="45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2" s="372" t="n"/>
      <c r="Q432" s="372" t="n"/>
      <c r="R432" s="372" t="n"/>
      <c r="S432" s="370" t="n"/>
      <c r="T432" s="34" t="n"/>
      <c r="U432" s="34" t="n"/>
      <c r="V432" s="35" t="inlineStr">
        <is>
          <t>кг</t>
        </is>
      </c>
      <c r="W432" s="753" t="n">
        <v>0</v>
      </c>
      <c r="X432" s="754">
        <f>IFERROR(IF(W432="",0,CEILING((W432/$H432),1)*$H432),"")</f>
        <v/>
      </c>
      <c r="Y432" s="36">
        <f>IFERROR(IF(X432=0,"",ROUNDUP(X432/H432,0)*0.00502),"")</f>
        <v/>
      </c>
      <c r="Z432" s="56" t="n"/>
      <c r="AA432" s="57" t="n"/>
      <c r="AE432" s="58" t="n"/>
      <c r="BB432" s="305" t="inlineStr">
        <is>
          <t>КИ</t>
        </is>
      </c>
    </row>
    <row r="433" ht="27" customHeight="1">
      <c r="A433" s="54" t="inlineStr">
        <is>
          <t>SU002726</t>
        </is>
      </c>
      <c r="B433" s="54" t="inlineStr">
        <is>
          <t>P003095</t>
        </is>
      </c>
      <c r="C433" s="31" t="n">
        <v>4301031167</v>
      </c>
      <c r="D433" s="369" t="n">
        <v>4680115880771</v>
      </c>
      <c r="E433" s="370" t="n"/>
      <c r="F433" s="752" t="n">
        <v>0.28</v>
      </c>
      <c r="G433" s="32" t="n">
        <v>6</v>
      </c>
      <c r="H433" s="752" t="n">
        <v>1.68</v>
      </c>
      <c r="I433" s="752" t="n">
        <v>1.81</v>
      </c>
      <c r="J433" s="32" t="n">
        <v>234</v>
      </c>
      <c r="K433" s="32" t="inlineStr">
        <is>
          <t>18</t>
        </is>
      </c>
      <c r="L433" s="33" t="inlineStr">
        <is>
          <t>СК2</t>
        </is>
      </c>
      <c r="M433" s="33" t="n"/>
      <c r="N433" s="32" t="n">
        <v>45</v>
      </c>
      <c r="O433" s="7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3" s="372" t="n"/>
      <c r="Q433" s="372" t="n"/>
      <c r="R433" s="372" t="n"/>
      <c r="S433" s="370" t="n"/>
      <c r="T433" s="34" t="n"/>
      <c r="U433" s="34" t="n"/>
      <c r="V433" s="35" t="inlineStr">
        <is>
          <t>кг</t>
        </is>
      </c>
      <c r="W433" s="753" t="n">
        <v>0</v>
      </c>
      <c r="X433" s="754">
        <f>IFERROR(IF(W433="",0,CEILING((W433/$H433),1)*$H433),"")</f>
        <v/>
      </c>
      <c r="Y433" s="36">
        <f>IFERROR(IF(X433=0,"",ROUNDUP(X433/H433,0)*0.00502),"")</f>
        <v/>
      </c>
      <c r="Z433" s="56" t="n"/>
      <c r="AA433" s="57" t="n"/>
      <c r="AE433" s="58" t="n"/>
      <c r="BB433" s="306" t="inlineStr">
        <is>
          <t>КИ</t>
        </is>
      </c>
    </row>
    <row r="434" ht="27" customHeight="1">
      <c r="A434" s="54" t="inlineStr">
        <is>
          <t>SU002604</t>
        </is>
      </c>
      <c r="B434" s="54" t="inlineStr">
        <is>
          <t>P003135</t>
        </is>
      </c>
      <c r="C434" s="31" t="n">
        <v>4301031173</v>
      </c>
      <c r="D434" s="369" t="n">
        <v>4607091389500</v>
      </c>
      <c r="E434" s="370" t="n"/>
      <c r="F434" s="752" t="n">
        <v>0.35</v>
      </c>
      <c r="G434" s="32" t="n">
        <v>6</v>
      </c>
      <c r="H434" s="752" t="n">
        <v>2.1</v>
      </c>
      <c r="I434" s="752" t="n">
        <v>2.23</v>
      </c>
      <c r="J434" s="32" t="n">
        <v>234</v>
      </c>
      <c r="K434" s="32" t="inlineStr">
        <is>
          <t>18</t>
        </is>
      </c>
      <c r="L434" s="33" t="inlineStr">
        <is>
          <t>СК2</t>
        </is>
      </c>
      <c r="M434" s="33" t="n"/>
      <c r="N434" s="32" t="n">
        <v>45</v>
      </c>
      <c r="O434" s="38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4" s="372" t="n"/>
      <c r="Q434" s="372" t="n"/>
      <c r="R434" s="372" t="n"/>
      <c r="S434" s="370" t="n"/>
      <c r="T434" s="34" t="n"/>
      <c r="U434" s="34" t="n"/>
      <c r="V434" s="35" t="inlineStr">
        <is>
          <t>кг</t>
        </is>
      </c>
      <c r="W434" s="753" t="n">
        <v>0</v>
      </c>
      <c r="X434" s="754">
        <f>IFERROR(IF(W434="",0,CEILING((W434/$H434),1)*$H434),"")</f>
        <v/>
      </c>
      <c r="Y434" s="36">
        <f>IFERROR(IF(X434=0,"",ROUNDUP(X434/H434,0)*0.00502),"")</f>
        <v/>
      </c>
      <c r="Z434" s="56" t="n"/>
      <c r="AA434" s="57" t="n"/>
      <c r="AE434" s="58" t="n"/>
      <c r="BB434" s="307" t="inlineStr">
        <is>
          <t>КИ</t>
        </is>
      </c>
    </row>
    <row r="435" ht="27" customHeight="1">
      <c r="A435" s="54" t="inlineStr">
        <is>
          <t>SU002358</t>
        </is>
      </c>
      <c r="B435" s="54" t="inlineStr">
        <is>
          <t>P002642</t>
        </is>
      </c>
      <c r="C435" s="31" t="n">
        <v>4301031103</v>
      </c>
      <c r="D435" s="369" t="n">
        <v>4680115881983</v>
      </c>
      <c r="E435" s="370" t="n"/>
      <c r="F435" s="752" t="n">
        <v>0.28</v>
      </c>
      <c r="G435" s="32" t="n">
        <v>4</v>
      </c>
      <c r="H435" s="752" t="n">
        <v>1.12</v>
      </c>
      <c r="I435" s="752" t="n">
        <v>1.252</v>
      </c>
      <c r="J435" s="32" t="n">
        <v>234</v>
      </c>
      <c r="K435" s="32" t="inlineStr">
        <is>
          <t>18</t>
        </is>
      </c>
      <c r="L435" s="33" t="inlineStr">
        <is>
          <t>СК2</t>
        </is>
      </c>
      <c r="M435" s="33" t="n"/>
      <c r="N435" s="32" t="n">
        <v>40</v>
      </c>
      <c r="O435" s="73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5" s="372" t="n"/>
      <c r="Q435" s="372" t="n"/>
      <c r="R435" s="372" t="n"/>
      <c r="S435" s="370" t="n"/>
      <c r="T435" s="34" t="n"/>
      <c r="U435" s="34" t="n"/>
      <c r="V435" s="35" t="inlineStr">
        <is>
          <t>кг</t>
        </is>
      </c>
      <c r="W435" s="753" t="n">
        <v>0</v>
      </c>
      <c r="X435" s="754">
        <f>IFERROR(IF(W435="",0,CEILING((W435/$H435),1)*$H435),"")</f>
        <v/>
      </c>
      <c r="Y435" s="36">
        <f>IFERROR(IF(X435=0,"",ROUNDUP(X435/H435,0)*0.00502),"")</f>
        <v/>
      </c>
      <c r="Z435" s="56" t="n"/>
      <c r="AA435" s="57" t="n"/>
      <c r="AE435" s="58" t="n"/>
      <c r="BB435" s="308" t="inlineStr">
        <is>
          <t>КИ</t>
        </is>
      </c>
    </row>
    <row r="436">
      <c r="A436" s="396" t="n"/>
      <c r="B436" s="376" t="n"/>
      <c r="C436" s="376" t="n"/>
      <c r="D436" s="376" t="n"/>
      <c r="E436" s="376" t="n"/>
      <c r="F436" s="376" t="n"/>
      <c r="G436" s="376" t="n"/>
      <c r="H436" s="376" t="n"/>
      <c r="I436" s="376" t="n"/>
      <c r="J436" s="376" t="n"/>
      <c r="K436" s="376" t="n"/>
      <c r="L436" s="376" t="n"/>
      <c r="M436" s="376" t="n"/>
      <c r="N436" s="397" t="n"/>
      <c r="O436" s="391" t="inlineStr">
        <is>
          <t>Итого</t>
        </is>
      </c>
      <c r="P436" s="392" t="n"/>
      <c r="Q436" s="392" t="n"/>
      <c r="R436" s="392" t="n"/>
      <c r="S436" s="392" t="n"/>
      <c r="T436" s="392" t="n"/>
      <c r="U436" s="393" t="n"/>
      <c r="V436" s="37" t="inlineStr">
        <is>
          <t>кор</t>
        </is>
      </c>
      <c r="W436" s="755">
        <f>IFERROR(W429/H429,"0")+IFERROR(W430/H430,"0")+IFERROR(W431/H431,"0")+IFERROR(W432/H432,"0")+IFERROR(W433/H433,"0")+IFERROR(W434/H434,"0")+IFERROR(W435/H435,"0")</f>
        <v/>
      </c>
      <c r="X436" s="755">
        <f>IFERROR(X429/H429,"0")+IFERROR(X430/H430,"0")+IFERROR(X431/H431,"0")+IFERROR(X432/H432,"0")+IFERROR(X433/H433,"0")+IFERROR(X434/H434,"0")+IFERROR(X435/H435,"0")</f>
        <v/>
      </c>
      <c r="Y436" s="755">
        <f>IFERROR(IF(Y429="",0,Y429),"0")+IFERROR(IF(Y430="",0,Y430),"0")+IFERROR(IF(Y431="",0,Y431),"0")+IFERROR(IF(Y432="",0,Y432),"0")+IFERROR(IF(Y433="",0,Y433),"0")+IFERROR(IF(Y434="",0,Y434),"0")+IFERROR(IF(Y435="",0,Y435),"0")</f>
        <v/>
      </c>
      <c r="Z436" s="756" t="n"/>
      <c r="AA436" s="756" t="n"/>
    </row>
    <row r="437">
      <c r="A437" s="376" t="n"/>
      <c r="B437" s="376" t="n"/>
      <c r="C437" s="376" t="n"/>
      <c r="D437" s="376" t="n"/>
      <c r="E437" s="376" t="n"/>
      <c r="F437" s="376" t="n"/>
      <c r="G437" s="376" t="n"/>
      <c r="H437" s="376" t="n"/>
      <c r="I437" s="376" t="n"/>
      <c r="J437" s="376" t="n"/>
      <c r="K437" s="376" t="n"/>
      <c r="L437" s="376" t="n"/>
      <c r="M437" s="376" t="n"/>
      <c r="N437" s="397" t="n"/>
      <c r="O437" s="391" t="inlineStr">
        <is>
          <t>Итого</t>
        </is>
      </c>
      <c r="P437" s="392" t="n"/>
      <c r="Q437" s="392" t="n"/>
      <c r="R437" s="392" t="n"/>
      <c r="S437" s="392" t="n"/>
      <c r="T437" s="392" t="n"/>
      <c r="U437" s="393" t="n"/>
      <c r="V437" s="37" t="inlineStr">
        <is>
          <t>кг</t>
        </is>
      </c>
      <c r="W437" s="755">
        <f>IFERROR(SUM(W429:W435),"0")</f>
        <v/>
      </c>
      <c r="X437" s="755">
        <f>IFERROR(SUM(X429:X435),"0")</f>
        <v/>
      </c>
      <c r="Y437" s="37" t="n"/>
      <c r="Z437" s="756" t="n"/>
      <c r="AA437" s="756" t="n"/>
    </row>
    <row r="438" ht="14.25" customHeight="1">
      <c r="A438" s="375" t="inlineStr">
        <is>
          <t>Сырокопченые колбасы</t>
        </is>
      </c>
      <c r="B438" s="376" t="n"/>
      <c r="C438" s="376" t="n"/>
      <c r="D438" s="376" t="n"/>
      <c r="E438" s="376" t="n"/>
      <c r="F438" s="376" t="n"/>
      <c r="G438" s="376" t="n"/>
      <c r="H438" s="376" t="n"/>
      <c r="I438" s="376" t="n"/>
      <c r="J438" s="376" t="n"/>
      <c r="K438" s="376" t="n"/>
      <c r="L438" s="376" t="n"/>
      <c r="M438" s="376" t="n"/>
      <c r="N438" s="376" t="n"/>
      <c r="O438" s="376" t="n"/>
      <c r="P438" s="376" t="n"/>
      <c r="Q438" s="376" t="n"/>
      <c r="R438" s="376" t="n"/>
      <c r="S438" s="376" t="n"/>
      <c r="T438" s="376" t="n"/>
      <c r="U438" s="376" t="n"/>
      <c r="V438" s="376" t="n"/>
      <c r="W438" s="376" t="n"/>
      <c r="X438" s="376" t="n"/>
      <c r="Y438" s="376" t="n"/>
      <c r="Z438" s="375" t="n"/>
      <c r="AA438" s="375" t="n"/>
    </row>
    <row r="439" ht="27" customHeight="1">
      <c r="A439" s="54" t="inlineStr">
        <is>
          <t>SU003280</t>
        </is>
      </c>
      <c r="B439" s="54" t="inlineStr">
        <is>
          <t>P003776</t>
        </is>
      </c>
      <c r="C439" s="31" t="n">
        <v>4301032046</v>
      </c>
      <c r="D439" s="369" t="n">
        <v>4680115884359</v>
      </c>
      <c r="E439" s="370" t="n"/>
      <c r="F439" s="752" t="n">
        <v>0.06</v>
      </c>
      <c r="G439" s="32" t="n">
        <v>20</v>
      </c>
      <c r="H439" s="752" t="n">
        <v>1.2</v>
      </c>
      <c r="I439" s="752" t="n">
        <v>1.8</v>
      </c>
      <c r="J439" s="32" t="n">
        <v>200</v>
      </c>
      <c r="K439" s="32" t="inlineStr">
        <is>
          <t>10</t>
        </is>
      </c>
      <c r="L439" s="33" t="inlineStr">
        <is>
          <t>ДК</t>
        </is>
      </c>
      <c r="M439" s="33" t="n"/>
      <c r="N439" s="32" t="n">
        <v>60</v>
      </c>
      <c r="O439" s="405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9" s="372" t="n"/>
      <c r="Q439" s="372" t="n"/>
      <c r="R439" s="372" t="n"/>
      <c r="S439" s="370" t="n"/>
      <c r="T439" s="34" t="n"/>
      <c r="U439" s="34" t="n"/>
      <c r="V439" s="35" t="inlineStr">
        <is>
          <t>кг</t>
        </is>
      </c>
      <c r="W439" s="753" t="n">
        <v>0</v>
      </c>
      <c r="X439" s="754">
        <f>IFERROR(IF(W439="",0,CEILING((W439/$H439),1)*$H439),"")</f>
        <v/>
      </c>
      <c r="Y439" s="36">
        <f>IFERROR(IF(X439=0,"",ROUNDUP(X439/H439,0)*0.00627),"")</f>
        <v/>
      </c>
      <c r="Z439" s="56" t="n"/>
      <c r="AA439" s="57" t="n"/>
      <c r="AE439" s="58" t="n"/>
      <c r="BB439" s="309" t="inlineStr">
        <is>
          <t>КИ</t>
        </is>
      </c>
    </row>
    <row r="440" ht="27" customHeight="1">
      <c r="A440" s="54" t="inlineStr">
        <is>
          <t>SU003315</t>
        </is>
      </c>
      <c r="B440" s="54" t="inlineStr">
        <is>
          <t>P004036</t>
        </is>
      </c>
      <c r="C440" s="31" t="n">
        <v>4301040358</v>
      </c>
      <c r="D440" s="369" t="n">
        <v>4680115884571</v>
      </c>
      <c r="E440" s="370" t="n"/>
      <c r="F440" s="752" t="n">
        <v>0.1</v>
      </c>
      <c r="G440" s="32" t="n">
        <v>20</v>
      </c>
      <c r="H440" s="752" t="n">
        <v>2</v>
      </c>
      <c r="I440" s="752" t="n">
        <v>2.6</v>
      </c>
      <c r="J440" s="32" t="n">
        <v>200</v>
      </c>
      <c r="K440" s="32" t="inlineStr">
        <is>
          <t>10</t>
        </is>
      </c>
      <c r="L440" s="33" t="inlineStr">
        <is>
          <t>ДК</t>
        </is>
      </c>
      <c r="M440" s="33" t="n"/>
      <c r="N440" s="32" t="n">
        <v>60</v>
      </c>
      <c r="O440" s="618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0" s="372" t="n"/>
      <c r="Q440" s="372" t="n"/>
      <c r="R440" s="372" t="n"/>
      <c r="S440" s="370" t="n"/>
      <c r="T440" s="34" t="n"/>
      <c r="U440" s="34" t="n"/>
      <c r="V440" s="35" t="inlineStr">
        <is>
          <t>кг</t>
        </is>
      </c>
      <c r="W440" s="753" t="n">
        <v>0</v>
      </c>
      <c r="X440" s="754">
        <f>IFERROR(IF(W440="",0,CEILING((W440/$H440),1)*$H440),"")</f>
        <v/>
      </c>
      <c r="Y440" s="36">
        <f>IFERROR(IF(X440=0,"",ROUNDUP(X440/H440,0)*0.00627),"")</f>
        <v/>
      </c>
      <c r="Z440" s="56" t="n"/>
      <c r="AA440" s="57" t="n"/>
      <c r="AE440" s="58" t="n"/>
      <c r="BB440" s="310" t="inlineStr">
        <is>
          <t>КИ</t>
        </is>
      </c>
    </row>
    <row r="441">
      <c r="A441" s="396" t="n"/>
      <c r="B441" s="376" t="n"/>
      <c r="C441" s="376" t="n"/>
      <c r="D441" s="376" t="n"/>
      <c r="E441" s="376" t="n"/>
      <c r="F441" s="376" t="n"/>
      <c r="G441" s="376" t="n"/>
      <c r="H441" s="376" t="n"/>
      <c r="I441" s="376" t="n"/>
      <c r="J441" s="376" t="n"/>
      <c r="K441" s="376" t="n"/>
      <c r="L441" s="376" t="n"/>
      <c r="M441" s="376" t="n"/>
      <c r="N441" s="397" t="n"/>
      <c r="O441" s="391" t="inlineStr">
        <is>
          <t>Итого</t>
        </is>
      </c>
      <c r="P441" s="392" t="n"/>
      <c r="Q441" s="392" t="n"/>
      <c r="R441" s="392" t="n"/>
      <c r="S441" s="392" t="n"/>
      <c r="T441" s="392" t="n"/>
      <c r="U441" s="393" t="n"/>
      <c r="V441" s="37" t="inlineStr">
        <is>
          <t>кор</t>
        </is>
      </c>
      <c r="W441" s="755">
        <f>IFERROR(W439/H439,"0")+IFERROR(W440/H440,"0")</f>
        <v/>
      </c>
      <c r="X441" s="755">
        <f>IFERROR(X439/H439,"0")+IFERROR(X440/H440,"0")</f>
        <v/>
      </c>
      <c r="Y441" s="755">
        <f>IFERROR(IF(Y439="",0,Y439),"0")+IFERROR(IF(Y440="",0,Y440),"0")</f>
        <v/>
      </c>
      <c r="Z441" s="756" t="n"/>
      <c r="AA441" s="756" t="n"/>
    </row>
    <row r="442">
      <c r="A442" s="376" t="n"/>
      <c r="B442" s="376" t="n"/>
      <c r="C442" s="376" t="n"/>
      <c r="D442" s="376" t="n"/>
      <c r="E442" s="376" t="n"/>
      <c r="F442" s="376" t="n"/>
      <c r="G442" s="376" t="n"/>
      <c r="H442" s="376" t="n"/>
      <c r="I442" s="376" t="n"/>
      <c r="J442" s="376" t="n"/>
      <c r="K442" s="376" t="n"/>
      <c r="L442" s="376" t="n"/>
      <c r="M442" s="376" t="n"/>
      <c r="N442" s="397" t="n"/>
      <c r="O442" s="391" t="inlineStr">
        <is>
          <t>Итого</t>
        </is>
      </c>
      <c r="P442" s="392" t="n"/>
      <c r="Q442" s="392" t="n"/>
      <c r="R442" s="392" t="n"/>
      <c r="S442" s="392" t="n"/>
      <c r="T442" s="392" t="n"/>
      <c r="U442" s="393" t="n"/>
      <c r="V442" s="37" t="inlineStr">
        <is>
          <t>кг</t>
        </is>
      </c>
      <c r="W442" s="755">
        <f>IFERROR(SUM(W439:W440),"0")</f>
        <v/>
      </c>
      <c r="X442" s="755">
        <f>IFERROR(SUM(X439:X440),"0")</f>
        <v/>
      </c>
      <c r="Y442" s="37" t="n"/>
      <c r="Z442" s="756" t="n"/>
      <c r="AA442" s="756" t="n"/>
    </row>
    <row r="443" ht="14.25" customHeight="1">
      <c r="A443" s="375" t="inlineStr">
        <is>
          <t>Сыровяленые колбасы</t>
        </is>
      </c>
      <c r="B443" s="376" t="n"/>
      <c r="C443" s="376" t="n"/>
      <c r="D443" s="376" t="n"/>
      <c r="E443" s="376" t="n"/>
      <c r="F443" s="376" t="n"/>
      <c r="G443" s="376" t="n"/>
      <c r="H443" s="376" t="n"/>
      <c r="I443" s="376" t="n"/>
      <c r="J443" s="376" t="n"/>
      <c r="K443" s="376" t="n"/>
      <c r="L443" s="376" t="n"/>
      <c r="M443" s="376" t="n"/>
      <c r="N443" s="376" t="n"/>
      <c r="O443" s="376" t="n"/>
      <c r="P443" s="376" t="n"/>
      <c r="Q443" s="376" t="n"/>
      <c r="R443" s="376" t="n"/>
      <c r="S443" s="376" t="n"/>
      <c r="T443" s="376" t="n"/>
      <c r="U443" s="376" t="n"/>
      <c r="V443" s="376" t="n"/>
      <c r="W443" s="376" t="n"/>
      <c r="X443" s="376" t="n"/>
      <c r="Y443" s="376" t="n"/>
      <c r="Z443" s="375" t="n"/>
      <c r="AA443" s="375" t="n"/>
    </row>
    <row r="444" ht="27" customHeight="1">
      <c r="A444" s="54" t="inlineStr">
        <is>
          <t>SU003279</t>
        </is>
      </c>
      <c r="B444" s="54" t="inlineStr">
        <is>
          <t>P003773</t>
        </is>
      </c>
      <c r="C444" s="31" t="n">
        <v>4301170010</v>
      </c>
      <c r="D444" s="369" t="n">
        <v>4680115884090</v>
      </c>
      <c r="E444" s="370" t="n"/>
      <c r="F444" s="752" t="n">
        <v>0.11</v>
      </c>
      <c r="G444" s="32" t="n">
        <v>12</v>
      </c>
      <c r="H444" s="752" t="n">
        <v>1.32</v>
      </c>
      <c r="I444" s="752" t="n">
        <v>1.88</v>
      </c>
      <c r="J444" s="32" t="n">
        <v>200</v>
      </c>
      <c r="K444" s="32" t="inlineStr">
        <is>
          <t>10</t>
        </is>
      </c>
      <c r="L444" s="33" t="inlineStr">
        <is>
          <t>ДК</t>
        </is>
      </c>
      <c r="M444" s="33" t="n"/>
      <c r="N444" s="32" t="n">
        <v>150</v>
      </c>
      <c r="O444" s="43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4" s="372" t="n"/>
      <c r="Q444" s="372" t="n"/>
      <c r="R444" s="372" t="n"/>
      <c r="S444" s="370" t="n"/>
      <c r="T444" s="34" t="n"/>
      <c r="U444" s="34" t="n"/>
      <c r="V444" s="35" t="inlineStr">
        <is>
          <t>кг</t>
        </is>
      </c>
      <c r="W444" s="753" t="n">
        <v>0</v>
      </c>
      <c r="X444" s="754">
        <f>IFERROR(IF(W444="",0,CEILING((W444/$H444),1)*$H444),"")</f>
        <v/>
      </c>
      <c r="Y444" s="36">
        <f>IFERROR(IF(X444=0,"",ROUNDUP(X444/H444,0)*0.00627),"")</f>
        <v/>
      </c>
      <c r="Z444" s="56" t="n"/>
      <c r="AA444" s="57" t="n"/>
      <c r="AE444" s="58" t="n"/>
      <c r="BB444" s="311" t="inlineStr">
        <is>
          <t>КИ</t>
        </is>
      </c>
    </row>
    <row r="445">
      <c r="A445" s="396" t="n"/>
      <c r="B445" s="376" t="n"/>
      <c r="C445" s="376" t="n"/>
      <c r="D445" s="376" t="n"/>
      <c r="E445" s="376" t="n"/>
      <c r="F445" s="376" t="n"/>
      <c r="G445" s="376" t="n"/>
      <c r="H445" s="376" t="n"/>
      <c r="I445" s="376" t="n"/>
      <c r="J445" s="376" t="n"/>
      <c r="K445" s="376" t="n"/>
      <c r="L445" s="376" t="n"/>
      <c r="M445" s="376" t="n"/>
      <c r="N445" s="397" t="n"/>
      <c r="O445" s="391" t="inlineStr">
        <is>
          <t>Итого</t>
        </is>
      </c>
      <c r="P445" s="392" t="n"/>
      <c r="Q445" s="392" t="n"/>
      <c r="R445" s="392" t="n"/>
      <c r="S445" s="392" t="n"/>
      <c r="T445" s="392" t="n"/>
      <c r="U445" s="393" t="n"/>
      <c r="V445" s="37" t="inlineStr">
        <is>
          <t>кор</t>
        </is>
      </c>
      <c r="W445" s="755">
        <f>IFERROR(W444/H444,"0")</f>
        <v/>
      </c>
      <c r="X445" s="755">
        <f>IFERROR(X444/H444,"0")</f>
        <v/>
      </c>
      <c r="Y445" s="755">
        <f>IFERROR(IF(Y444="",0,Y444),"0")</f>
        <v/>
      </c>
      <c r="Z445" s="756" t="n"/>
      <c r="AA445" s="756" t="n"/>
    </row>
    <row r="446">
      <c r="A446" s="376" t="n"/>
      <c r="B446" s="376" t="n"/>
      <c r="C446" s="376" t="n"/>
      <c r="D446" s="376" t="n"/>
      <c r="E446" s="376" t="n"/>
      <c r="F446" s="376" t="n"/>
      <c r="G446" s="376" t="n"/>
      <c r="H446" s="376" t="n"/>
      <c r="I446" s="376" t="n"/>
      <c r="J446" s="376" t="n"/>
      <c r="K446" s="376" t="n"/>
      <c r="L446" s="376" t="n"/>
      <c r="M446" s="376" t="n"/>
      <c r="N446" s="397" t="n"/>
      <c r="O446" s="391" t="inlineStr">
        <is>
          <t>Итого</t>
        </is>
      </c>
      <c r="P446" s="392" t="n"/>
      <c r="Q446" s="392" t="n"/>
      <c r="R446" s="392" t="n"/>
      <c r="S446" s="392" t="n"/>
      <c r="T446" s="392" t="n"/>
      <c r="U446" s="393" t="n"/>
      <c r="V446" s="37" t="inlineStr">
        <is>
          <t>кг</t>
        </is>
      </c>
      <c r="W446" s="755">
        <f>IFERROR(SUM(W444:W444),"0")</f>
        <v/>
      </c>
      <c r="X446" s="755">
        <f>IFERROR(SUM(X444:X444),"0")</f>
        <v/>
      </c>
      <c r="Y446" s="37" t="n"/>
      <c r="Z446" s="756" t="n"/>
      <c r="AA446" s="756" t="n"/>
    </row>
    <row r="447" ht="14.25" customHeight="1">
      <c r="A447" s="375" t="inlineStr">
        <is>
          <t>Деликатесы</t>
        </is>
      </c>
      <c r="B447" s="376" t="n"/>
      <c r="C447" s="376" t="n"/>
      <c r="D447" s="376" t="n"/>
      <c r="E447" s="376" t="n"/>
      <c r="F447" s="376" t="n"/>
      <c r="G447" s="376" t="n"/>
      <c r="H447" s="376" t="n"/>
      <c r="I447" s="376" t="n"/>
      <c r="J447" s="376" t="n"/>
      <c r="K447" s="376" t="n"/>
      <c r="L447" s="376" t="n"/>
      <c r="M447" s="376" t="n"/>
      <c r="N447" s="376" t="n"/>
      <c r="O447" s="376" t="n"/>
      <c r="P447" s="376" t="n"/>
      <c r="Q447" s="376" t="n"/>
      <c r="R447" s="376" t="n"/>
      <c r="S447" s="376" t="n"/>
      <c r="T447" s="376" t="n"/>
      <c r="U447" s="376" t="n"/>
      <c r="V447" s="376" t="n"/>
      <c r="W447" s="376" t="n"/>
      <c r="X447" s="376" t="n"/>
      <c r="Y447" s="376" t="n"/>
      <c r="Z447" s="375" t="n"/>
      <c r="AA447" s="375" t="n"/>
    </row>
    <row r="448" ht="27" customHeight="1">
      <c r="A448" s="54" t="inlineStr">
        <is>
          <t>SU003314</t>
        </is>
      </c>
      <c r="B448" s="54" t="inlineStr">
        <is>
          <t>P004035</t>
        </is>
      </c>
      <c r="C448" s="31" t="n">
        <v>4301040357</v>
      </c>
      <c r="D448" s="369" t="n">
        <v>4680115884564</v>
      </c>
      <c r="E448" s="370" t="n"/>
      <c r="F448" s="752" t="n">
        <v>0.15</v>
      </c>
      <c r="G448" s="32" t="n">
        <v>20</v>
      </c>
      <c r="H448" s="752" t="n">
        <v>3</v>
      </c>
      <c r="I448" s="752" t="n">
        <v>3.6</v>
      </c>
      <c r="J448" s="32" t="n">
        <v>200</v>
      </c>
      <c r="K448" s="32" t="inlineStr">
        <is>
          <t>10</t>
        </is>
      </c>
      <c r="L448" s="33" t="inlineStr">
        <is>
          <t>ДК</t>
        </is>
      </c>
      <c r="M448" s="33" t="n"/>
      <c r="N448" s="32" t="n">
        <v>60</v>
      </c>
      <c r="O448" s="63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8" s="372" t="n"/>
      <c r="Q448" s="372" t="n"/>
      <c r="R448" s="372" t="n"/>
      <c r="S448" s="370" t="n"/>
      <c r="T448" s="34" t="n"/>
      <c r="U448" s="34" t="n"/>
      <c r="V448" s="35" t="inlineStr">
        <is>
          <t>кг</t>
        </is>
      </c>
      <c r="W448" s="753" t="n">
        <v>0</v>
      </c>
      <c r="X448" s="754">
        <f>IFERROR(IF(W448="",0,CEILING((W448/$H448),1)*$H448),"")</f>
        <v/>
      </c>
      <c r="Y448" s="36">
        <f>IFERROR(IF(X448=0,"",ROUNDUP(X448/H448,0)*0.00627),"")</f>
        <v/>
      </c>
      <c r="Z448" s="56" t="n"/>
      <c r="AA448" s="57" t="n"/>
      <c r="AE448" s="58" t="n"/>
      <c r="BB448" s="312" t="inlineStr">
        <is>
          <t>КИ</t>
        </is>
      </c>
    </row>
    <row r="449">
      <c r="A449" s="396" t="n"/>
      <c r="B449" s="376" t="n"/>
      <c r="C449" s="376" t="n"/>
      <c r="D449" s="376" t="n"/>
      <c r="E449" s="376" t="n"/>
      <c r="F449" s="376" t="n"/>
      <c r="G449" s="376" t="n"/>
      <c r="H449" s="376" t="n"/>
      <c r="I449" s="376" t="n"/>
      <c r="J449" s="376" t="n"/>
      <c r="K449" s="376" t="n"/>
      <c r="L449" s="376" t="n"/>
      <c r="M449" s="376" t="n"/>
      <c r="N449" s="397" t="n"/>
      <c r="O449" s="391" t="inlineStr">
        <is>
          <t>Итого</t>
        </is>
      </c>
      <c r="P449" s="392" t="n"/>
      <c r="Q449" s="392" t="n"/>
      <c r="R449" s="392" t="n"/>
      <c r="S449" s="392" t="n"/>
      <c r="T449" s="392" t="n"/>
      <c r="U449" s="393" t="n"/>
      <c r="V449" s="37" t="inlineStr">
        <is>
          <t>кор</t>
        </is>
      </c>
      <c r="W449" s="755">
        <f>IFERROR(W448/H448,"0")</f>
        <v/>
      </c>
      <c r="X449" s="755">
        <f>IFERROR(X448/H448,"0")</f>
        <v/>
      </c>
      <c r="Y449" s="755">
        <f>IFERROR(IF(Y448="",0,Y448),"0")</f>
        <v/>
      </c>
      <c r="Z449" s="756" t="n"/>
      <c r="AA449" s="756" t="n"/>
    </row>
    <row r="450">
      <c r="A450" s="376" t="n"/>
      <c r="B450" s="376" t="n"/>
      <c r="C450" s="376" t="n"/>
      <c r="D450" s="376" t="n"/>
      <c r="E450" s="376" t="n"/>
      <c r="F450" s="376" t="n"/>
      <c r="G450" s="376" t="n"/>
      <c r="H450" s="376" t="n"/>
      <c r="I450" s="376" t="n"/>
      <c r="J450" s="376" t="n"/>
      <c r="K450" s="376" t="n"/>
      <c r="L450" s="376" t="n"/>
      <c r="M450" s="376" t="n"/>
      <c r="N450" s="397" t="n"/>
      <c r="O450" s="391" t="inlineStr">
        <is>
          <t>Итого</t>
        </is>
      </c>
      <c r="P450" s="392" t="n"/>
      <c r="Q450" s="392" t="n"/>
      <c r="R450" s="392" t="n"/>
      <c r="S450" s="392" t="n"/>
      <c r="T450" s="392" t="n"/>
      <c r="U450" s="393" t="n"/>
      <c r="V450" s="37" t="inlineStr">
        <is>
          <t>кг</t>
        </is>
      </c>
      <c r="W450" s="755">
        <f>IFERROR(SUM(W448:W448),"0")</f>
        <v/>
      </c>
      <c r="X450" s="755">
        <f>IFERROR(SUM(X448:X448),"0")</f>
        <v/>
      </c>
      <c r="Y450" s="37" t="n"/>
      <c r="Z450" s="756" t="n"/>
      <c r="AA450" s="756" t="n"/>
    </row>
    <row r="451" ht="27.75" customHeight="1">
      <c r="A451" s="386" t="inlineStr">
        <is>
          <t>Дугушка</t>
        </is>
      </c>
      <c r="B451" s="387" t="n"/>
      <c r="C451" s="387" t="n"/>
      <c r="D451" s="387" t="n"/>
      <c r="E451" s="387" t="n"/>
      <c r="F451" s="387" t="n"/>
      <c r="G451" s="387" t="n"/>
      <c r="H451" s="387" t="n"/>
      <c r="I451" s="387" t="n"/>
      <c r="J451" s="387" t="n"/>
      <c r="K451" s="387" t="n"/>
      <c r="L451" s="387" t="n"/>
      <c r="M451" s="387" t="n"/>
      <c r="N451" s="387" t="n"/>
      <c r="O451" s="387" t="n"/>
      <c r="P451" s="387" t="n"/>
      <c r="Q451" s="387" t="n"/>
      <c r="R451" s="387" t="n"/>
      <c r="S451" s="387" t="n"/>
      <c r="T451" s="387" t="n"/>
      <c r="U451" s="387" t="n"/>
      <c r="V451" s="387" t="n"/>
      <c r="W451" s="387" t="n"/>
      <c r="X451" s="387" t="n"/>
      <c r="Y451" s="387" t="n"/>
      <c r="Z451" s="48" t="n"/>
      <c r="AA451" s="48" t="n"/>
    </row>
    <row r="452" ht="16.5" customHeight="1">
      <c r="A452" s="378" t="inlineStr">
        <is>
          <t>Дугушка</t>
        </is>
      </c>
      <c r="B452" s="376" t="n"/>
      <c r="C452" s="376" t="n"/>
      <c r="D452" s="376" t="n"/>
      <c r="E452" s="376" t="n"/>
      <c r="F452" s="376" t="n"/>
      <c r="G452" s="376" t="n"/>
      <c r="H452" s="376" t="n"/>
      <c r="I452" s="376" t="n"/>
      <c r="J452" s="376" t="n"/>
      <c r="K452" s="376" t="n"/>
      <c r="L452" s="376" t="n"/>
      <c r="M452" s="376" t="n"/>
      <c r="N452" s="376" t="n"/>
      <c r="O452" s="376" t="n"/>
      <c r="P452" s="376" t="n"/>
      <c r="Q452" s="376" t="n"/>
      <c r="R452" s="376" t="n"/>
      <c r="S452" s="376" t="n"/>
      <c r="T452" s="376" t="n"/>
      <c r="U452" s="376" t="n"/>
      <c r="V452" s="376" t="n"/>
      <c r="W452" s="376" t="n"/>
      <c r="X452" s="376" t="n"/>
      <c r="Y452" s="376" t="n"/>
      <c r="Z452" s="378" t="n"/>
      <c r="AA452" s="378" t="n"/>
    </row>
    <row r="453" ht="14.25" customHeight="1">
      <c r="A453" s="375" t="inlineStr">
        <is>
          <t>Вареные колбасы</t>
        </is>
      </c>
      <c r="B453" s="376" t="n"/>
      <c r="C453" s="376" t="n"/>
      <c r="D453" s="376" t="n"/>
      <c r="E453" s="376" t="n"/>
      <c r="F453" s="376" t="n"/>
      <c r="G453" s="376" t="n"/>
      <c r="H453" s="376" t="n"/>
      <c r="I453" s="376" t="n"/>
      <c r="J453" s="376" t="n"/>
      <c r="K453" s="376" t="n"/>
      <c r="L453" s="376" t="n"/>
      <c r="M453" s="376" t="n"/>
      <c r="N453" s="376" t="n"/>
      <c r="O453" s="376" t="n"/>
      <c r="P453" s="376" t="n"/>
      <c r="Q453" s="376" t="n"/>
      <c r="R453" s="376" t="n"/>
      <c r="S453" s="376" t="n"/>
      <c r="T453" s="376" t="n"/>
      <c r="U453" s="376" t="n"/>
      <c r="V453" s="376" t="n"/>
      <c r="W453" s="376" t="n"/>
      <c r="X453" s="376" t="n"/>
      <c r="Y453" s="376" t="n"/>
      <c r="Z453" s="375" t="n"/>
      <c r="AA453" s="375" t="n"/>
    </row>
    <row r="454" ht="27" customHeight="1">
      <c r="A454" s="54" t="inlineStr">
        <is>
          <t>SU002011</t>
        </is>
      </c>
      <c r="B454" s="54" t="inlineStr">
        <is>
          <t>P004028</t>
        </is>
      </c>
      <c r="C454" s="31" t="n">
        <v>4301011795</v>
      </c>
      <c r="D454" s="369" t="n">
        <v>4607091389067</v>
      </c>
      <c r="E454" s="370" t="n"/>
      <c r="F454" s="752" t="n">
        <v>0.88</v>
      </c>
      <c r="G454" s="32" t="n">
        <v>6</v>
      </c>
      <c r="H454" s="752" t="n">
        <v>5.28</v>
      </c>
      <c r="I454" s="752" t="n">
        <v>5.64</v>
      </c>
      <c r="J454" s="32" t="n">
        <v>104</v>
      </c>
      <c r="K454" s="32" t="inlineStr">
        <is>
          <t>8</t>
        </is>
      </c>
      <c r="L454" s="33" t="inlineStr">
        <is>
          <t>СК1</t>
        </is>
      </c>
      <c r="M454" s="33" t="n"/>
      <c r="N454" s="32" t="n">
        <v>60</v>
      </c>
      <c r="O454" s="41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4" s="372" t="n"/>
      <c r="Q454" s="372" t="n"/>
      <c r="R454" s="372" t="n"/>
      <c r="S454" s="370" t="n"/>
      <c r="T454" s="34" t="n"/>
      <c r="U454" s="34" t="n"/>
      <c r="V454" s="35" t="inlineStr">
        <is>
          <t>кг</t>
        </is>
      </c>
      <c r="W454" s="753" t="n">
        <v>0</v>
      </c>
      <c r="X454" s="754">
        <f>IFERROR(IF(W454="",0,CEILING((W454/$H454),1)*$H454),"")</f>
        <v/>
      </c>
      <c r="Y454" s="36">
        <f>IFERROR(IF(X454=0,"",ROUNDUP(X454/H454,0)*0.01196),"")</f>
        <v/>
      </c>
      <c r="Z454" s="56" t="n"/>
      <c r="AA454" s="57" t="n"/>
      <c r="AE454" s="58" t="n"/>
      <c r="BB454" s="313" t="inlineStr">
        <is>
          <t>КИ</t>
        </is>
      </c>
    </row>
    <row r="455" ht="27" customHeight="1">
      <c r="A455" s="54" t="inlineStr">
        <is>
          <t>SU002094</t>
        </is>
      </c>
      <c r="B455" s="54" t="inlineStr">
        <is>
          <t>P004044</t>
        </is>
      </c>
      <c r="C455" s="31" t="n">
        <v>4301011779</v>
      </c>
      <c r="D455" s="369" t="n">
        <v>4607091383522</v>
      </c>
      <c r="E455" s="370" t="n"/>
      <c r="F455" s="752" t="n">
        <v>0.88</v>
      </c>
      <c r="G455" s="32" t="n">
        <v>6</v>
      </c>
      <c r="H455" s="752" t="n">
        <v>5.28</v>
      </c>
      <c r="I455" s="752" t="n">
        <v>5.64</v>
      </c>
      <c r="J455" s="32" t="n">
        <v>104</v>
      </c>
      <c r="K455" s="32" t="inlineStr">
        <is>
          <t>8</t>
        </is>
      </c>
      <c r="L455" s="33" t="inlineStr">
        <is>
          <t>СК1</t>
        </is>
      </c>
      <c r="M455" s="33" t="n"/>
      <c r="N455" s="32" t="n">
        <v>60</v>
      </c>
      <c r="O455" s="454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55" s="372" t="n"/>
      <c r="Q455" s="372" t="n"/>
      <c r="R455" s="372" t="n"/>
      <c r="S455" s="370" t="n"/>
      <c r="T455" s="34" t="n"/>
      <c r="U455" s="34" t="n"/>
      <c r="V455" s="35" t="inlineStr">
        <is>
          <t>кг</t>
        </is>
      </c>
      <c r="W455" s="753" t="n">
        <v>0</v>
      </c>
      <c r="X455" s="754">
        <f>IFERROR(IF(W455="",0,CEILING((W455/$H455),1)*$H455),"")</f>
        <v/>
      </c>
      <c r="Y455" s="36">
        <f>IFERROR(IF(X455=0,"",ROUNDUP(X455/H455,0)*0.01196),"")</f>
        <v/>
      </c>
      <c r="Z455" s="56" t="n"/>
      <c r="AA455" s="57" t="n"/>
      <c r="AE455" s="58" t="n"/>
      <c r="BB455" s="314" t="inlineStr">
        <is>
          <t>КИ</t>
        </is>
      </c>
    </row>
    <row r="456" ht="27" customHeight="1">
      <c r="A456" s="54" t="inlineStr">
        <is>
          <t>SU002182</t>
        </is>
      </c>
      <c r="B456" s="54" t="inlineStr">
        <is>
          <t>P004049</t>
        </is>
      </c>
      <c r="C456" s="31" t="n">
        <v>4301011785</v>
      </c>
      <c r="D456" s="369" t="n">
        <v>4607091384437</v>
      </c>
      <c r="E456" s="370" t="n"/>
      <c r="F456" s="752" t="n">
        <v>0.88</v>
      </c>
      <c r="G456" s="32" t="n">
        <v>6</v>
      </c>
      <c r="H456" s="752" t="n">
        <v>5.28</v>
      </c>
      <c r="I456" s="752" t="n">
        <v>5.64</v>
      </c>
      <c r="J456" s="32" t="n">
        <v>104</v>
      </c>
      <c r="K456" s="32" t="inlineStr">
        <is>
          <t>8</t>
        </is>
      </c>
      <c r="L456" s="33" t="inlineStr">
        <is>
          <t>СК1</t>
        </is>
      </c>
      <c r="M456" s="33" t="n"/>
      <c r="N456" s="32" t="n">
        <v>60</v>
      </c>
      <c r="O456" s="550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56" s="372" t="n"/>
      <c r="Q456" s="372" t="n"/>
      <c r="R456" s="372" t="n"/>
      <c r="S456" s="370" t="n"/>
      <c r="T456" s="34" t="n"/>
      <c r="U456" s="34" t="n"/>
      <c r="V456" s="35" t="inlineStr">
        <is>
          <t>кг</t>
        </is>
      </c>
      <c r="W456" s="753" t="n">
        <v>0</v>
      </c>
      <c r="X456" s="754">
        <f>IFERROR(IF(W456="",0,CEILING((W456/$H456),1)*$H456),"")</f>
        <v/>
      </c>
      <c r="Y456" s="36">
        <f>IFERROR(IF(X456=0,"",ROUNDUP(X456/H456,0)*0.01196),"")</f>
        <v/>
      </c>
      <c r="Z456" s="56" t="n"/>
      <c r="AA456" s="57" t="n"/>
      <c r="AE456" s="58" t="n"/>
      <c r="BB456" s="315" t="inlineStr">
        <is>
          <t>КИ</t>
        </is>
      </c>
    </row>
    <row r="457" ht="16.5" customHeight="1">
      <c r="A457" s="54" t="inlineStr">
        <is>
          <t>SU002998</t>
        </is>
      </c>
      <c r="B457" s="54" t="inlineStr">
        <is>
          <t>P004033</t>
        </is>
      </c>
      <c r="C457" s="31" t="n">
        <v>4301011774</v>
      </c>
      <c r="D457" s="369" t="n">
        <v>4680115884502</v>
      </c>
      <c r="E457" s="370" t="n"/>
      <c r="F457" s="752" t="n">
        <v>0.88</v>
      </c>
      <c r="G457" s="32" t="n">
        <v>6</v>
      </c>
      <c r="H457" s="752" t="n">
        <v>5.28</v>
      </c>
      <c r="I457" s="752" t="n">
        <v>5.64</v>
      </c>
      <c r="J457" s="32" t="n">
        <v>104</v>
      </c>
      <c r="K457" s="32" t="inlineStr">
        <is>
          <t>8</t>
        </is>
      </c>
      <c r="L457" s="33" t="inlineStr">
        <is>
          <t>СК1</t>
        </is>
      </c>
      <c r="M457" s="33" t="n"/>
      <c r="N457" s="32" t="n">
        <v>60</v>
      </c>
      <c r="O457" s="457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57" s="372" t="n"/>
      <c r="Q457" s="372" t="n"/>
      <c r="R457" s="372" t="n"/>
      <c r="S457" s="370" t="n"/>
      <c r="T457" s="34" t="n"/>
      <c r="U457" s="34" t="n"/>
      <c r="V457" s="35" t="inlineStr">
        <is>
          <t>кг</t>
        </is>
      </c>
      <c r="W457" s="753" t="n">
        <v>0</v>
      </c>
      <c r="X457" s="754">
        <f>IFERROR(IF(W457="",0,CEILING((W457/$H457),1)*$H457),"")</f>
        <v/>
      </c>
      <c r="Y457" s="36">
        <f>IFERROR(IF(X457=0,"",ROUNDUP(X457/H457,0)*0.01196),"")</f>
        <v/>
      </c>
      <c r="Z457" s="56" t="n"/>
      <c r="AA457" s="57" t="n"/>
      <c r="AE457" s="58" t="n"/>
      <c r="BB457" s="316" t="inlineStr">
        <is>
          <t>КИ</t>
        </is>
      </c>
    </row>
    <row r="458" ht="27" customHeight="1">
      <c r="A458" s="54" t="inlineStr">
        <is>
          <t>SU002010</t>
        </is>
      </c>
      <c r="B458" s="54" t="inlineStr">
        <is>
          <t>P004030</t>
        </is>
      </c>
      <c r="C458" s="31" t="n">
        <v>4301011771</v>
      </c>
      <c r="D458" s="369" t="n">
        <v>4607091389104</v>
      </c>
      <c r="E458" s="370" t="n"/>
      <c r="F458" s="752" t="n">
        <v>0.88</v>
      </c>
      <c r="G458" s="32" t="n">
        <v>6</v>
      </c>
      <c r="H458" s="752" t="n">
        <v>5.28</v>
      </c>
      <c r="I458" s="752" t="n">
        <v>5.64</v>
      </c>
      <c r="J458" s="32" t="n">
        <v>104</v>
      </c>
      <c r="K458" s="32" t="inlineStr">
        <is>
          <t>8</t>
        </is>
      </c>
      <c r="L458" s="33" t="inlineStr">
        <is>
          <t>СК1</t>
        </is>
      </c>
      <c r="M458" s="33" t="n"/>
      <c r="N458" s="32" t="n">
        <v>60</v>
      </c>
      <c r="O458" s="495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58" s="372" t="n"/>
      <c r="Q458" s="372" t="n"/>
      <c r="R458" s="372" t="n"/>
      <c r="S458" s="370" t="n"/>
      <c r="T458" s="34" t="n"/>
      <c r="U458" s="34" t="n"/>
      <c r="V458" s="35" t="inlineStr">
        <is>
          <t>кг</t>
        </is>
      </c>
      <c r="W458" s="753" t="n">
        <v>0</v>
      </c>
      <c r="X458" s="754">
        <f>IFERROR(IF(W458="",0,CEILING((W458/$H458),1)*$H458),"")</f>
        <v/>
      </c>
      <c r="Y458" s="36">
        <f>IFERROR(IF(X458=0,"",ROUNDUP(X458/H458,0)*0.01196),"")</f>
        <v/>
      </c>
      <c r="Z458" s="56" t="n"/>
      <c r="AA458" s="57" t="n"/>
      <c r="AE458" s="58" t="n"/>
      <c r="BB458" s="317" t="inlineStr">
        <is>
          <t>КИ</t>
        </is>
      </c>
    </row>
    <row r="459" ht="16.5" customHeight="1">
      <c r="A459" s="54" t="inlineStr">
        <is>
          <t>SU002999</t>
        </is>
      </c>
      <c r="B459" s="54" t="inlineStr">
        <is>
          <t>P004045</t>
        </is>
      </c>
      <c r="C459" s="31" t="n">
        <v>4301011799</v>
      </c>
      <c r="D459" s="369" t="n">
        <v>4680115884519</v>
      </c>
      <c r="E459" s="370" t="n"/>
      <c r="F459" s="752" t="n">
        <v>0.88</v>
      </c>
      <c r="G459" s="32" t="n">
        <v>6</v>
      </c>
      <c r="H459" s="752" t="n">
        <v>5.28</v>
      </c>
      <c r="I459" s="752" t="n">
        <v>5.64</v>
      </c>
      <c r="J459" s="32" t="n">
        <v>104</v>
      </c>
      <c r="K459" s="32" t="inlineStr">
        <is>
          <t>8</t>
        </is>
      </c>
      <c r="L459" s="33" t="inlineStr">
        <is>
          <t>СК3</t>
        </is>
      </c>
      <c r="M459" s="33" t="n"/>
      <c r="N459" s="32" t="n">
        <v>60</v>
      </c>
      <c r="O459" s="64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59" s="372" t="n"/>
      <c r="Q459" s="372" t="n"/>
      <c r="R459" s="372" t="n"/>
      <c r="S459" s="370" t="n"/>
      <c r="T459" s="34" t="n"/>
      <c r="U459" s="34" t="n"/>
      <c r="V459" s="35" t="inlineStr">
        <is>
          <t>кг</t>
        </is>
      </c>
      <c r="W459" s="753" t="n">
        <v>0</v>
      </c>
      <c r="X459" s="754">
        <f>IFERROR(IF(W459="",0,CEILING((W459/$H459),1)*$H459),"")</f>
        <v/>
      </c>
      <c r="Y459" s="36">
        <f>IFERROR(IF(X459=0,"",ROUNDUP(X459/H459,0)*0.01196),"")</f>
        <v/>
      </c>
      <c r="Z459" s="56" t="n"/>
      <c r="AA459" s="57" t="n"/>
      <c r="AE459" s="58" t="n"/>
      <c r="BB459" s="318" t="inlineStr">
        <is>
          <t>КИ</t>
        </is>
      </c>
    </row>
    <row r="460" ht="27" customHeight="1">
      <c r="A460" s="54" t="inlineStr">
        <is>
          <t>SU002632</t>
        </is>
      </c>
      <c r="B460" s="54" t="inlineStr">
        <is>
          <t>P004043</t>
        </is>
      </c>
      <c r="C460" s="31" t="n">
        <v>4301011778</v>
      </c>
      <c r="D460" s="369" t="n">
        <v>4680115880603</v>
      </c>
      <c r="E460" s="370" t="n"/>
      <c r="F460" s="752" t="n">
        <v>0.6</v>
      </c>
      <c r="G460" s="32" t="n">
        <v>6</v>
      </c>
      <c r="H460" s="752" t="n">
        <v>3.6</v>
      </c>
      <c r="I460" s="752" t="n">
        <v>3.84</v>
      </c>
      <c r="J460" s="32" t="n">
        <v>120</v>
      </c>
      <c r="K460" s="32" t="inlineStr">
        <is>
          <t>12</t>
        </is>
      </c>
      <c r="L460" s="33" t="inlineStr">
        <is>
          <t>СК1</t>
        </is>
      </c>
      <c r="M460" s="33" t="n"/>
      <c r="N460" s="32" t="n">
        <v>60</v>
      </c>
      <c r="O460" s="67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0" s="372" t="n"/>
      <c r="Q460" s="372" t="n"/>
      <c r="R460" s="372" t="n"/>
      <c r="S460" s="370" t="n"/>
      <c r="T460" s="34" t="n"/>
      <c r="U460" s="34" t="n"/>
      <c r="V460" s="35" t="inlineStr">
        <is>
          <t>кг</t>
        </is>
      </c>
      <c r="W460" s="753" t="n">
        <v>0</v>
      </c>
      <c r="X460" s="754">
        <f>IFERROR(IF(W460="",0,CEILING((W460/$H460),1)*$H460),"")</f>
        <v/>
      </c>
      <c r="Y460" s="36">
        <f>IFERROR(IF(X460=0,"",ROUNDUP(X460/H460,0)*0.00937),"")</f>
        <v/>
      </c>
      <c r="Z460" s="56" t="n"/>
      <c r="AA460" s="57" t="n"/>
      <c r="AE460" s="58" t="n"/>
      <c r="BB460" s="319" t="inlineStr">
        <is>
          <t>КИ</t>
        </is>
      </c>
    </row>
    <row r="461" ht="27" customHeight="1">
      <c r="A461" s="54" t="inlineStr">
        <is>
          <t>SU002220</t>
        </is>
      </c>
      <c r="B461" s="54" t="inlineStr">
        <is>
          <t>P004034</t>
        </is>
      </c>
      <c r="C461" s="31" t="n">
        <v>4301011775</v>
      </c>
      <c r="D461" s="369" t="n">
        <v>4607091389999</v>
      </c>
      <c r="E461" s="370" t="n"/>
      <c r="F461" s="752" t="n">
        <v>0.6</v>
      </c>
      <c r="G461" s="32" t="n">
        <v>6</v>
      </c>
      <c r="H461" s="752" t="n">
        <v>3.6</v>
      </c>
      <c r="I461" s="752" t="n">
        <v>3.84</v>
      </c>
      <c r="J461" s="32" t="n">
        <v>120</v>
      </c>
      <c r="K461" s="32" t="inlineStr">
        <is>
          <t>12</t>
        </is>
      </c>
      <c r="L461" s="33" t="inlineStr">
        <is>
          <t>СК1</t>
        </is>
      </c>
      <c r="M461" s="33" t="n"/>
      <c r="N461" s="32" t="n">
        <v>60</v>
      </c>
      <c r="O461" s="651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1" s="372" t="n"/>
      <c r="Q461" s="372" t="n"/>
      <c r="R461" s="372" t="n"/>
      <c r="S461" s="370" t="n"/>
      <c r="T461" s="34" t="n"/>
      <c r="U461" s="34" t="n"/>
      <c r="V461" s="35" t="inlineStr">
        <is>
          <t>кг</t>
        </is>
      </c>
      <c r="W461" s="753" t="n">
        <v>0</v>
      </c>
      <c r="X461" s="754">
        <f>IFERROR(IF(W461="",0,CEILING((W461/$H461),1)*$H461),"")</f>
        <v/>
      </c>
      <c r="Y461" s="36">
        <f>IFERROR(IF(X461=0,"",ROUNDUP(X461/H461,0)*0.00937),"")</f>
        <v/>
      </c>
      <c r="Z461" s="56" t="n"/>
      <c r="AA461" s="57" t="n"/>
      <c r="AE461" s="58" t="n"/>
      <c r="BB461" s="320" t="inlineStr">
        <is>
          <t>КИ</t>
        </is>
      </c>
    </row>
    <row r="462" ht="27" customHeight="1">
      <c r="A462" s="54" t="inlineStr">
        <is>
          <t>SU002635</t>
        </is>
      </c>
      <c r="B462" s="54" t="inlineStr">
        <is>
          <t>P004029</t>
        </is>
      </c>
      <c r="C462" s="31" t="n">
        <v>4301011770</v>
      </c>
      <c r="D462" s="369" t="n">
        <v>4680115882782</v>
      </c>
      <c r="E462" s="370" t="n"/>
      <c r="F462" s="752" t="n">
        <v>0.6</v>
      </c>
      <c r="G462" s="32" t="n">
        <v>6</v>
      </c>
      <c r="H462" s="752" t="n">
        <v>3.6</v>
      </c>
      <c r="I462" s="752" t="n">
        <v>3.84</v>
      </c>
      <c r="J462" s="32" t="n">
        <v>120</v>
      </c>
      <c r="K462" s="32" t="inlineStr">
        <is>
          <t>12</t>
        </is>
      </c>
      <c r="L462" s="33" t="inlineStr">
        <is>
          <t>СК1</t>
        </is>
      </c>
      <c r="M462" s="33" t="n"/>
      <c r="N462" s="32" t="n">
        <v>60</v>
      </c>
      <c r="O462" s="683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2" s="372" t="n"/>
      <c r="Q462" s="372" t="n"/>
      <c r="R462" s="372" t="n"/>
      <c r="S462" s="370" t="n"/>
      <c r="T462" s="34" t="n"/>
      <c r="U462" s="34" t="n"/>
      <c r="V462" s="35" t="inlineStr">
        <is>
          <t>кг</t>
        </is>
      </c>
      <c r="W462" s="753" t="n">
        <v>0</v>
      </c>
      <c r="X462" s="754">
        <f>IFERROR(IF(W462="",0,CEILING((W462/$H462),1)*$H462),"")</f>
        <v/>
      </c>
      <c r="Y462" s="36">
        <f>IFERROR(IF(X462=0,"",ROUNDUP(X462/H462,0)*0.00937),"")</f>
        <v/>
      </c>
      <c r="Z462" s="56" t="n"/>
      <c r="AA462" s="57" t="n"/>
      <c r="AE462" s="58" t="n"/>
      <c r="BB462" s="321" t="inlineStr">
        <is>
          <t>КИ</t>
        </is>
      </c>
    </row>
    <row r="463" ht="27" customHeight="1">
      <c r="A463" s="54" t="inlineStr">
        <is>
          <t>SU002020</t>
        </is>
      </c>
      <c r="B463" s="54" t="inlineStr">
        <is>
          <t>P002308</t>
        </is>
      </c>
      <c r="C463" s="31" t="n">
        <v>4301011190</v>
      </c>
      <c r="D463" s="369" t="n">
        <v>4607091389098</v>
      </c>
      <c r="E463" s="370" t="n"/>
      <c r="F463" s="752" t="n">
        <v>0.4</v>
      </c>
      <c r="G463" s="32" t="n">
        <v>6</v>
      </c>
      <c r="H463" s="752" t="n">
        <v>2.4</v>
      </c>
      <c r="I463" s="752" t="n">
        <v>2.6</v>
      </c>
      <c r="J463" s="32" t="n">
        <v>156</v>
      </c>
      <c r="K463" s="32" t="inlineStr">
        <is>
          <t>12</t>
        </is>
      </c>
      <c r="L463" s="33" t="inlineStr">
        <is>
          <t>СК3</t>
        </is>
      </c>
      <c r="M463" s="33" t="n"/>
      <c r="N463" s="32" t="n">
        <v>50</v>
      </c>
      <c r="O463" s="48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3" s="372" t="n"/>
      <c r="Q463" s="372" t="n"/>
      <c r="R463" s="372" t="n"/>
      <c r="S463" s="370" t="n"/>
      <c r="T463" s="34" t="n"/>
      <c r="U463" s="34" t="n"/>
      <c r="V463" s="35" t="inlineStr">
        <is>
          <t>кг</t>
        </is>
      </c>
      <c r="W463" s="753" t="n">
        <v>0</v>
      </c>
      <c r="X463" s="754">
        <f>IFERROR(IF(W463="",0,CEILING((W463/$H463),1)*$H463),"")</f>
        <v/>
      </c>
      <c r="Y463" s="36">
        <f>IFERROR(IF(X463=0,"",ROUNDUP(X463/H463,0)*0.00753),"")</f>
        <v/>
      </c>
      <c r="Z463" s="56" t="n"/>
      <c r="AA463" s="57" t="n"/>
      <c r="AE463" s="58" t="n"/>
      <c r="BB463" s="322" t="inlineStr">
        <is>
          <t>КИ</t>
        </is>
      </c>
    </row>
    <row r="464" ht="27" customHeight="1">
      <c r="A464" s="54" t="inlineStr">
        <is>
          <t>SU002631</t>
        </is>
      </c>
      <c r="B464" s="54" t="inlineStr">
        <is>
          <t>P004048</t>
        </is>
      </c>
      <c r="C464" s="31" t="n">
        <v>4301011784</v>
      </c>
      <c r="D464" s="369" t="n">
        <v>4607091389982</v>
      </c>
      <c r="E464" s="370" t="n"/>
      <c r="F464" s="752" t="n">
        <v>0.6</v>
      </c>
      <c r="G464" s="32" t="n">
        <v>6</v>
      </c>
      <c r="H464" s="752" t="n">
        <v>3.6</v>
      </c>
      <c r="I464" s="752" t="n">
        <v>3.84</v>
      </c>
      <c r="J464" s="32" t="n">
        <v>120</v>
      </c>
      <c r="K464" s="32" t="inlineStr">
        <is>
          <t>12</t>
        </is>
      </c>
      <c r="L464" s="33" t="inlineStr">
        <is>
          <t>СК1</t>
        </is>
      </c>
      <c r="M464" s="33" t="n"/>
      <c r="N464" s="32" t="n">
        <v>60</v>
      </c>
      <c r="O464" s="53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64" s="372" t="n"/>
      <c r="Q464" s="372" t="n"/>
      <c r="R464" s="372" t="n"/>
      <c r="S464" s="370" t="n"/>
      <c r="T464" s="34" t="n"/>
      <c r="U464" s="34" t="n"/>
      <c r="V464" s="35" t="inlineStr">
        <is>
          <t>кг</t>
        </is>
      </c>
      <c r="W464" s="753" t="n">
        <v>0</v>
      </c>
      <c r="X464" s="754">
        <f>IFERROR(IF(W464="",0,CEILING((W464/$H464),1)*$H464),"")</f>
        <v/>
      </c>
      <c r="Y464" s="36">
        <f>IFERROR(IF(X464=0,"",ROUNDUP(X464/H464,0)*0.00937),"")</f>
        <v/>
      </c>
      <c r="Z464" s="56" t="n"/>
      <c r="AA464" s="57" t="n"/>
      <c r="AE464" s="58" t="n"/>
      <c r="BB464" s="323" t="inlineStr">
        <is>
          <t>КИ</t>
        </is>
      </c>
    </row>
    <row r="465">
      <c r="A465" s="396" t="n"/>
      <c r="B465" s="376" t="n"/>
      <c r="C465" s="376" t="n"/>
      <c r="D465" s="376" t="n"/>
      <c r="E465" s="376" t="n"/>
      <c r="F465" s="376" t="n"/>
      <c r="G465" s="376" t="n"/>
      <c r="H465" s="376" t="n"/>
      <c r="I465" s="376" t="n"/>
      <c r="J465" s="376" t="n"/>
      <c r="K465" s="376" t="n"/>
      <c r="L465" s="376" t="n"/>
      <c r="M465" s="376" t="n"/>
      <c r="N465" s="397" t="n"/>
      <c r="O465" s="391" t="inlineStr">
        <is>
          <t>Итого</t>
        </is>
      </c>
      <c r="P465" s="392" t="n"/>
      <c r="Q465" s="392" t="n"/>
      <c r="R465" s="392" t="n"/>
      <c r="S465" s="392" t="n"/>
      <c r="T465" s="392" t="n"/>
      <c r="U465" s="393" t="n"/>
      <c r="V465" s="37" t="inlineStr">
        <is>
          <t>кор</t>
        </is>
      </c>
      <c r="W465" s="755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/>
      </c>
      <c r="X465" s="755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/>
      </c>
      <c r="Y465" s="755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/>
      </c>
      <c r="Z465" s="756" t="n"/>
      <c r="AA465" s="756" t="n"/>
    </row>
    <row r="466">
      <c r="A466" s="376" t="n"/>
      <c r="B466" s="376" t="n"/>
      <c r="C466" s="376" t="n"/>
      <c r="D466" s="376" t="n"/>
      <c r="E466" s="376" t="n"/>
      <c r="F466" s="376" t="n"/>
      <c r="G466" s="376" t="n"/>
      <c r="H466" s="376" t="n"/>
      <c r="I466" s="376" t="n"/>
      <c r="J466" s="376" t="n"/>
      <c r="K466" s="376" t="n"/>
      <c r="L466" s="376" t="n"/>
      <c r="M466" s="376" t="n"/>
      <c r="N466" s="397" t="n"/>
      <c r="O466" s="391" t="inlineStr">
        <is>
          <t>Итого</t>
        </is>
      </c>
      <c r="P466" s="392" t="n"/>
      <c r="Q466" s="392" t="n"/>
      <c r="R466" s="392" t="n"/>
      <c r="S466" s="392" t="n"/>
      <c r="T466" s="392" t="n"/>
      <c r="U466" s="393" t="n"/>
      <c r="V466" s="37" t="inlineStr">
        <is>
          <t>кг</t>
        </is>
      </c>
      <c r="W466" s="755">
        <f>IFERROR(SUM(W454:W464),"0")</f>
        <v/>
      </c>
      <c r="X466" s="755">
        <f>IFERROR(SUM(X454:X464),"0")</f>
        <v/>
      </c>
      <c r="Y466" s="37" t="n"/>
      <c r="Z466" s="756" t="n"/>
      <c r="AA466" s="756" t="n"/>
    </row>
    <row r="467" ht="14.25" customHeight="1">
      <c r="A467" s="375" t="inlineStr">
        <is>
          <t>Ветчины</t>
        </is>
      </c>
      <c r="B467" s="376" t="n"/>
      <c r="C467" s="376" t="n"/>
      <c r="D467" s="376" t="n"/>
      <c r="E467" s="376" t="n"/>
      <c r="F467" s="376" t="n"/>
      <c r="G467" s="376" t="n"/>
      <c r="H467" s="376" t="n"/>
      <c r="I467" s="376" t="n"/>
      <c r="J467" s="376" t="n"/>
      <c r="K467" s="376" t="n"/>
      <c r="L467" s="376" t="n"/>
      <c r="M467" s="376" t="n"/>
      <c r="N467" s="376" t="n"/>
      <c r="O467" s="376" t="n"/>
      <c r="P467" s="376" t="n"/>
      <c r="Q467" s="376" t="n"/>
      <c r="R467" s="376" t="n"/>
      <c r="S467" s="376" t="n"/>
      <c r="T467" s="376" t="n"/>
      <c r="U467" s="376" t="n"/>
      <c r="V467" s="376" t="n"/>
      <c r="W467" s="376" t="n"/>
      <c r="X467" s="376" t="n"/>
      <c r="Y467" s="376" t="n"/>
      <c r="Z467" s="375" t="n"/>
      <c r="AA467" s="375" t="n"/>
    </row>
    <row r="468" ht="16.5" customHeight="1">
      <c r="A468" s="54" t="inlineStr">
        <is>
          <t>SU002035</t>
        </is>
      </c>
      <c r="B468" s="54" t="inlineStr">
        <is>
          <t>P003146</t>
        </is>
      </c>
      <c r="C468" s="31" t="n">
        <v>4301020222</v>
      </c>
      <c r="D468" s="369" t="n">
        <v>4607091388930</v>
      </c>
      <c r="E468" s="370" t="n"/>
      <c r="F468" s="752" t="n">
        <v>0.88</v>
      </c>
      <c r="G468" s="32" t="n">
        <v>6</v>
      </c>
      <c r="H468" s="752" t="n">
        <v>5.28</v>
      </c>
      <c r="I468" s="752" t="n">
        <v>5.64</v>
      </c>
      <c r="J468" s="32" t="n">
        <v>104</v>
      </c>
      <c r="K468" s="32" t="inlineStr">
        <is>
          <t>8</t>
        </is>
      </c>
      <c r="L468" s="33" t="inlineStr">
        <is>
          <t>СК1</t>
        </is>
      </c>
      <c r="M468" s="33" t="n"/>
      <c r="N468" s="32" t="n">
        <v>55</v>
      </c>
      <c r="O468" s="471">
        <f>HYPERLINK("https://abi.ru/products/Охлажденные/Дугушка/Дугушка/Ветчины/P003146/","Ветчины Дугушка Дугушка Вес б/о Дугушка")</f>
        <v/>
      </c>
      <c r="P468" s="372" t="n"/>
      <c r="Q468" s="372" t="n"/>
      <c r="R468" s="372" t="n"/>
      <c r="S468" s="370" t="n"/>
      <c r="T468" s="34" t="n"/>
      <c r="U468" s="34" t="n"/>
      <c r="V468" s="35" t="inlineStr">
        <is>
          <t>кг</t>
        </is>
      </c>
      <c r="W468" s="753" t="n">
        <v>0</v>
      </c>
      <c r="X468" s="754">
        <f>IFERROR(IF(W468="",0,CEILING((W468/$H468),1)*$H468),"")</f>
        <v/>
      </c>
      <c r="Y468" s="36">
        <f>IFERROR(IF(X468=0,"",ROUNDUP(X468/H468,0)*0.01196),"")</f>
        <v/>
      </c>
      <c r="Z468" s="56" t="n"/>
      <c r="AA468" s="57" t="n"/>
      <c r="AE468" s="58" t="n"/>
      <c r="BB468" s="324" t="inlineStr">
        <is>
          <t>КИ</t>
        </is>
      </c>
    </row>
    <row r="469" ht="16.5" customHeight="1">
      <c r="A469" s="54" t="inlineStr">
        <is>
          <t>SU002643</t>
        </is>
      </c>
      <c r="B469" s="54" t="inlineStr">
        <is>
          <t>P002993</t>
        </is>
      </c>
      <c r="C469" s="31" t="n">
        <v>4301020206</v>
      </c>
      <c r="D469" s="369" t="n">
        <v>4680115880054</v>
      </c>
      <c r="E469" s="370" t="n"/>
      <c r="F469" s="752" t="n">
        <v>0.6</v>
      </c>
      <c r="G469" s="32" t="n">
        <v>6</v>
      </c>
      <c r="H469" s="752" t="n">
        <v>3.6</v>
      </c>
      <c r="I469" s="752" t="n">
        <v>3.84</v>
      </c>
      <c r="J469" s="32" t="n">
        <v>120</v>
      </c>
      <c r="K469" s="32" t="inlineStr">
        <is>
          <t>12</t>
        </is>
      </c>
      <c r="L469" s="33" t="inlineStr">
        <is>
          <t>СК1</t>
        </is>
      </c>
      <c r="M469" s="33" t="n"/>
      <c r="N469" s="32" t="n">
        <v>55</v>
      </c>
      <c r="O469" s="565">
        <f>HYPERLINK("https://abi.ru/products/Охлажденные/Дугушка/Дугушка/Ветчины/P002993/","Ветчины «Дугушка» Фикс.вес 0,6 П/а ТМ «Дугушка»")</f>
        <v/>
      </c>
      <c r="P469" s="372" t="n"/>
      <c r="Q469" s="372" t="n"/>
      <c r="R469" s="372" t="n"/>
      <c r="S469" s="370" t="n"/>
      <c r="T469" s="34" t="n"/>
      <c r="U469" s="34" t="n"/>
      <c r="V469" s="35" t="inlineStr">
        <is>
          <t>кг</t>
        </is>
      </c>
      <c r="W469" s="753" t="n">
        <v>0</v>
      </c>
      <c r="X469" s="754">
        <f>IFERROR(IF(W469="",0,CEILING((W469/$H469),1)*$H469),"")</f>
        <v/>
      </c>
      <c r="Y469" s="36">
        <f>IFERROR(IF(X469=0,"",ROUNDUP(X469/H469,0)*0.00937),"")</f>
        <v/>
      </c>
      <c r="Z469" s="56" t="n"/>
      <c r="AA469" s="57" t="n"/>
      <c r="AE469" s="58" t="n"/>
      <c r="BB469" s="325" t="inlineStr">
        <is>
          <t>КИ</t>
        </is>
      </c>
    </row>
    <row r="470">
      <c r="A470" s="396" t="n"/>
      <c r="B470" s="376" t="n"/>
      <c r="C470" s="376" t="n"/>
      <c r="D470" s="376" t="n"/>
      <c r="E470" s="376" t="n"/>
      <c r="F470" s="376" t="n"/>
      <c r="G470" s="376" t="n"/>
      <c r="H470" s="376" t="n"/>
      <c r="I470" s="376" t="n"/>
      <c r="J470" s="376" t="n"/>
      <c r="K470" s="376" t="n"/>
      <c r="L470" s="376" t="n"/>
      <c r="M470" s="376" t="n"/>
      <c r="N470" s="397" t="n"/>
      <c r="O470" s="391" t="inlineStr">
        <is>
          <t>Итого</t>
        </is>
      </c>
      <c r="P470" s="392" t="n"/>
      <c r="Q470" s="392" t="n"/>
      <c r="R470" s="392" t="n"/>
      <c r="S470" s="392" t="n"/>
      <c r="T470" s="392" t="n"/>
      <c r="U470" s="393" t="n"/>
      <c r="V470" s="37" t="inlineStr">
        <is>
          <t>кор</t>
        </is>
      </c>
      <c r="W470" s="755">
        <f>IFERROR(W468/H468,"0")+IFERROR(W469/H469,"0")</f>
        <v/>
      </c>
      <c r="X470" s="755">
        <f>IFERROR(X468/H468,"0")+IFERROR(X469/H469,"0")</f>
        <v/>
      </c>
      <c r="Y470" s="755">
        <f>IFERROR(IF(Y468="",0,Y468),"0")+IFERROR(IF(Y469="",0,Y469),"0")</f>
        <v/>
      </c>
      <c r="Z470" s="756" t="n"/>
      <c r="AA470" s="756" t="n"/>
    </row>
    <row r="471">
      <c r="A471" s="376" t="n"/>
      <c r="B471" s="376" t="n"/>
      <c r="C471" s="376" t="n"/>
      <c r="D471" s="376" t="n"/>
      <c r="E471" s="376" t="n"/>
      <c r="F471" s="376" t="n"/>
      <c r="G471" s="376" t="n"/>
      <c r="H471" s="376" t="n"/>
      <c r="I471" s="376" t="n"/>
      <c r="J471" s="376" t="n"/>
      <c r="K471" s="376" t="n"/>
      <c r="L471" s="376" t="n"/>
      <c r="M471" s="376" t="n"/>
      <c r="N471" s="397" t="n"/>
      <c r="O471" s="391" t="inlineStr">
        <is>
          <t>Итого</t>
        </is>
      </c>
      <c r="P471" s="392" t="n"/>
      <c r="Q471" s="392" t="n"/>
      <c r="R471" s="392" t="n"/>
      <c r="S471" s="392" t="n"/>
      <c r="T471" s="392" t="n"/>
      <c r="U471" s="393" t="n"/>
      <c r="V471" s="37" t="inlineStr">
        <is>
          <t>кг</t>
        </is>
      </c>
      <c r="W471" s="755">
        <f>IFERROR(SUM(W468:W469),"0")</f>
        <v/>
      </c>
      <c r="X471" s="755">
        <f>IFERROR(SUM(X468:X469),"0")</f>
        <v/>
      </c>
      <c r="Y471" s="37" t="n"/>
      <c r="Z471" s="756" t="n"/>
      <c r="AA471" s="756" t="n"/>
    </row>
    <row r="472" ht="14.25" customHeight="1">
      <c r="A472" s="375" t="inlineStr">
        <is>
          <t>Копченые колбасы</t>
        </is>
      </c>
      <c r="B472" s="376" t="n"/>
      <c r="C472" s="376" t="n"/>
      <c r="D472" s="376" t="n"/>
      <c r="E472" s="376" t="n"/>
      <c r="F472" s="376" t="n"/>
      <c r="G472" s="376" t="n"/>
      <c r="H472" s="376" t="n"/>
      <c r="I472" s="376" t="n"/>
      <c r="J472" s="376" t="n"/>
      <c r="K472" s="376" t="n"/>
      <c r="L472" s="376" t="n"/>
      <c r="M472" s="376" t="n"/>
      <c r="N472" s="376" t="n"/>
      <c r="O472" s="376" t="n"/>
      <c r="P472" s="376" t="n"/>
      <c r="Q472" s="376" t="n"/>
      <c r="R472" s="376" t="n"/>
      <c r="S472" s="376" t="n"/>
      <c r="T472" s="376" t="n"/>
      <c r="U472" s="376" t="n"/>
      <c r="V472" s="376" t="n"/>
      <c r="W472" s="376" t="n"/>
      <c r="X472" s="376" t="n"/>
      <c r="Y472" s="376" t="n"/>
      <c r="Z472" s="375" t="n"/>
      <c r="AA472" s="375" t="n"/>
    </row>
    <row r="473" ht="27" customHeight="1">
      <c r="A473" s="54" t="inlineStr">
        <is>
          <t>SU002150</t>
        </is>
      </c>
      <c r="B473" s="54" t="inlineStr">
        <is>
          <t>P003636</t>
        </is>
      </c>
      <c r="C473" s="31" t="n">
        <v>4301031252</v>
      </c>
      <c r="D473" s="369" t="n">
        <v>4680115883116</v>
      </c>
      <c r="E473" s="370" t="n"/>
      <c r="F473" s="752" t="n">
        <v>0.88</v>
      </c>
      <c r="G473" s="32" t="n">
        <v>6</v>
      </c>
      <c r="H473" s="752" t="n">
        <v>5.28</v>
      </c>
      <c r="I473" s="752" t="n">
        <v>5.64</v>
      </c>
      <c r="J473" s="32" t="n">
        <v>104</v>
      </c>
      <c r="K473" s="32" t="inlineStr">
        <is>
          <t>8</t>
        </is>
      </c>
      <c r="L473" s="33" t="inlineStr">
        <is>
          <t>СК1</t>
        </is>
      </c>
      <c r="M473" s="33" t="n"/>
      <c r="N473" s="32" t="n">
        <v>60</v>
      </c>
      <c r="O473" s="4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3" s="372" t="n"/>
      <c r="Q473" s="372" t="n"/>
      <c r="R473" s="372" t="n"/>
      <c r="S473" s="370" t="n"/>
      <c r="T473" s="34" t="n"/>
      <c r="U473" s="34" t="n"/>
      <c r="V473" s="35" t="inlineStr">
        <is>
          <t>кг</t>
        </is>
      </c>
      <c r="W473" s="753" t="n">
        <v>300</v>
      </c>
      <c r="X473" s="754">
        <f>IFERROR(IF(W473="",0,CEILING((W473/$H473),1)*$H473),"")</f>
        <v/>
      </c>
      <c r="Y473" s="36">
        <f>IFERROR(IF(X473=0,"",ROUNDUP(X473/H473,0)*0.01196),"")</f>
        <v/>
      </c>
      <c r="Z473" s="56" t="n"/>
      <c r="AA473" s="57" t="n"/>
      <c r="AE473" s="58" t="n"/>
      <c r="BB473" s="326" t="inlineStr">
        <is>
          <t>КИ</t>
        </is>
      </c>
    </row>
    <row r="474" ht="27" customHeight="1">
      <c r="A474" s="54" t="inlineStr">
        <is>
          <t>SU002158</t>
        </is>
      </c>
      <c r="B474" s="54" t="inlineStr">
        <is>
          <t>P003632</t>
        </is>
      </c>
      <c r="C474" s="31" t="n">
        <v>4301031248</v>
      </c>
      <c r="D474" s="369" t="n">
        <v>4680115883093</v>
      </c>
      <c r="E474" s="370" t="n"/>
      <c r="F474" s="752" t="n">
        <v>0.88</v>
      </c>
      <c r="G474" s="32" t="n">
        <v>6</v>
      </c>
      <c r="H474" s="752" t="n">
        <v>5.28</v>
      </c>
      <c r="I474" s="752" t="n">
        <v>5.64</v>
      </c>
      <c r="J474" s="32" t="n">
        <v>104</v>
      </c>
      <c r="K474" s="32" t="inlineStr">
        <is>
          <t>8</t>
        </is>
      </c>
      <c r="L474" s="33" t="inlineStr">
        <is>
          <t>СК2</t>
        </is>
      </c>
      <c r="M474" s="33" t="n"/>
      <c r="N474" s="32" t="n">
        <v>60</v>
      </c>
      <c r="O474" s="66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74" s="372" t="n"/>
      <c r="Q474" s="372" t="n"/>
      <c r="R474" s="372" t="n"/>
      <c r="S474" s="370" t="n"/>
      <c r="T474" s="34" t="n"/>
      <c r="U474" s="34" t="n"/>
      <c r="V474" s="35" t="inlineStr">
        <is>
          <t>кг</t>
        </is>
      </c>
      <c r="W474" s="753" t="n">
        <v>0</v>
      </c>
      <c r="X474" s="754">
        <f>IFERROR(IF(W474="",0,CEILING((W474/$H474),1)*$H474),"")</f>
        <v/>
      </c>
      <c r="Y474" s="36">
        <f>IFERROR(IF(X474=0,"",ROUNDUP(X474/H474,0)*0.01196),"")</f>
        <v/>
      </c>
      <c r="Z474" s="56" t="n"/>
      <c r="AA474" s="57" t="n"/>
      <c r="AE474" s="58" t="n"/>
      <c r="BB474" s="327" t="inlineStr">
        <is>
          <t>КИ</t>
        </is>
      </c>
    </row>
    <row r="475" ht="27" customHeight="1">
      <c r="A475" s="54" t="inlineStr">
        <is>
          <t>SU002151</t>
        </is>
      </c>
      <c r="B475" s="54" t="inlineStr">
        <is>
          <t>P003634</t>
        </is>
      </c>
      <c r="C475" s="31" t="n">
        <v>4301031250</v>
      </c>
      <c r="D475" s="369" t="n">
        <v>4680115883109</v>
      </c>
      <c r="E475" s="370" t="n"/>
      <c r="F475" s="752" t="n">
        <v>0.88</v>
      </c>
      <c r="G475" s="32" t="n">
        <v>6</v>
      </c>
      <c r="H475" s="752" t="n">
        <v>5.28</v>
      </c>
      <c r="I475" s="752" t="n">
        <v>5.64</v>
      </c>
      <c r="J475" s="32" t="n">
        <v>104</v>
      </c>
      <c r="K475" s="32" t="inlineStr">
        <is>
          <t>8</t>
        </is>
      </c>
      <c r="L475" s="33" t="inlineStr">
        <is>
          <t>СК2</t>
        </is>
      </c>
      <c r="M475" s="33" t="n"/>
      <c r="N475" s="32" t="n">
        <v>60</v>
      </c>
      <c r="O475" s="68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75" s="372" t="n"/>
      <c r="Q475" s="372" t="n"/>
      <c r="R475" s="372" t="n"/>
      <c r="S475" s="370" t="n"/>
      <c r="T475" s="34" t="n"/>
      <c r="U475" s="34" t="n"/>
      <c r="V475" s="35" t="inlineStr">
        <is>
          <t>кг</t>
        </is>
      </c>
      <c r="W475" s="753" t="n">
        <v>0</v>
      </c>
      <c r="X475" s="754">
        <f>IFERROR(IF(W475="",0,CEILING((W475/$H475),1)*$H475),"")</f>
        <v/>
      </c>
      <c r="Y475" s="36">
        <f>IFERROR(IF(X475=0,"",ROUNDUP(X475/H475,0)*0.01196),"")</f>
        <v/>
      </c>
      <c r="Z475" s="56" t="n"/>
      <c r="AA475" s="57" t="n"/>
      <c r="AE475" s="58" t="n"/>
      <c r="BB475" s="328" t="inlineStr">
        <is>
          <t>КИ</t>
        </is>
      </c>
    </row>
    <row r="476" ht="27" customHeight="1">
      <c r="A476" s="54" t="inlineStr">
        <is>
          <t>SU002916</t>
        </is>
      </c>
      <c r="B476" s="54" t="inlineStr">
        <is>
          <t>P003633</t>
        </is>
      </c>
      <c r="C476" s="31" t="n">
        <v>4301031249</v>
      </c>
      <c r="D476" s="369" t="n">
        <v>4680115882072</v>
      </c>
      <c r="E476" s="370" t="n"/>
      <c r="F476" s="752" t="n">
        <v>0.6</v>
      </c>
      <c r="G476" s="32" t="n">
        <v>6</v>
      </c>
      <c r="H476" s="752" t="n">
        <v>3.6</v>
      </c>
      <c r="I476" s="752" t="n">
        <v>3.84</v>
      </c>
      <c r="J476" s="32" t="n">
        <v>120</v>
      </c>
      <c r="K476" s="32" t="inlineStr">
        <is>
          <t>12</t>
        </is>
      </c>
      <c r="L476" s="33" t="inlineStr">
        <is>
          <t>СК1</t>
        </is>
      </c>
      <c r="M476" s="33" t="n"/>
      <c r="N476" s="32" t="n">
        <v>60</v>
      </c>
      <c r="O476" s="51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76" s="372" t="n"/>
      <c r="Q476" s="372" t="n"/>
      <c r="R476" s="372" t="n"/>
      <c r="S476" s="370" t="n"/>
      <c r="T476" s="34" t="n"/>
      <c r="U476" s="34" t="n"/>
      <c r="V476" s="35" t="inlineStr">
        <is>
          <t>кг</t>
        </is>
      </c>
      <c r="W476" s="753" t="n">
        <v>0</v>
      </c>
      <c r="X476" s="754">
        <f>IFERROR(IF(W476="",0,CEILING((W476/$H476),1)*$H476),"")</f>
        <v/>
      </c>
      <c r="Y476" s="36">
        <f>IFERROR(IF(X476=0,"",ROUNDUP(X476/H476,0)*0.00937),"")</f>
        <v/>
      </c>
      <c r="Z476" s="56" t="n"/>
      <c r="AA476" s="57" t="n"/>
      <c r="AE476" s="58" t="n"/>
      <c r="BB476" s="329" t="inlineStr">
        <is>
          <t>КИ</t>
        </is>
      </c>
    </row>
    <row r="477" ht="27" customHeight="1">
      <c r="A477" s="54" t="inlineStr">
        <is>
          <t>SU002919</t>
        </is>
      </c>
      <c r="B477" s="54" t="inlineStr">
        <is>
          <t>P003635</t>
        </is>
      </c>
      <c r="C477" s="31" t="n">
        <v>4301031251</v>
      </c>
      <c r="D477" s="369" t="n">
        <v>4680115882102</v>
      </c>
      <c r="E477" s="370" t="n"/>
      <c r="F477" s="752" t="n">
        <v>0.6</v>
      </c>
      <c r="G477" s="32" t="n">
        <v>6</v>
      </c>
      <c r="H477" s="752" t="n">
        <v>3.6</v>
      </c>
      <c r="I477" s="752" t="n">
        <v>3.81</v>
      </c>
      <c r="J477" s="32" t="n">
        <v>120</v>
      </c>
      <c r="K477" s="32" t="inlineStr">
        <is>
          <t>12</t>
        </is>
      </c>
      <c r="L477" s="33" t="inlineStr">
        <is>
          <t>СК2</t>
        </is>
      </c>
      <c r="M477" s="33" t="n"/>
      <c r="N477" s="32" t="n">
        <v>60</v>
      </c>
      <c r="O477" s="595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77" s="372" t="n"/>
      <c r="Q477" s="372" t="n"/>
      <c r="R477" s="372" t="n"/>
      <c r="S477" s="370" t="n"/>
      <c r="T477" s="34" t="n"/>
      <c r="U477" s="34" t="n"/>
      <c r="V477" s="35" t="inlineStr">
        <is>
          <t>кг</t>
        </is>
      </c>
      <c r="W477" s="753" t="n">
        <v>0</v>
      </c>
      <c r="X477" s="754">
        <f>IFERROR(IF(W477="",0,CEILING((W477/$H477),1)*$H477),"")</f>
        <v/>
      </c>
      <c r="Y477" s="36">
        <f>IFERROR(IF(X477=0,"",ROUNDUP(X477/H477,0)*0.00937),"")</f>
        <v/>
      </c>
      <c r="Z477" s="56" t="n"/>
      <c r="AA477" s="57" t="n"/>
      <c r="AE477" s="58" t="n"/>
      <c r="BB477" s="330" t="inlineStr">
        <is>
          <t>КИ</t>
        </is>
      </c>
    </row>
    <row r="478" ht="27" customHeight="1">
      <c r="A478" s="54" t="inlineStr">
        <is>
          <t>SU002918</t>
        </is>
      </c>
      <c r="B478" s="54" t="inlineStr">
        <is>
          <t>P003637</t>
        </is>
      </c>
      <c r="C478" s="31" t="n">
        <v>4301031253</v>
      </c>
      <c r="D478" s="369" t="n">
        <v>4680115882096</v>
      </c>
      <c r="E478" s="370" t="n"/>
      <c r="F478" s="752" t="n">
        <v>0.6</v>
      </c>
      <c r="G478" s="32" t="n">
        <v>6</v>
      </c>
      <c r="H478" s="752" t="n">
        <v>3.6</v>
      </c>
      <c r="I478" s="752" t="n">
        <v>3.81</v>
      </c>
      <c r="J478" s="32" t="n">
        <v>120</v>
      </c>
      <c r="K478" s="32" t="inlineStr">
        <is>
          <t>12</t>
        </is>
      </c>
      <c r="L478" s="33" t="inlineStr">
        <is>
          <t>СК2</t>
        </is>
      </c>
      <c r="M478" s="33" t="n"/>
      <c r="N478" s="32" t="n">
        <v>60</v>
      </c>
      <c r="O478" s="51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78" s="372" t="n"/>
      <c r="Q478" s="372" t="n"/>
      <c r="R478" s="372" t="n"/>
      <c r="S478" s="370" t="n"/>
      <c r="T478" s="34" t="n"/>
      <c r="U478" s="34" t="n"/>
      <c r="V478" s="35" t="inlineStr">
        <is>
          <t>кг</t>
        </is>
      </c>
      <c r="W478" s="753" t="n">
        <v>0</v>
      </c>
      <c r="X478" s="754">
        <f>IFERROR(IF(W478="",0,CEILING((W478/$H478),1)*$H478),"")</f>
        <v/>
      </c>
      <c r="Y478" s="36">
        <f>IFERROR(IF(X478=0,"",ROUNDUP(X478/H478,0)*0.00937),"")</f>
        <v/>
      </c>
      <c r="Z478" s="56" t="n"/>
      <c r="AA478" s="57" t="n"/>
      <c r="AE478" s="58" t="n"/>
      <c r="BB478" s="331" t="inlineStr">
        <is>
          <t>КИ</t>
        </is>
      </c>
    </row>
    <row r="479">
      <c r="A479" s="396" t="n"/>
      <c r="B479" s="376" t="n"/>
      <c r="C479" s="376" t="n"/>
      <c r="D479" s="376" t="n"/>
      <c r="E479" s="376" t="n"/>
      <c r="F479" s="376" t="n"/>
      <c r="G479" s="376" t="n"/>
      <c r="H479" s="376" t="n"/>
      <c r="I479" s="376" t="n"/>
      <c r="J479" s="376" t="n"/>
      <c r="K479" s="376" t="n"/>
      <c r="L479" s="376" t="n"/>
      <c r="M479" s="376" t="n"/>
      <c r="N479" s="397" t="n"/>
      <c r="O479" s="391" t="inlineStr">
        <is>
          <t>Итого</t>
        </is>
      </c>
      <c r="P479" s="392" t="n"/>
      <c r="Q479" s="392" t="n"/>
      <c r="R479" s="392" t="n"/>
      <c r="S479" s="392" t="n"/>
      <c r="T479" s="392" t="n"/>
      <c r="U479" s="393" t="n"/>
      <c r="V479" s="37" t="inlineStr">
        <is>
          <t>кор</t>
        </is>
      </c>
      <c r="W479" s="755">
        <f>IFERROR(W473/H473,"0")+IFERROR(W474/H474,"0")+IFERROR(W475/H475,"0")+IFERROR(W476/H476,"0")+IFERROR(W477/H477,"0")+IFERROR(W478/H478,"0")</f>
        <v/>
      </c>
      <c r="X479" s="755">
        <f>IFERROR(X473/H473,"0")+IFERROR(X474/H474,"0")+IFERROR(X475/H475,"0")+IFERROR(X476/H476,"0")+IFERROR(X477/H477,"0")+IFERROR(X478/H478,"0")</f>
        <v/>
      </c>
      <c r="Y479" s="755">
        <f>IFERROR(IF(Y473="",0,Y473),"0")+IFERROR(IF(Y474="",0,Y474),"0")+IFERROR(IF(Y475="",0,Y475),"0")+IFERROR(IF(Y476="",0,Y476),"0")+IFERROR(IF(Y477="",0,Y477),"0")+IFERROR(IF(Y478="",0,Y478),"0")</f>
        <v/>
      </c>
      <c r="Z479" s="756" t="n"/>
      <c r="AA479" s="756" t="n"/>
    </row>
    <row r="480">
      <c r="A480" s="376" t="n"/>
      <c r="B480" s="376" t="n"/>
      <c r="C480" s="376" t="n"/>
      <c r="D480" s="376" t="n"/>
      <c r="E480" s="376" t="n"/>
      <c r="F480" s="376" t="n"/>
      <c r="G480" s="376" t="n"/>
      <c r="H480" s="376" t="n"/>
      <c r="I480" s="376" t="n"/>
      <c r="J480" s="376" t="n"/>
      <c r="K480" s="376" t="n"/>
      <c r="L480" s="376" t="n"/>
      <c r="M480" s="376" t="n"/>
      <c r="N480" s="397" t="n"/>
      <c r="O480" s="391" t="inlineStr">
        <is>
          <t>Итого</t>
        </is>
      </c>
      <c r="P480" s="392" t="n"/>
      <c r="Q480" s="392" t="n"/>
      <c r="R480" s="392" t="n"/>
      <c r="S480" s="392" t="n"/>
      <c r="T480" s="392" t="n"/>
      <c r="U480" s="393" t="n"/>
      <c r="V480" s="37" t="inlineStr">
        <is>
          <t>кг</t>
        </is>
      </c>
      <c r="W480" s="755">
        <f>IFERROR(SUM(W473:W478),"0")</f>
        <v/>
      </c>
      <c r="X480" s="755">
        <f>IFERROR(SUM(X473:X478),"0")</f>
        <v/>
      </c>
      <c r="Y480" s="37" t="n"/>
      <c r="Z480" s="756" t="n"/>
      <c r="AA480" s="756" t="n"/>
    </row>
    <row r="481" ht="14.25" customHeight="1">
      <c r="A481" s="375" t="inlineStr">
        <is>
          <t>Сосиски</t>
        </is>
      </c>
      <c r="B481" s="376" t="n"/>
      <c r="C481" s="376" t="n"/>
      <c r="D481" s="376" t="n"/>
      <c r="E481" s="376" t="n"/>
      <c r="F481" s="376" t="n"/>
      <c r="G481" s="376" t="n"/>
      <c r="H481" s="376" t="n"/>
      <c r="I481" s="376" t="n"/>
      <c r="J481" s="376" t="n"/>
      <c r="K481" s="376" t="n"/>
      <c r="L481" s="376" t="n"/>
      <c r="M481" s="376" t="n"/>
      <c r="N481" s="376" t="n"/>
      <c r="O481" s="376" t="n"/>
      <c r="P481" s="376" t="n"/>
      <c r="Q481" s="376" t="n"/>
      <c r="R481" s="376" t="n"/>
      <c r="S481" s="376" t="n"/>
      <c r="T481" s="376" t="n"/>
      <c r="U481" s="376" t="n"/>
      <c r="V481" s="376" t="n"/>
      <c r="W481" s="376" t="n"/>
      <c r="X481" s="376" t="n"/>
      <c r="Y481" s="376" t="n"/>
      <c r="Z481" s="375" t="n"/>
      <c r="AA481" s="375" t="n"/>
    </row>
    <row r="482" ht="16.5" customHeight="1">
      <c r="A482" s="54" t="inlineStr">
        <is>
          <t>SU002218</t>
        </is>
      </c>
      <c r="B482" s="54" t="inlineStr">
        <is>
          <t>P002854</t>
        </is>
      </c>
      <c r="C482" s="31" t="n">
        <v>4301051230</v>
      </c>
      <c r="D482" s="369" t="n">
        <v>4607091383409</v>
      </c>
      <c r="E482" s="370" t="n"/>
      <c r="F482" s="752" t="n">
        <v>1.3</v>
      </c>
      <c r="G482" s="32" t="n">
        <v>6</v>
      </c>
      <c r="H482" s="752" t="n">
        <v>7.8</v>
      </c>
      <c r="I482" s="752" t="n">
        <v>8.346</v>
      </c>
      <c r="J482" s="32" t="n">
        <v>56</v>
      </c>
      <c r="K482" s="32" t="inlineStr">
        <is>
          <t>8</t>
        </is>
      </c>
      <c r="L482" s="33" t="inlineStr">
        <is>
          <t>СК2</t>
        </is>
      </c>
      <c r="M482" s="33" t="n"/>
      <c r="N482" s="32" t="n">
        <v>45</v>
      </c>
      <c r="O482" s="426">
        <f>HYPERLINK("https://abi.ru/products/Охлажденные/Дугушка/Дугушка/Сосиски/P002854/","Сосиски Молочные Дугушки Дугушка Весовые П/а мгс Дугушка")</f>
        <v/>
      </c>
      <c r="P482" s="372" t="n"/>
      <c r="Q482" s="372" t="n"/>
      <c r="R482" s="372" t="n"/>
      <c r="S482" s="370" t="n"/>
      <c r="T482" s="34" t="n"/>
      <c r="U482" s="34" t="n"/>
      <c r="V482" s="35" t="inlineStr">
        <is>
          <t>кг</t>
        </is>
      </c>
      <c r="W482" s="753" t="n">
        <v>0</v>
      </c>
      <c r="X482" s="754">
        <f>IFERROR(IF(W482="",0,CEILING((W482/$H482),1)*$H482),"")</f>
        <v/>
      </c>
      <c r="Y482" s="36">
        <f>IFERROR(IF(X482=0,"",ROUNDUP(X482/H482,0)*0.02175),"")</f>
        <v/>
      </c>
      <c r="Z482" s="56" t="n"/>
      <c r="AA482" s="57" t="n"/>
      <c r="AE482" s="58" t="n"/>
      <c r="BB482" s="332" t="inlineStr">
        <is>
          <t>КИ</t>
        </is>
      </c>
    </row>
    <row r="483" ht="16.5" customHeight="1">
      <c r="A483" s="54" t="inlineStr">
        <is>
          <t>SU002219</t>
        </is>
      </c>
      <c r="B483" s="54" t="inlineStr">
        <is>
          <t>P002855</t>
        </is>
      </c>
      <c r="C483" s="31" t="n">
        <v>4301051231</v>
      </c>
      <c r="D483" s="369" t="n">
        <v>4607091383416</v>
      </c>
      <c r="E483" s="370" t="n"/>
      <c r="F483" s="752" t="n">
        <v>1.3</v>
      </c>
      <c r="G483" s="32" t="n">
        <v>6</v>
      </c>
      <c r="H483" s="752" t="n">
        <v>7.8</v>
      </c>
      <c r="I483" s="752" t="n">
        <v>8.346</v>
      </c>
      <c r="J483" s="32" t="n">
        <v>56</v>
      </c>
      <c r="K483" s="32" t="inlineStr">
        <is>
          <t>8</t>
        </is>
      </c>
      <c r="L483" s="33" t="inlineStr">
        <is>
          <t>СК2</t>
        </is>
      </c>
      <c r="M483" s="33" t="n"/>
      <c r="N483" s="32" t="n">
        <v>45</v>
      </c>
      <c r="O483" s="729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3" s="372" t="n"/>
      <c r="Q483" s="372" t="n"/>
      <c r="R483" s="372" t="n"/>
      <c r="S483" s="370" t="n"/>
      <c r="T483" s="34" t="n"/>
      <c r="U483" s="34" t="n"/>
      <c r="V483" s="35" t="inlineStr">
        <is>
          <t>кг</t>
        </is>
      </c>
      <c r="W483" s="753" t="n">
        <v>0</v>
      </c>
      <c r="X483" s="754">
        <f>IFERROR(IF(W483="",0,CEILING((W483/$H483),1)*$H483),"")</f>
        <v/>
      </c>
      <c r="Y483" s="36">
        <f>IFERROR(IF(X483=0,"",ROUNDUP(X483/H483,0)*0.02175),"")</f>
        <v/>
      </c>
      <c r="Z483" s="56" t="n"/>
      <c r="AA483" s="57" t="n"/>
      <c r="AE483" s="58" t="n"/>
      <c r="BB483" s="333" t="inlineStr">
        <is>
          <t>КИ</t>
        </is>
      </c>
    </row>
    <row r="484" ht="27" customHeight="1">
      <c r="A484" s="54" t="inlineStr">
        <is>
          <t>SU002146</t>
        </is>
      </c>
      <c r="B484" s="54" t="inlineStr">
        <is>
          <t>P002319</t>
        </is>
      </c>
      <c r="C484" s="31" t="n">
        <v>4301051058</v>
      </c>
      <c r="D484" s="369" t="n">
        <v>4680115883536</v>
      </c>
      <c r="E484" s="370" t="n"/>
      <c r="F484" s="752" t="n">
        <v>0.3</v>
      </c>
      <c r="G484" s="32" t="n">
        <v>6</v>
      </c>
      <c r="H484" s="752" t="n">
        <v>1.8</v>
      </c>
      <c r="I484" s="752" t="n">
        <v>2.066</v>
      </c>
      <c r="J484" s="32" t="n">
        <v>156</v>
      </c>
      <c r="K484" s="32" t="inlineStr">
        <is>
          <t>12</t>
        </is>
      </c>
      <c r="L484" s="33" t="inlineStr">
        <is>
          <t>СК2</t>
        </is>
      </c>
      <c r="M484" s="33" t="n"/>
      <c r="N484" s="32" t="n">
        <v>45</v>
      </c>
      <c r="O484" s="737">
        <f>HYPERLINK("https://abi.ru/products/Охлажденные/Дугушка/Дугушка/Сосиски/P002319/","Сосиски «Молочные Дугушки» ф/в 0,3 амицел ТМ «Дугушка»")</f>
        <v/>
      </c>
      <c r="P484" s="372" t="n"/>
      <c r="Q484" s="372" t="n"/>
      <c r="R484" s="372" t="n"/>
      <c r="S484" s="370" t="n"/>
      <c r="T484" s="34" t="n"/>
      <c r="U484" s="34" t="n"/>
      <c r="V484" s="35" t="inlineStr">
        <is>
          <t>кг</t>
        </is>
      </c>
      <c r="W484" s="753" t="n">
        <v>0</v>
      </c>
      <c r="X484" s="754">
        <f>IFERROR(IF(W484="",0,CEILING((W484/$H484),1)*$H484),"")</f>
        <v/>
      </c>
      <c r="Y484" s="36">
        <f>IFERROR(IF(X484=0,"",ROUNDUP(X484/H484,0)*0.00753),"")</f>
        <v/>
      </c>
      <c r="Z484" s="56" t="n"/>
      <c r="AA484" s="57" t="n"/>
      <c r="AE484" s="58" t="n"/>
      <c r="BB484" s="334" t="inlineStr">
        <is>
          <t>КИ</t>
        </is>
      </c>
    </row>
    <row r="485">
      <c r="A485" s="396" t="n"/>
      <c r="B485" s="376" t="n"/>
      <c r="C485" s="376" t="n"/>
      <c r="D485" s="376" t="n"/>
      <c r="E485" s="376" t="n"/>
      <c r="F485" s="376" t="n"/>
      <c r="G485" s="376" t="n"/>
      <c r="H485" s="376" t="n"/>
      <c r="I485" s="376" t="n"/>
      <c r="J485" s="376" t="n"/>
      <c r="K485" s="376" t="n"/>
      <c r="L485" s="376" t="n"/>
      <c r="M485" s="376" t="n"/>
      <c r="N485" s="397" t="n"/>
      <c r="O485" s="391" t="inlineStr">
        <is>
          <t>Итого</t>
        </is>
      </c>
      <c r="P485" s="392" t="n"/>
      <c r="Q485" s="392" t="n"/>
      <c r="R485" s="392" t="n"/>
      <c r="S485" s="392" t="n"/>
      <c r="T485" s="392" t="n"/>
      <c r="U485" s="393" t="n"/>
      <c r="V485" s="37" t="inlineStr">
        <is>
          <t>кор</t>
        </is>
      </c>
      <c r="W485" s="755">
        <f>IFERROR(W482/H482,"0")+IFERROR(W483/H483,"0")+IFERROR(W484/H484,"0")</f>
        <v/>
      </c>
      <c r="X485" s="755">
        <f>IFERROR(X482/H482,"0")+IFERROR(X483/H483,"0")+IFERROR(X484/H484,"0")</f>
        <v/>
      </c>
      <c r="Y485" s="755">
        <f>IFERROR(IF(Y482="",0,Y482),"0")+IFERROR(IF(Y483="",0,Y483),"0")+IFERROR(IF(Y484="",0,Y484),"0")</f>
        <v/>
      </c>
      <c r="Z485" s="756" t="n"/>
      <c r="AA485" s="756" t="n"/>
    </row>
    <row r="486">
      <c r="A486" s="376" t="n"/>
      <c r="B486" s="376" t="n"/>
      <c r="C486" s="376" t="n"/>
      <c r="D486" s="376" t="n"/>
      <c r="E486" s="376" t="n"/>
      <c r="F486" s="376" t="n"/>
      <c r="G486" s="376" t="n"/>
      <c r="H486" s="376" t="n"/>
      <c r="I486" s="376" t="n"/>
      <c r="J486" s="376" t="n"/>
      <c r="K486" s="376" t="n"/>
      <c r="L486" s="376" t="n"/>
      <c r="M486" s="376" t="n"/>
      <c r="N486" s="397" t="n"/>
      <c r="O486" s="391" t="inlineStr">
        <is>
          <t>Итого</t>
        </is>
      </c>
      <c r="P486" s="392" t="n"/>
      <c r="Q486" s="392" t="n"/>
      <c r="R486" s="392" t="n"/>
      <c r="S486" s="392" t="n"/>
      <c r="T486" s="392" t="n"/>
      <c r="U486" s="393" t="n"/>
      <c r="V486" s="37" t="inlineStr">
        <is>
          <t>кг</t>
        </is>
      </c>
      <c r="W486" s="755">
        <f>IFERROR(SUM(W482:W484),"0")</f>
        <v/>
      </c>
      <c r="X486" s="755">
        <f>IFERROR(SUM(X482:X484),"0")</f>
        <v/>
      </c>
      <c r="Y486" s="37" t="n"/>
      <c r="Z486" s="756" t="n"/>
      <c r="AA486" s="756" t="n"/>
    </row>
    <row r="487" ht="14.25" customHeight="1">
      <c r="A487" s="375" t="inlineStr">
        <is>
          <t>Сардельки</t>
        </is>
      </c>
      <c r="B487" s="376" t="n"/>
      <c r="C487" s="376" t="n"/>
      <c r="D487" s="376" t="n"/>
      <c r="E487" s="376" t="n"/>
      <c r="F487" s="376" t="n"/>
      <c r="G487" s="376" t="n"/>
      <c r="H487" s="376" t="n"/>
      <c r="I487" s="376" t="n"/>
      <c r="J487" s="376" t="n"/>
      <c r="K487" s="376" t="n"/>
      <c r="L487" s="376" t="n"/>
      <c r="M487" s="376" t="n"/>
      <c r="N487" s="376" t="n"/>
      <c r="O487" s="376" t="n"/>
      <c r="P487" s="376" t="n"/>
      <c r="Q487" s="376" t="n"/>
      <c r="R487" s="376" t="n"/>
      <c r="S487" s="376" t="n"/>
      <c r="T487" s="376" t="n"/>
      <c r="U487" s="376" t="n"/>
      <c r="V487" s="376" t="n"/>
      <c r="W487" s="376" t="n"/>
      <c r="X487" s="376" t="n"/>
      <c r="Y487" s="376" t="n"/>
      <c r="Z487" s="375" t="n"/>
      <c r="AA487" s="375" t="n"/>
    </row>
    <row r="488" ht="16.5" customHeight="1">
      <c r="A488" s="54" t="inlineStr">
        <is>
          <t>SU003136</t>
        </is>
      </c>
      <c r="B488" s="54" t="inlineStr">
        <is>
          <t>P003722</t>
        </is>
      </c>
      <c r="C488" s="31" t="n">
        <v>4301060363</v>
      </c>
      <c r="D488" s="369" t="n">
        <v>4680115885035</v>
      </c>
      <c r="E488" s="370" t="n"/>
      <c r="F488" s="752" t="n">
        <v>1</v>
      </c>
      <c r="G488" s="32" t="n">
        <v>4</v>
      </c>
      <c r="H488" s="752" t="n">
        <v>4</v>
      </c>
      <c r="I488" s="752" t="n">
        <v>4.416</v>
      </c>
      <c r="J488" s="32" t="n">
        <v>104</v>
      </c>
      <c r="K488" s="32" t="inlineStr">
        <is>
          <t>8</t>
        </is>
      </c>
      <c r="L488" s="33" t="inlineStr">
        <is>
          <t>СК2</t>
        </is>
      </c>
      <c r="M488" s="33" t="n"/>
      <c r="N488" s="32" t="n">
        <v>35</v>
      </c>
      <c r="O488" s="694">
        <f>HYPERLINK("https://abi.ru/products/Охлажденные/Дугушка/Дугушка/Сардельки/P003722/","Сардельки «Дугушки» Весовой н/о ТМ «Дугушка»")</f>
        <v/>
      </c>
      <c r="P488" s="372" t="n"/>
      <c r="Q488" s="372" t="n"/>
      <c r="R488" s="372" t="n"/>
      <c r="S488" s="370" t="n"/>
      <c r="T488" s="34" t="n"/>
      <c r="U488" s="34" t="n"/>
      <c r="V488" s="35" t="inlineStr">
        <is>
          <t>кг</t>
        </is>
      </c>
      <c r="W488" s="753" t="n">
        <v>0</v>
      </c>
      <c r="X488" s="754">
        <f>IFERROR(IF(W488="",0,CEILING((W488/$H488),1)*$H488),"")</f>
        <v/>
      </c>
      <c r="Y488" s="36">
        <f>IFERROR(IF(X488=0,"",ROUNDUP(X488/H488,0)*0.01196),"")</f>
        <v/>
      </c>
      <c r="Z488" s="56" t="n"/>
      <c r="AA488" s="57" t="n"/>
      <c r="AE488" s="58" t="n"/>
      <c r="BB488" s="335" t="inlineStr">
        <is>
          <t>КИ</t>
        </is>
      </c>
    </row>
    <row r="489">
      <c r="A489" s="396" t="n"/>
      <c r="B489" s="376" t="n"/>
      <c r="C489" s="376" t="n"/>
      <c r="D489" s="376" t="n"/>
      <c r="E489" s="376" t="n"/>
      <c r="F489" s="376" t="n"/>
      <c r="G489" s="376" t="n"/>
      <c r="H489" s="376" t="n"/>
      <c r="I489" s="376" t="n"/>
      <c r="J489" s="376" t="n"/>
      <c r="K489" s="376" t="n"/>
      <c r="L489" s="376" t="n"/>
      <c r="M489" s="376" t="n"/>
      <c r="N489" s="397" t="n"/>
      <c r="O489" s="391" t="inlineStr">
        <is>
          <t>Итого</t>
        </is>
      </c>
      <c r="P489" s="392" t="n"/>
      <c r="Q489" s="392" t="n"/>
      <c r="R489" s="392" t="n"/>
      <c r="S489" s="392" t="n"/>
      <c r="T489" s="392" t="n"/>
      <c r="U489" s="393" t="n"/>
      <c r="V489" s="37" t="inlineStr">
        <is>
          <t>кор</t>
        </is>
      </c>
      <c r="W489" s="755">
        <f>IFERROR(W488/H488,"0")</f>
        <v/>
      </c>
      <c r="X489" s="755">
        <f>IFERROR(X488/H488,"0")</f>
        <v/>
      </c>
      <c r="Y489" s="755">
        <f>IFERROR(IF(Y488="",0,Y488),"0")</f>
        <v/>
      </c>
      <c r="Z489" s="756" t="n"/>
      <c r="AA489" s="756" t="n"/>
    </row>
    <row r="490">
      <c r="A490" s="376" t="n"/>
      <c r="B490" s="376" t="n"/>
      <c r="C490" s="376" t="n"/>
      <c r="D490" s="376" t="n"/>
      <c r="E490" s="376" t="n"/>
      <c r="F490" s="376" t="n"/>
      <c r="G490" s="376" t="n"/>
      <c r="H490" s="376" t="n"/>
      <c r="I490" s="376" t="n"/>
      <c r="J490" s="376" t="n"/>
      <c r="K490" s="376" t="n"/>
      <c r="L490" s="376" t="n"/>
      <c r="M490" s="376" t="n"/>
      <c r="N490" s="397" t="n"/>
      <c r="O490" s="391" t="inlineStr">
        <is>
          <t>Итого</t>
        </is>
      </c>
      <c r="P490" s="392" t="n"/>
      <c r="Q490" s="392" t="n"/>
      <c r="R490" s="392" t="n"/>
      <c r="S490" s="392" t="n"/>
      <c r="T490" s="392" t="n"/>
      <c r="U490" s="393" t="n"/>
      <c r="V490" s="37" t="inlineStr">
        <is>
          <t>кг</t>
        </is>
      </c>
      <c r="W490" s="755">
        <f>IFERROR(SUM(W488:W488),"0")</f>
        <v/>
      </c>
      <c r="X490" s="755">
        <f>IFERROR(SUM(X488:X488),"0")</f>
        <v/>
      </c>
      <c r="Y490" s="37" t="n"/>
      <c r="Z490" s="756" t="n"/>
      <c r="AA490" s="756" t="n"/>
    </row>
    <row r="491" ht="27.75" customHeight="1">
      <c r="A491" s="386" t="inlineStr">
        <is>
          <t>Зареченские</t>
        </is>
      </c>
      <c r="B491" s="387" t="n"/>
      <c r="C491" s="387" t="n"/>
      <c r="D491" s="387" t="n"/>
      <c r="E491" s="387" t="n"/>
      <c r="F491" s="387" t="n"/>
      <c r="G491" s="387" t="n"/>
      <c r="H491" s="387" t="n"/>
      <c r="I491" s="387" t="n"/>
      <c r="J491" s="387" t="n"/>
      <c r="K491" s="387" t="n"/>
      <c r="L491" s="387" t="n"/>
      <c r="M491" s="387" t="n"/>
      <c r="N491" s="387" t="n"/>
      <c r="O491" s="387" t="n"/>
      <c r="P491" s="387" t="n"/>
      <c r="Q491" s="387" t="n"/>
      <c r="R491" s="387" t="n"/>
      <c r="S491" s="387" t="n"/>
      <c r="T491" s="387" t="n"/>
      <c r="U491" s="387" t="n"/>
      <c r="V491" s="387" t="n"/>
      <c r="W491" s="387" t="n"/>
      <c r="X491" s="387" t="n"/>
      <c r="Y491" s="387" t="n"/>
      <c r="Z491" s="48" t="n"/>
      <c r="AA491" s="48" t="n"/>
    </row>
    <row r="492" ht="16.5" customHeight="1">
      <c r="A492" s="378" t="inlineStr">
        <is>
          <t>Зареченские продукты</t>
        </is>
      </c>
      <c r="B492" s="376" t="n"/>
      <c r="C492" s="376" t="n"/>
      <c r="D492" s="376" t="n"/>
      <c r="E492" s="376" t="n"/>
      <c r="F492" s="376" t="n"/>
      <c r="G492" s="376" t="n"/>
      <c r="H492" s="376" t="n"/>
      <c r="I492" s="376" t="n"/>
      <c r="J492" s="376" t="n"/>
      <c r="K492" s="376" t="n"/>
      <c r="L492" s="376" t="n"/>
      <c r="M492" s="376" t="n"/>
      <c r="N492" s="376" t="n"/>
      <c r="O492" s="376" t="n"/>
      <c r="P492" s="376" t="n"/>
      <c r="Q492" s="376" t="n"/>
      <c r="R492" s="376" t="n"/>
      <c r="S492" s="376" t="n"/>
      <c r="T492" s="376" t="n"/>
      <c r="U492" s="376" t="n"/>
      <c r="V492" s="376" t="n"/>
      <c r="W492" s="376" t="n"/>
      <c r="X492" s="376" t="n"/>
      <c r="Y492" s="376" t="n"/>
      <c r="Z492" s="378" t="n"/>
      <c r="AA492" s="378" t="n"/>
    </row>
    <row r="493" ht="14.25" customHeight="1">
      <c r="A493" s="375" t="inlineStr">
        <is>
          <t>Вареные колбасы</t>
        </is>
      </c>
      <c r="B493" s="376" t="n"/>
      <c r="C493" s="376" t="n"/>
      <c r="D493" s="376" t="n"/>
      <c r="E493" s="376" t="n"/>
      <c r="F493" s="376" t="n"/>
      <c r="G493" s="376" t="n"/>
      <c r="H493" s="376" t="n"/>
      <c r="I493" s="376" t="n"/>
      <c r="J493" s="376" t="n"/>
      <c r="K493" s="376" t="n"/>
      <c r="L493" s="376" t="n"/>
      <c r="M493" s="376" t="n"/>
      <c r="N493" s="376" t="n"/>
      <c r="O493" s="376" t="n"/>
      <c r="P493" s="376" t="n"/>
      <c r="Q493" s="376" t="n"/>
      <c r="R493" s="376" t="n"/>
      <c r="S493" s="376" t="n"/>
      <c r="T493" s="376" t="n"/>
      <c r="U493" s="376" t="n"/>
      <c r="V493" s="376" t="n"/>
      <c r="W493" s="376" t="n"/>
      <c r="X493" s="376" t="n"/>
      <c r="Y493" s="376" t="n"/>
      <c r="Z493" s="375" t="n"/>
      <c r="AA493" s="375" t="n"/>
    </row>
    <row r="494" ht="27" customHeight="1">
      <c r="A494" s="54" t="inlineStr">
        <is>
          <t>SU003290</t>
        </is>
      </c>
      <c r="B494" s="54" t="inlineStr">
        <is>
          <t>P004000</t>
        </is>
      </c>
      <c r="C494" s="31" t="n">
        <v>4301011763</v>
      </c>
      <c r="D494" s="369" t="n">
        <v>4640242181011</v>
      </c>
      <c r="E494" s="370" t="n"/>
      <c r="F494" s="752" t="n">
        <v>1.35</v>
      </c>
      <c r="G494" s="32" t="n">
        <v>8</v>
      </c>
      <c r="H494" s="752" t="n">
        <v>10.8</v>
      </c>
      <c r="I494" s="752" t="n">
        <v>11.28</v>
      </c>
      <c r="J494" s="32" t="n">
        <v>56</v>
      </c>
      <c r="K494" s="32" t="inlineStr">
        <is>
          <t>8</t>
        </is>
      </c>
      <c r="L494" s="33" t="inlineStr">
        <is>
          <t>СК3</t>
        </is>
      </c>
      <c r="M494" s="33" t="n"/>
      <c r="N494" s="32" t="n">
        <v>55</v>
      </c>
      <c r="O494" s="549" t="inlineStr">
        <is>
          <t>Вареные колбасы «Молочная» Весовой п/а ТМ «Зареченские»</t>
        </is>
      </c>
      <c r="P494" s="372" t="n"/>
      <c r="Q494" s="372" t="n"/>
      <c r="R494" s="372" t="n"/>
      <c r="S494" s="370" t="n"/>
      <c r="T494" s="34" t="n"/>
      <c r="U494" s="34" t="n"/>
      <c r="V494" s="35" t="inlineStr">
        <is>
          <t>кг</t>
        </is>
      </c>
      <c r="W494" s="753" t="n">
        <v>0</v>
      </c>
      <c r="X494" s="754">
        <f>IFERROR(IF(W494="",0,CEILING((W494/$H494),1)*$H494),"")</f>
        <v/>
      </c>
      <c r="Y494" s="36">
        <f>IFERROR(IF(X494=0,"",ROUNDUP(X494/H494,0)*0.02175),"")</f>
        <v/>
      </c>
      <c r="Z494" s="56" t="n"/>
      <c r="AA494" s="57" t="n"/>
      <c r="AE494" s="58" t="n"/>
      <c r="BB494" s="336" t="inlineStr">
        <is>
          <t>КИ</t>
        </is>
      </c>
    </row>
    <row r="495" ht="27" customHeight="1">
      <c r="A495" s="54" t="inlineStr">
        <is>
          <t>SU002807</t>
        </is>
      </c>
      <c r="B495" s="54" t="inlineStr">
        <is>
          <t>P003583</t>
        </is>
      </c>
      <c r="C495" s="31" t="n">
        <v>4301011585</v>
      </c>
      <c r="D495" s="369" t="n">
        <v>4640242180441</v>
      </c>
      <c r="E495" s="370" t="n"/>
      <c r="F495" s="752" t="n">
        <v>1.5</v>
      </c>
      <c r="G495" s="32" t="n">
        <v>8</v>
      </c>
      <c r="H495" s="752" t="n">
        <v>12</v>
      </c>
      <c r="I495" s="752" t="n">
        <v>12.48</v>
      </c>
      <c r="J495" s="32" t="n">
        <v>56</v>
      </c>
      <c r="K495" s="32" t="inlineStr">
        <is>
          <t>8</t>
        </is>
      </c>
      <c r="L495" s="33" t="inlineStr">
        <is>
          <t>СК1</t>
        </is>
      </c>
      <c r="M495" s="33" t="n"/>
      <c r="N495" s="32" t="n">
        <v>50</v>
      </c>
      <c r="O495" s="577" t="inlineStr">
        <is>
          <t>Вареные колбасы «Муромская» Весовой п/а ТМ «Зареченские»</t>
        </is>
      </c>
      <c r="P495" s="372" t="n"/>
      <c r="Q495" s="372" t="n"/>
      <c r="R495" s="372" t="n"/>
      <c r="S495" s="370" t="n"/>
      <c r="T495" s="34" t="n"/>
      <c r="U495" s="34" t="n"/>
      <c r="V495" s="35" t="inlineStr">
        <is>
          <t>кг</t>
        </is>
      </c>
      <c r="W495" s="753" t="n">
        <v>0</v>
      </c>
      <c r="X495" s="754">
        <f>IFERROR(IF(W495="",0,CEILING((W495/$H495),1)*$H495),"")</f>
        <v/>
      </c>
      <c r="Y495" s="36">
        <f>IFERROR(IF(X495=0,"",ROUNDUP(X495/H495,0)*0.02175),"")</f>
        <v/>
      </c>
      <c r="Z495" s="56" t="n"/>
      <c r="AA495" s="57" t="n"/>
      <c r="AE495" s="58" t="n"/>
      <c r="BB495" s="337" t="inlineStr">
        <is>
          <t>КИ</t>
        </is>
      </c>
    </row>
    <row r="496" ht="27" customHeight="1">
      <c r="A496" s="54" t="inlineStr">
        <is>
          <t>SU002808</t>
        </is>
      </c>
      <c r="B496" s="54" t="inlineStr">
        <is>
          <t>P003582</t>
        </is>
      </c>
      <c r="C496" s="31" t="n">
        <v>4301011584</v>
      </c>
      <c r="D496" s="369" t="n">
        <v>4640242180564</v>
      </c>
      <c r="E496" s="370" t="n"/>
      <c r="F496" s="752" t="n">
        <v>1.5</v>
      </c>
      <c r="G496" s="32" t="n">
        <v>8</v>
      </c>
      <c r="H496" s="752" t="n">
        <v>12</v>
      </c>
      <c r="I496" s="752" t="n">
        <v>12.48</v>
      </c>
      <c r="J496" s="32" t="n">
        <v>56</v>
      </c>
      <c r="K496" s="32" t="inlineStr">
        <is>
          <t>8</t>
        </is>
      </c>
      <c r="L496" s="33" t="inlineStr">
        <is>
          <t>СК1</t>
        </is>
      </c>
      <c r="M496" s="33" t="n"/>
      <c r="N496" s="32" t="n">
        <v>50</v>
      </c>
      <c r="O496" s="611" t="inlineStr">
        <is>
          <t>Вареные колбасы «Нежная» НТУ Весовые П/а ТМ «Зареченские»</t>
        </is>
      </c>
      <c r="P496" s="372" t="n"/>
      <c r="Q496" s="372" t="n"/>
      <c r="R496" s="372" t="n"/>
      <c r="S496" s="370" t="n"/>
      <c r="T496" s="34" t="n"/>
      <c r="U496" s="34" t="n"/>
      <c r="V496" s="35" t="inlineStr">
        <is>
          <t>кг</t>
        </is>
      </c>
      <c r="W496" s="753" t="n">
        <v>0</v>
      </c>
      <c r="X496" s="754">
        <f>IFERROR(IF(W496="",0,CEILING((W496/$H496),1)*$H496),"")</f>
        <v/>
      </c>
      <c r="Y496" s="36">
        <f>IFERROR(IF(X496=0,"",ROUNDUP(X496/H496,0)*0.02175),"")</f>
        <v/>
      </c>
      <c r="Z496" s="56" t="n"/>
      <c r="AA496" s="57" t="n"/>
      <c r="AE496" s="58" t="n"/>
      <c r="BB496" s="338" t="inlineStr">
        <is>
          <t>КИ</t>
        </is>
      </c>
    </row>
    <row r="497" ht="27" customHeight="1">
      <c r="A497" s="54" t="inlineStr">
        <is>
          <t>SU003289</t>
        </is>
      </c>
      <c r="B497" s="54" t="inlineStr">
        <is>
          <t>P003999</t>
        </is>
      </c>
      <c r="C497" s="31" t="n">
        <v>4301011762</v>
      </c>
      <c r="D497" s="369" t="n">
        <v>4640242180922</v>
      </c>
      <c r="E497" s="370" t="n"/>
      <c r="F497" s="752" t="n">
        <v>1.35</v>
      </c>
      <c r="G497" s="32" t="n">
        <v>8</v>
      </c>
      <c r="H497" s="752" t="n">
        <v>10.8</v>
      </c>
      <c r="I497" s="752" t="n">
        <v>11.28</v>
      </c>
      <c r="J497" s="32" t="n">
        <v>56</v>
      </c>
      <c r="K497" s="32" t="inlineStr">
        <is>
          <t>8</t>
        </is>
      </c>
      <c r="L497" s="33" t="inlineStr">
        <is>
          <t>СК1</t>
        </is>
      </c>
      <c r="M497" s="33" t="n"/>
      <c r="N497" s="32" t="n">
        <v>55</v>
      </c>
      <c r="O497" s="374" t="inlineStr">
        <is>
          <t>Вареные колбасы «Нежная со шпиком» Весовой п/а ТМ «Зареченские»</t>
        </is>
      </c>
      <c r="P497" s="372" t="n"/>
      <c r="Q497" s="372" t="n"/>
      <c r="R497" s="372" t="n"/>
      <c r="S497" s="370" t="n"/>
      <c r="T497" s="34" t="n"/>
      <c r="U497" s="34" t="n"/>
      <c r="V497" s="35" t="inlineStr">
        <is>
          <t>кг</t>
        </is>
      </c>
      <c r="W497" s="753" t="n">
        <v>0</v>
      </c>
      <c r="X497" s="754">
        <f>IFERROR(IF(W497="",0,CEILING((W497/$H497),1)*$H497),"")</f>
        <v/>
      </c>
      <c r="Y497" s="36">
        <f>IFERROR(IF(X497=0,"",ROUNDUP(X497/H497,0)*0.02175),"")</f>
        <v/>
      </c>
      <c r="Z497" s="56" t="n"/>
      <c r="AA497" s="57" t="n"/>
      <c r="AE497" s="58" t="n"/>
      <c r="BB497" s="339" t="inlineStr">
        <is>
          <t>КИ</t>
        </is>
      </c>
    </row>
    <row r="498" ht="27" customHeight="1">
      <c r="A498" s="54" t="inlineStr">
        <is>
          <t>SU002974</t>
        </is>
      </c>
      <c r="B498" s="54" t="inlineStr">
        <is>
          <t>P003426</t>
        </is>
      </c>
      <c r="C498" s="31" t="n">
        <v>4301011551</v>
      </c>
      <c r="D498" s="369" t="n">
        <v>4640242180038</v>
      </c>
      <c r="E498" s="370" t="n"/>
      <c r="F498" s="752" t="n">
        <v>0.4</v>
      </c>
      <c r="G498" s="32" t="n">
        <v>10</v>
      </c>
      <c r="H498" s="752" t="n">
        <v>4</v>
      </c>
      <c r="I498" s="752" t="n">
        <v>4.24</v>
      </c>
      <c r="J498" s="32" t="n">
        <v>120</v>
      </c>
      <c r="K498" s="32" t="inlineStr">
        <is>
          <t>12</t>
        </is>
      </c>
      <c r="L498" s="33" t="inlineStr">
        <is>
          <t>СК1</t>
        </is>
      </c>
      <c r="M498" s="33" t="n"/>
      <c r="N498" s="32" t="n">
        <v>50</v>
      </c>
      <c r="O498" s="723" t="inlineStr">
        <is>
          <t>Вареные колбасы «Нежная» ф/в 0,4 п/а ТМ «Зареченские»</t>
        </is>
      </c>
      <c r="P498" s="372" t="n"/>
      <c r="Q498" s="372" t="n"/>
      <c r="R498" s="372" t="n"/>
      <c r="S498" s="370" t="n"/>
      <c r="T498" s="34" t="n"/>
      <c r="U498" s="34" t="n"/>
      <c r="V498" s="35" t="inlineStr">
        <is>
          <t>кг</t>
        </is>
      </c>
      <c r="W498" s="753" t="n">
        <v>0</v>
      </c>
      <c r="X498" s="754">
        <f>IFERROR(IF(W498="",0,CEILING((W498/$H498),1)*$H498),"")</f>
        <v/>
      </c>
      <c r="Y498" s="36">
        <f>IFERROR(IF(X498=0,"",ROUNDUP(X498/H498,0)*0.00937),"")</f>
        <v/>
      </c>
      <c r="Z498" s="56" t="n"/>
      <c r="AA498" s="57" t="n"/>
      <c r="AE498" s="58" t="n"/>
      <c r="BB498" s="340" t="inlineStr">
        <is>
          <t>КИ</t>
        </is>
      </c>
    </row>
    <row r="499">
      <c r="A499" s="396" t="n"/>
      <c r="B499" s="376" t="n"/>
      <c r="C499" s="376" t="n"/>
      <c r="D499" s="376" t="n"/>
      <c r="E499" s="376" t="n"/>
      <c r="F499" s="376" t="n"/>
      <c r="G499" s="376" t="n"/>
      <c r="H499" s="376" t="n"/>
      <c r="I499" s="376" t="n"/>
      <c r="J499" s="376" t="n"/>
      <c r="K499" s="376" t="n"/>
      <c r="L499" s="376" t="n"/>
      <c r="M499" s="376" t="n"/>
      <c r="N499" s="397" t="n"/>
      <c r="O499" s="391" t="inlineStr">
        <is>
          <t>Итого</t>
        </is>
      </c>
      <c r="P499" s="392" t="n"/>
      <c r="Q499" s="392" t="n"/>
      <c r="R499" s="392" t="n"/>
      <c r="S499" s="392" t="n"/>
      <c r="T499" s="392" t="n"/>
      <c r="U499" s="393" t="n"/>
      <c r="V499" s="37" t="inlineStr">
        <is>
          <t>кор</t>
        </is>
      </c>
      <c r="W499" s="755">
        <f>IFERROR(W494/H494,"0")+IFERROR(W495/H495,"0")+IFERROR(W496/H496,"0")+IFERROR(W497/H497,"0")+IFERROR(W498/H498,"0")</f>
        <v/>
      </c>
      <c r="X499" s="755">
        <f>IFERROR(X494/H494,"0")+IFERROR(X495/H495,"0")+IFERROR(X496/H496,"0")+IFERROR(X497/H497,"0")+IFERROR(X498/H498,"0")</f>
        <v/>
      </c>
      <c r="Y499" s="755">
        <f>IFERROR(IF(Y494="",0,Y494),"0")+IFERROR(IF(Y495="",0,Y495),"0")+IFERROR(IF(Y496="",0,Y496),"0")+IFERROR(IF(Y497="",0,Y497),"0")+IFERROR(IF(Y498="",0,Y498),"0")</f>
        <v/>
      </c>
      <c r="Z499" s="756" t="n"/>
      <c r="AA499" s="756" t="n"/>
    </row>
    <row r="500">
      <c r="A500" s="376" t="n"/>
      <c r="B500" s="376" t="n"/>
      <c r="C500" s="376" t="n"/>
      <c r="D500" s="376" t="n"/>
      <c r="E500" s="376" t="n"/>
      <c r="F500" s="376" t="n"/>
      <c r="G500" s="376" t="n"/>
      <c r="H500" s="376" t="n"/>
      <c r="I500" s="376" t="n"/>
      <c r="J500" s="376" t="n"/>
      <c r="K500" s="376" t="n"/>
      <c r="L500" s="376" t="n"/>
      <c r="M500" s="376" t="n"/>
      <c r="N500" s="397" t="n"/>
      <c r="O500" s="391" t="inlineStr">
        <is>
          <t>Итого</t>
        </is>
      </c>
      <c r="P500" s="392" t="n"/>
      <c r="Q500" s="392" t="n"/>
      <c r="R500" s="392" t="n"/>
      <c r="S500" s="392" t="n"/>
      <c r="T500" s="392" t="n"/>
      <c r="U500" s="393" t="n"/>
      <c r="V500" s="37" t="inlineStr">
        <is>
          <t>кг</t>
        </is>
      </c>
      <c r="W500" s="755">
        <f>IFERROR(SUM(W494:W498),"0")</f>
        <v/>
      </c>
      <c r="X500" s="755">
        <f>IFERROR(SUM(X494:X498),"0")</f>
        <v/>
      </c>
      <c r="Y500" s="37" t="n"/>
      <c r="Z500" s="756" t="n"/>
      <c r="AA500" s="756" t="n"/>
    </row>
    <row r="501" ht="14.25" customHeight="1">
      <c r="A501" s="375" t="inlineStr">
        <is>
          <t>Ветчины</t>
        </is>
      </c>
      <c r="B501" s="376" t="n"/>
      <c r="C501" s="376" t="n"/>
      <c r="D501" s="376" t="n"/>
      <c r="E501" s="376" t="n"/>
      <c r="F501" s="376" t="n"/>
      <c r="G501" s="376" t="n"/>
      <c r="H501" s="376" t="n"/>
      <c r="I501" s="376" t="n"/>
      <c r="J501" s="376" t="n"/>
      <c r="K501" s="376" t="n"/>
      <c r="L501" s="376" t="n"/>
      <c r="M501" s="376" t="n"/>
      <c r="N501" s="376" t="n"/>
      <c r="O501" s="376" t="n"/>
      <c r="P501" s="376" t="n"/>
      <c r="Q501" s="376" t="n"/>
      <c r="R501" s="376" t="n"/>
      <c r="S501" s="376" t="n"/>
      <c r="T501" s="376" t="n"/>
      <c r="U501" s="376" t="n"/>
      <c r="V501" s="376" t="n"/>
      <c r="W501" s="376" t="n"/>
      <c r="X501" s="376" t="n"/>
      <c r="Y501" s="376" t="n"/>
      <c r="Z501" s="375" t="n"/>
      <c r="AA501" s="375" t="n"/>
    </row>
    <row r="502" ht="27" customHeight="1">
      <c r="A502" s="54" t="inlineStr">
        <is>
          <t>SU002811</t>
        </is>
      </c>
      <c r="B502" s="54" t="inlineStr">
        <is>
          <t>P003588</t>
        </is>
      </c>
      <c r="C502" s="31" t="n">
        <v>4301020260</v>
      </c>
      <c r="D502" s="369" t="n">
        <v>4640242180526</v>
      </c>
      <c r="E502" s="370" t="n"/>
      <c r="F502" s="752" t="n">
        <v>1.8</v>
      </c>
      <c r="G502" s="32" t="n">
        <v>6</v>
      </c>
      <c r="H502" s="752" t="n">
        <v>10.8</v>
      </c>
      <c r="I502" s="752" t="n">
        <v>11.28</v>
      </c>
      <c r="J502" s="32" t="n">
        <v>56</v>
      </c>
      <c r="K502" s="32" t="inlineStr">
        <is>
          <t>8</t>
        </is>
      </c>
      <c r="L502" s="33" t="inlineStr">
        <is>
          <t>СК1</t>
        </is>
      </c>
      <c r="M502" s="33" t="n"/>
      <c r="N502" s="32" t="n">
        <v>50</v>
      </c>
      <c r="O502" s="439" t="inlineStr">
        <is>
          <t>Ветчины «Нежная» Весовой п/а ТМ «Зареченские» большой батон</t>
        </is>
      </c>
      <c r="P502" s="372" t="n"/>
      <c r="Q502" s="372" t="n"/>
      <c r="R502" s="372" t="n"/>
      <c r="S502" s="370" t="n"/>
      <c r="T502" s="34" t="n"/>
      <c r="U502" s="34" t="n"/>
      <c r="V502" s="35" t="inlineStr">
        <is>
          <t>кг</t>
        </is>
      </c>
      <c r="W502" s="753" t="n">
        <v>0</v>
      </c>
      <c r="X502" s="754">
        <f>IFERROR(IF(W502="",0,CEILING((W502/$H502),1)*$H502),"")</f>
        <v/>
      </c>
      <c r="Y502" s="36">
        <f>IFERROR(IF(X502=0,"",ROUNDUP(X502/H502,0)*0.02175),"")</f>
        <v/>
      </c>
      <c r="Z502" s="56" t="n"/>
      <c r="AA502" s="57" t="n"/>
      <c r="AE502" s="58" t="n"/>
      <c r="BB502" s="341" t="inlineStr">
        <is>
          <t>КИ</t>
        </is>
      </c>
    </row>
    <row r="503" ht="16.5" customHeight="1">
      <c r="A503" s="54" t="inlineStr">
        <is>
          <t>SU002806</t>
        </is>
      </c>
      <c r="B503" s="54" t="inlineStr">
        <is>
          <t>P003591</t>
        </is>
      </c>
      <c r="C503" s="31" t="n">
        <v>4301020269</v>
      </c>
      <c r="D503" s="369" t="n">
        <v>4640242180519</v>
      </c>
      <c r="E503" s="370" t="n"/>
      <c r="F503" s="752" t="n">
        <v>1.35</v>
      </c>
      <c r="G503" s="32" t="n">
        <v>8</v>
      </c>
      <c r="H503" s="752" t="n">
        <v>10.8</v>
      </c>
      <c r="I503" s="752" t="n">
        <v>11.28</v>
      </c>
      <c r="J503" s="32" t="n">
        <v>56</v>
      </c>
      <c r="K503" s="32" t="inlineStr">
        <is>
          <t>8</t>
        </is>
      </c>
      <c r="L503" s="33" t="inlineStr">
        <is>
          <t>СК3</t>
        </is>
      </c>
      <c r="M503" s="33" t="n"/>
      <c r="N503" s="32" t="n">
        <v>50</v>
      </c>
      <c r="O503" s="582" t="inlineStr">
        <is>
          <t>Ветчины «Нежная» Весовой п/а ТМ «Зареченские»</t>
        </is>
      </c>
      <c r="P503" s="372" t="n"/>
      <c r="Q503" s="372" t="n"/>
      <c r="R503" s="372" t="n"/>
      <c r="S503" s="370" t="n"/>
      <c r="T503" s="34" t="n"/>
      <c r="U503" s="34" t="n"/>
      <c r="V503" s="35" t="inlineStr">
        <is>
          <t>кг</t>
        </is>
      </c>
      <c r="W503" s="753" t="n">
        <v>0</v>
      </c>
      <c r="X503" s="754">
        <f>IFERROR(IF(W503="",0,CEILING((W503/$H503),1)*$H503),"")</f>
        <v/>
      </c>
      <c r="Y503" s="36">
        <f>IFERROR(IF(X503=0,"",ROUNDUP(X503/H503,0)*0.02175),"")</f>
        <v/>
      </c>
      <c r="Z503" s="56" t="n"/>
      <c r="AA503" s="57" t="n"/>
      <c r="AE503" s="58" t="n"/>
      <c r="BB503" s="342" t="inlineStr">
        <is>
          <t>КИ</t>
        </is>
      </c>
    </row>
    <row r="504" ht="27" customHeight="1">
      <c r="A504" s="54" t="inlineStr">
        <is>
          <t>SU003398</t>
        </is>
      </c>
      <c r="B504" s="54" t="inlineStr">
        <is>
          <t>P004217</t>
        </is>
      </c>
      <c r="C504" s="31" t="n">
        <v>4301020309</v>
      </c>
      <c r="D504" s="369" t="n">
        <v>4640242180090</v>
      </c>
      <c r="E504" s="370" t="n"/>
      <c r="F504" s="752" t="n">
        <v>1.35</v>
      </c>
      <c r="G504" s="32" t="n">
        <v>8</v>
      </c>
      <c r="H504" s="752" t="n">
        <v>10.8</v>
      </c>
      <c r="I504" s="752" t="n">
        <v>11.28</v>
      </c>
      <c r="J504" s="32" t="n">
        <v>56</v>
      </c>
      <c r="K504" s="32" t="inlineStr">
        <is>
          <t>8</t>
        </is>
      </c>
      <c r="L504" s="33" t="inlineStr">
        <is>
          <t>СК1</t>
        </is>
      </c>
      <c r="M504" s="33" t="n"/>
      <c r="N504" s="32" t="n">
        <v>50</v>
      </c>
      <c r="O504" s="751" t="inlineStr">
        <is>
          <t>Ветчины «Рубленая» Весовой п/а ТМ «Зареченские»</t>
        </is>
      </c>
      <c r="P504" s="372" t="n"/>
      <c r="Q504" s="372" t="n"/>
      <c r="R504" s="372" t="n"/>
      <c r="S504" s="370" t="n"/>
      <c r="T504" s="34" t="n"/>
      <c r="U504" s="34" t="n"/>
      <c r="V504" s="35" t="inlineStr">
        <is>
          <t>кг</t>
        </is>
      </c>
      <c r="W504" s="753" t="n">
        <v>0</v>
      </c>
      <c r="X504" s="754">
        <f>IFERROR(IF(W504="",0,CEILING((W504/$H504),1)*$H504),"")</f>
        <v/>
      </c>
      <c r="Y504" s="36">
        <f>IFERROR(IF(X504=0,"",ROUNDUP(X504/H504,0)*0.02175),"")</f>
        <v/>
      </c>
      <c r="Z504" s="56" t="n"/>
      <c r="AA504" s="57" t="n"/>
      <c r="AE504" s="58" t="n"/>
      <c r="BB504" s="343" t="inlineStr">
        <is>
          <t>КИ</t>
        </is>
      </c>
    </row>
    <row r="505">
      <c r="A505" s="396" t="n"/>
      <c r="B505" s="376" t="n"/>
      <c r="C505" s="376" t="n"/>
      <c r="D505" s="376" t="n"/>
      <c r="E505" s="376" t="n"/>
      <c r="F505" s="376" t="n"/>
      <c r="G505" s="376" t="n"/>
      <c r="H505" s="376" t="n"/>
      <c r="I505" s="376" t="n"/>
      <c r="J505" s="376" t="n"/>
      <c r="K505" s="376" t="n"/>
      <c r="L505" s="376" t="n"/>
      <c r="M505" s="376" t="n"/>
      <c r="N505" s="397" t="n"/>
      <c r="O505" s="391" t="inlineStr">
        <is>
          <t>Итого</t>
        </is>
      </c>
      <c r="P505" s="392" t="n"/>
      <c r="Q505" s="392" t="n"/>
      <c r="R505" s="392" t="n"/>
      <c r="S505" s="392" t="n"/>
      <c r="T505" s="392" t="n"/>
      <c r="U505" s="393" t="n"/>
      <c r="V505" s="37" t="inlineStr">
        <is>
          <t>кор</t>
        </is>
      </c>
      <c r="W505" s="755">
        <f>IFERROR(W502/H502,"0")+IFERROR(W503/H503,"0")+IFERROR(W504/H504,"0")</f>
        <v/>
      </c>
      <c r="X505" s="755">
        <f>IFERROR(X502/H502,"0")+IFERROR(X503/H503,"0")+IFERROR(X504/H504,"0")</f>
        <v/>
      </c>
      <c r="Y505" s="755">
        <f>IFERROR(IF(Y502="",0,Y502),"0")+IFERROR(IF(Y503="",0,Y503),"0")+IFERROR(IF(Y504="",0,Y504),"0")</f>
        <v/>
      </c>
      <c r="Z505" s="756" t="n"/>
      <c r="AA505" s="756" t="n"/>
    </row>
    <row r="506">
      <c r="A506" s="376" t="n"/>
      <c r="B506" s="376" t="n"/>
      <c r="C506" s="376" t="n"/>
      <c r="D506" s="376" t="n"/>
      <c r="E506" s="376" t="n"/>
      <c r="F506" s="376" t="n"/>
      <c r="G506" s="376" t="n"/>
      <c r="H506" s="376" t="n"/>
      <c r="I506" s="376" t="n"/>
      <c r="J506" s="376" t="n"/>
      <c r="K506" s="376" t="n"/>
      <c r="L506" s="376" t="n"/>
      <c r="M506" s="376" t="n"/>
      <c r="N506" s="397" t="n"/>
      <c r="O506" s="391" t="inlineStr">
        <is>
          <t>Итого</t>
        </is>
      </c>
      <c r="P506" s="392" t="n"/>
      <c r="Q506" s="392" t="n"/>
      <c r="R506" s="392" t="n"/>
      <c r="S506" s="392" t="n"/>
      <c r="T506" s="392" t="n"/>
      <c r="U506" s="393" t="n"/>
      <c r="V506" s="37" t="inlineStr">
        <is>
          <t>кг</t>
        </is>
      </c>
      <c r="W506" s="755">
        <f>IFERROR(SUM(W502:W504),"0")</f>
        <v/>
      </c>
      <c r="X506" s="755">
        <f>IFERROR(SUM(X502:X504),"0")</f>
        <v/>
      </c>
      <c r="Y506" s="37" t="n"/>
      <c r="Z506" s="756" t="n"/>
      <c r="AA506" s="756" t="n"/>
    </row>
    <row r="507" ht="14.25" customHeight="1">
      <c r="A507" s="375" t="inlineStr">
        <is>
          <t>Копченые колбасы</t>
        </is>
      </c>
      <c r="B507" s="376" t="n"/>
      <c r="C507" s="376" t="n"/>
      <c r="D507" s="376" t="n"/>
      <c r="E507" s="376" t="n"/>
      <c r="F507" s="376" t="n"/>
      <c r="G507" s="376" t="n"/>
      <c r="H507" s="376" t="n"/>
      <c r="I507" s="376" t="n"/>
      <c r="J507" s="376" t="n"/>
      <c r="K507" s="376" t="n"/>
      <c r="L507" s="376" t="n"/>
      <c r="M507" s="376" t="n"/>
      <c r="N507" s="376" t="n"/>
      <c r="O507" s="376" t="n"/>
      <c r="P507" s="376" t="n"/>
      <c r="Q507" s="376" t="n"/>
      <c r="R507" s="376" t="n"/>
      <c r="S507" s="376" t="n"/>
      <c r="T507" s="376" t="n"/>
      <c r="U507" s="376" t="n"/>
      <c r="V507" s="376" t="n"/>
      <c r="W507" s="376" t="n"/>
      <c r="X507" s="376" t="n"/>
      <c r="Y507" s="376" t="n"/>
      <c r="Z507" s="375" t="n"/>
      <c r="AA507" s="375" t="n"/>
    </row>
    <row r="508" ht="27" customHeight="1">
      <c r="A508" s="54" t="inlineStr">
        <is>
          <t>SU002805</t>
        </is>
      </c>
      <c r="B508" s="54" t="inlineStr">
        <is>
          <t>P003584</t>
        </is>
      </c>
      <c r="C508" s="31" t="n">
        <v>4301031280</v>
      </c>
      <c r="D508" s="369" t="n">
        <v>4640242180816</v>
      </c>
      <c r="E508" s="370" t="n"/>
      <c r="F508" s="752" t="n">
        <v>0.7</v>
      </c>
      <c r="G508" s="32" t="n">
        <v>6</v>
      </c>
      <c r="H508" s="752" t="n">
        <v>4.2</v>
      </c>
      <c r="I508" s="752" t="n">
        <v>4.46</v>
      </c>
      <c r="J508" s="32" t="n">
        <v>156</v>
      </c>
      <c r="K508" s="32" t="inlineStr">
        <is>
          <t>12</t>
        </is>
      </c>
      <c r="L508" s="33" t="inlineStr">
        <is>
          <t>СК2</t>
        </is>
      </c>
      <c r="M508" s="33" t="n"/>
      <c r="N508" s="32" t="n">
        <v>40</v>
      </c>
      <c r="O508" s="438" t="inlineStr">
        <is>
          <t>Копченые колбасы «Сервелат Пражский» Весовой фиброуз ТМ «Зареченские»</t>
        </is>
      </c>
      <c r="P508" s="372" t="n"/>
      <c r="Q508" s="372" t="n"/>
      <c r="R508" s="372" t="n"/>
      <c r="S508" s="370" t="n"/>
      <c r="T508" s="34" t="n"/>
      <c r="U508" s="34" t="n"/>
      <c r="V508" s="35" t="inlineStr">
        <is>
          <t>кг</t>
        </is>
      </c>
      <c r="W508" s="753" t="n">
        <v>0</v>
      </c>
      <c r="X508" s="754">
        <f>IFERROR(IF(W508="",0,CEILING((W508/$H508),1)*$H508),"")</f>
        <v/>
      </c>
      <c r="Y508" s="36">
        <f>IFERROR(IF(X508=0,"",ROUNDUP(X508/H508,0)*0.00753),"")</f>
        <v/>
      </c>
      <c r="Z508" s="56" t="n"/>
      <c r="AA508" s="57" t="n"/>
      <c r="AE508" s="58" t="n"/>
      <c r="BB508" s="344" t="inlineStr">
        <is>
          <t>КИ</t>
        </is>
      </c>
    </row>
    <row r="509" ht="27" customHeight="1">
      <c r="A509" s="54" t="inlineStr">
        <is>
          <t>SU002654</t>
        </is>
      </c>
      <c r="B509" s="54" t="inlineStr">
        <is>
          <t>P003219</t>
        </is>
      </c>
      <c r="C509" s="31" t="n">
        <v>4301031194</v>
      </c>
      <c r="D509" s="369" t="n">
        <v>4680115880856</v>
      </c>
      <c r="E509" s="370" t="n"/>
      <c r="F509" s="752" t="n">
        <v>0.7</v>
      </c>
      <c r="G509" s="32" t="n">
        <v>6</v>
      </c>
      <c r="H509" s="752" t="n">
        <v>4.2</v>
      </c>
      <c r="I509" s="752" t="n">
        <v>4.46</v>
      </c>
      <c r="J509" s="32" t="n">
        <v>156</v>
      </c>
      <c r="K509" s="32" t="inlineStr">
        <is>
          <t>12</t>
        </is>
      </c>
      <c r="L509" s="33" t="inlineStr">
        <is>
          <t>СК2</t>
        </is>
      </c>
      <c r="M509" s="33" t="n"/>
      <c r="N509" s="32" t="n">
        <v>40</v>
      </c>
      <c r="O509" s="741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09" s="372" t="n"/>
      <c r="Q509" s="372" t="n"/>
      <c r="R509" s="372" t="n"/>
      <c r="S509" s="370" t="n"/>
      <c r="T509" s="34" t="n"/>
      <c r="U509" s="34" t="n"/>
      <c r="V509" s="35" t="inlineStr">
        <is>
          <t>кг</t>
        </is>
      </c>
      <c r="W509" s="753" t="n">
        <v>0</v>
      </c>
      <c r="X509" s="754">
        <f>IFERROR(IF(W509="",0,CEILING((W509/$H509),1)*$H509),"")</f>
        <v/>
      </c>
      <c r="Y509" s="36">
        <f>IFERROR(IF(X509=0,"",ROUNDUP(X509/H509,0)*0.00753),"")</f>
        <v/>
      </c>
      <c r="Z509" s="56" t="n"/>
      <c r="AA509" s="57" t="n"/>
      <c r="AE509" s="58" t="n"/>
      <c r="BB509" s="345" t="inlineStr">
        <is>
          <t>КИ</t>
        </is>
      </c>
    </row>
    <row r="510" ht="27" customHeight="1">
      <c r="A510" s="54" t="inlineStr">
        <is>
          <t>SU002809</t>
        </is>
      </c>
      <c r="B510" s="54" t="inlineStr">
        <is>
          <t>P003586</t>
        </is>
      </c>
      <c r="C510" s="31" t="n">
        <v>4301031244</v>
      </c>
      <c r="D510" s="369" t="n">
        <v>4640242180595</v>
      </c>
      <c r="E510" s="370" t="n"/>
      <c r="F510" s="752" t="n">
        <v>0.7</v>
      </c>
      <c r="G510" s="32" t="n">
        <v>6</v>
      </c>
      <c r="H510" s="752" t="n">
        <v>4.2</v>
      </c>
      <c r="I510" s="752" t="n">
        <v>4.46</v>
      </c>
      <c r="J510" s="32" t="n">
        <v>156</v>
      </c>
      <c r="K510" s="32" t="inlineStr">
        <is>
          <t>12</t>
        </is>
      </c>
      <c r="L510" s="33" t="inlineStr">
        <is>
          <t>СК2</t>
        </is>
      </c>
      <c r="M510" s="33" t="n"/>
      <c r="N510" s="32" t="n">
        <v>40</v>
      </c>
      <c r="O510" s="634" t="inlineStr">
        <is>
          <t>В/к колбасы «Сервелат Рижский» НТУ Весовые Фиброуз в/у ТМ «Зареченские»</t>
        </is>
      </c>
      <c r="P510" s="372" t="n"/>
      <c r="Q510" s="372" t="n"/>
      <c r="R510" s="372" t="n"/>
      <c r="S510" s="370" t="n"/>
      <c r="T510" s="34" t="n"/>
      <c r="U510" s="34" t="n"/>
      <c r="V510" s="35" t="inlineStr">
        <is>
          <t>кг</t>
        </is>
      </c>
      <c r="W510" s="753" t="n">
        <v>0</v>
      </c>
      <c r="X510" s="754">
        <f>IFERROR(IF(W510="",0,CEILING((W510/$H510),1)*$H510),"")</f>
        <v/>
      </c>
      <c r="Y510" s="36">
        <f>IFERROR(IF(X510=0,"",ROUNDUP(X510/H510,0)*0.00753),"")</f>
        <v/>
      </c>
      <c r="Z510" s="56" t="n"/>
      <c r="AA510" s="57" t="n"/>
      <c r="AE510" s="58" t="n"/>
      <c r="BB510" s="346" t="inlineStr">
        <is>
          <t>КИ</t>
        </is>
      </c>
    </row>
    <row r="511" ht="27" customHeight="1">
      <c r="A511" s="54" t="inlineStr">
        <is>
          <t>SU002855</t>
        </is>
      </c>
      <c r="B511" s="54" t="inlineStr">
        <is>
          <t>P003261</t>
        </is>
      </c>
      <c r="C511" s="31" t="n">
        <v>4301031203</v>
      </c>
      <c r="D511" s="369" t="n">
        <v>4640242180908</v>
      </c>
      <c r="E511" s="370" t="n"/>
      <c r="F511" s="752" t="n">
        <v>0.28</v>
      </c>
      <c r="G511" s="32" t="n">
        <v>6</v>
      </c>
      <c r="H511" s="752" t="n">
        <v>1.68</v>
      </c>
      <c r="I511" s="752" t="n">
        <v>1.81</v>
      </c>
      <c r="J511" s="32" t="n">
        <v>234</v>
      </c>
      <c r="K511" s="32" t="inlineStr">
        <is>
          <t>18</t>
        </is>
      </c>
      <c r="L511" s="33" t="inlineStr">
        <is>
          <t>СК2</t>
        </is>
      </c>
      <c r="M511" s="33" t="n"/>
      <c r="N511" s="32" t="n">
        <v>40</v>
      </c>
      <c r="O511" s="744" t="inlineStr">
        <is>
          <t>Копченые колбасы «Сервелат Пражский» срез Фикс.вес 0,28 фиброуз в/у ТМ «Зареченские»</t>
        </is>
      </c>
      <c r="P511" s="372" t="n"/>
      <c r="Q511" s="372" t="n"/>
      <c r="R511" s="372" t="n"/>
      <c r="S511" s="370" t="n"/>
      <c r="T511" s="34" t="n"/>
      <c r="U511" s="34" t="n"/>
      <c r="V511" s="35" t="inlineStr">
        <is>
          <t>кг</t>
        </is>
      </c>
      <c r="W511" s="753" t="n">
        <v>0</v>
      </c>
      <c r="X511" s="754">
        <f>IFERROR(IF(W511="",0,CEILING((W511/$H511),1)*$H511),"")</f>
        <v/>
      </c>
      <c r="Y511" s="36">
        <f>IFERROR(IF(X511=0,"",ROUNDUP(X511/H511,0)*0.00502),"")</f>
        <v/>
      </c>
      <c r="Z511" s="56" t="n"/>
      <c r="AA511" s="57" t="n"/>
      <c r="AE511" s="58" t="n"/>
      <c r="BB511" s="347" t="inlineStr">
        <is>
          <t>КИ</t>
        </is>
      </c>
    </row>
    <row r="512" ht="27" customHeight="1">
      <c r="A512" s="54" t="inlineStr">
        <is>
          <t>SU002856</t>
        </is>
      </c>
      <c r="B512" s="54" t="inlineStr">
        <is>
          <t>P003257</t>
        </is>
      </c>
      <c r="C512" s="31" t="n">
        <v>4301031200</v>
      </c>
      <c r="D512" s="369" t="n">
        <v>4640242180489</v>
      </c>
      <c r="E512" s="370" t="n"/>
      <c r="F512" s="752" t="n">
        <v>0.28</v>
      </c>
      <c r="G512" s="32" t="n">
        <v>6</v>
      </c>
      <c r="H512" s="752" t="n">
        <v>1.68</v>
      </c>
      <c r="I512" s="752" t="n">
        <v>1.84</v>
      </c>
      <c r="J512" s="32" t="n">
        <v>234</v>
      </c>
      <c r="K512" s="32" t="inlineStr">
        <is>
          <t>18</t>
        </is>
      </c>
      <c r="L512" s="33" t="inlineStr">
        <is>
          <t>СК2</t>
        </is>
      </c>
      <c r="M512" s="33" t="n"/>
      <c r="N512" s="32" t="n">
        <v>40</v>
      </c>
      <c r="O512" s="637" t="inlineStr">
        <is>
          <t>В/к колбасы «Сервелат Рижский» срез Фикс.вес 0,28 Фиброуз в/у ТМ «Зареченские»</t>
        </is>
      </c>
      <c r="P512" s="372" t="n"/>
      <c r="Q512" s="372" t="n"/>
      <c r="R512" s="372" t="n"/>
      <c r="S512" s="370" t="n"/>
      <c r="T512" s="34" t="n"/>
      <c r="U512" s="34" t="n"/>
      <c r="V512" s="35" t="inlineStr">
        <is>
          <t>кг</t>
        </is>
      </c>
      <c r="W512" s="753" t="n">
        <v>0</v>
      </c>
      <c r="X512" s="754">
        <f>IFERROR(IF(W512="",0,CEILING((W512/$H512),1)*$H512),"")</f>
        <v/>
      </c>
      <c r="Y512" s="36">
        <f>IFERROR(IF(X512=0,"",ROUNDUP(X512/H512,0)*0.00502),"")</f>
        <v/>
      </c>
      <c r="Z512" s="56" t="n"/>
      <c r="AA512" s="57" t="n"/>
      <c r="AE512" s="58" t="n"/>
      <c r="BB512" s="348" t="inlineStr">
        <is>
          <t>КИ</t>
        </is>
      </c>
    </row>
    <row r="513">
      <c r="A513" s="396" t="n"/>
      <c r="B513" s="376" t="n"/>
      <c r="C513" s="376" t="n"/>
      <c r="D513" s="376" t="n"/>
      <c r="E513" s="376" t="n"/>
      <c r="F513" s="376" t="n"/>
      <c r="G513" s="376" t="n"/>
      <c r="H513" s="376" t="n"/>
      <c r="I513" s="376" t="n"/>
      <c r="J513" s="376" t="n"/>
      <c r="K513" s="376" t="n"/>
      <c r="L513" s="376" t="n"/>
      <c r="M513" s="376" t="n"/>
      <c r="N513" s="397" t="n"/>
      <c r="O513" s="391" t="inlineStr">
        <is>
          <t>Итого</t>
        </is>
      </c>
      <c r="P513" s="392" t="n"/>
      <c r="Q513" s="392" t="n"/>
      <c r="R513" s="392" t="n"/>
      <c r="S513" s="392" t="n"/>
      <c r="T513" s="392" t="n"/>
      <c r="U513" s="393" t="n"/>
      <c r="V513" s="37" t="inlineStr">
        <is>
          <t>кор</t>
        </is>
      </c>
      <c r="W513" s="755">
        <f>IFERROR(W508/H508,"0")+IFERROR(W509/H509,"0")+IFERROR(W510/H510,"0")+IFERROR(W511/H511,"0")+IFERROR(W512/H512,"0")</f>
        <v/>
      </c>
      <c r="X513" s="755">
        <f>IFERROR(X508/H508,"0")+IFERROR(X509/H509,"0")+IFERROR(X510/H510,"0")+IFERROR(X511/H511,"0")+IFERROR(X512/H512,"0")</f>
        <v/>
      </c>
      <c r="Y513" s="755">
        <f>IFERROR(IF(Y508="",0,Y508),"0")+IFERROR(IF(Y509="",0,Y509),"0")+IFERROR(IF(Y510="",0,Y510),"0")+IFERROR(IF(Y511="",0,Y511),"0")+IFERROR(IF(Y512="",0,Y512),"0")</f>
        <v/>
      </c>
      <c r="Z513" s="756" t="n"/>
      <c r="AA513" s="756" t="n"/>
    </row>
    <row r="514">
      <c r="A514" s="376" t="n"/>
      <c r="B514" s="376" t="n"/>
      <c r="C514" s="376" t="n"/>
      <c r="D514" s="376" t="n"/>
      <c r="E514" s="376" t="n"/>
      <c r="F514" s="376" t="n"/>
      <c r="G514" s="376" t="n"/>
      <c r="H514" s="376" t="n"/>
      <c r="I514" s="376" t="n"/>
      <c r="J514" s="376" t="n"/>
      <c r="K514" s="376" t="n"/>
      <c r="L514" s="376" t="n"/>
      <c r="M514" s="376" t="n"/>
      <c r="N514" s="397" t="n"/>
      <c r="O514" s="391" t="inlineStr">
        <is>
          <t>Итого</t>
        </is>
      </c>
      <c r="P514" s="392" t="n"/>
      <c r="Q514" s="392" t="n"/>
      <c r="R514" s="392" t="n"/>
      <c r="S514" s="392" t="n"/>
      <c r="T514" s="392" t="n"/>
      <c r="U514" s="393" t="n"/>
      <c r="V514" s="37" t="inlineStr">
        <is>
          <t>кг</t>
        </is>
      </c>
      <c r="W514" s="755">
        <f>IFERROR(SUM(W508:W512),"0")</f>
        <v/>
      </c>
      <c r="X514" s="755">
        <f>IFERROR(SUM(X508:X512),"0")</f>
        <v/>
      </c>
      <c r="Y514" s="37" t="n"/>
      <c r="Z514" s="756" t="n"/>
      <c r="AA514" s="756" t="n"/>
    </row>
    <row r="515" ht="14.25" customHeight="1">
      <c r="A515" s="375" t="inlineStr">
        <is>
          <t>Сосиски</t>
        </is>
      </c>
      <c r="B515" s="376" t="n"/>
      <c r="C515" s="376" t="n"/>
      <c r="D515" s="376" t="n"/>
      <c r="E515" s="376" t="n"/>
      <c r="F515" s="376" t="n"/>
      <c r="G515" s="376" t="n"/>
      <c r="H515" s="376" t="n"/>
      <c r="I515" s="376" t="n"/>
      <c r="J515" s="376" t="n"/>
      <c r="K515" s="376" t="n"/>
      <c r="L515" s="376" t="n"/>
      <c r="M515" s="376" t="n"/>
      <c r="N515" s="376" t="n"/>
      <c r="O515" s="376" t="n"/>
      <c r="P515" s="376" t="n"/>
      <c r="Q515" s="376" t="n"/>
      <c r="R515" s="376" t="n"/>
      <c r="S515" s="376" t="n"/>
      <c r="T515" s="376" t="n"/>
      <c r="U515" s="376" t="n"/>
      <c r="V515" s="376" t="n"/>
      <c r="W515" s="376" t="n"/>
      <c r="X515" s="376" t="n"/>
      <c r="Y515" s="376" t="n"/>
      <c r="Z515" s="375" t="n"/>
      <c r="AA515" s="375" t="n"/>
    </row>
    <row r="516" ht="27" customHeight="1">
      <c r="A516" s="54" t="inlineStr">
        <is>
          <t>SU002655</t>
        </is>
      </c>
      <c r="B516" s="54" t="inlineStr">
        <is>
          <t>P003022</t>
        </is>
      </c>
      <c r="C516" s="31" t="n">
        <v>4301051310</v>
      </c>
      <c r="D516" s="369" t="n">
        <v>4680115880870</v>
      </c>
      <c r="E516" s="370" t="n"/>
      <c r="F516" s="752" t="n">
        <v>1.3</v>
      </c>
      <c r="G516" s="32" t="n">
        <v>6</v>
      </c>
      <c r="H516" s="752" t="n">
        <v>7.8</v>
      </c>
      <c r="I516" s="752" t="n">
        <v>8.364000000000001</v>
      </c>
      <c r="J516" s="32" t="n">
        <v>56</v>
      </c>
      <c r="K516" s="32" t="inlineStr">
        <is>
          <t>8</t>
        </is>
      </c>
      <c r="L516" s="33" t="inlineStr">
        <is>
          <t>СК3</t>
        </is>
      </c>
      <c r="M516" s="33" t="n"/>
      <c r="N516" s="32" t="n">
        <v>40</v>
      </c>
      <c r="O516" s="623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/>
      </c>
      <c r="P516" s="372" t="n"/>
      <c r="Q516" s="372" t="n"/>
      <c r="R516" s="372" t="n"/>
      <c r="S516" s="370" t="n"/>
      <c r="T516" s="34" t="n"/>
      <c r="U516" s="34" t="n"/>
      <c r="V516" s="35" t="inlineStr">
        <is>
          <t>кг</t>
        </is>
      </c>
      <c r="W516" s="753" t="n">
        <v>0</v>
      </c>
      <c r="X516" s="754">
        <f>IFERROR(IF(W516="",0,CEILING((W516/$H516),1)*$H516),"")</f>
        <v/>
      </c>
      <c r="Y516" s="36">
        <f>IFERROR(IF(X516=0,"",ROUNDUP(X516/H516,0)*0.02175),"")</f>
        <v/>
      </c>
      <c r="Z516" s="56" t="n"/>
      <c r="AA516" s="57" t="n"/>
      <c r="AE516" s="58" t="n"/>
      <c r="BB516" s="349" t="inlineStr">
        <is>
          <t>КИ</t>
        </is>
      </c>
    </row>
    <row r="517" ht="27" customHeight="1">
      <c r="A517" s="54" t="inlineStr">
        <is>
          <t>SU002803</t>
        </is>
      </c>
      <c r="B517" s="54" t="inlineStr">
        <is>
          <t>P003590</t>
        </is>
      </c>
      <c r="C517" s="31" t="n">
        <v>4301051510</v>
      </c>
      <c r="D517" s="369" t="n">
        <v>4640242180540</v>
      </c>
      <c r="E517" s="370" t="n"/>
      <c r="F517" s="752" t="n">
        <v>1.3</v>
      </c>
      <c r="G517" s="32" t="n">
        <v>6</v>
      </c>
      <c r="H517" s="752" t="n">
        <v>7.8</v>
      </c>
      <c r="I517" s="752" t="n">
        <v>8.364000000000001</v>
      </c>
      <c r="J517" s="32" t="n">
        <v>56</v>
      </c>
      <c r="K517" s="32" t="inlineStr">
        <is>
          <t>8</t>
        </is>
      </c>
      <c r="L517" s="33" t="inlineStr">
        <is>
          <t>СК2</t>
        </is>
      </c>
      <c r="M517" s="33" t="n"/>
      <c r="N517" s="32" t="n">
        <v>30</v>
      </c>
      <c r="O517" s="520" t="inlineStr">
        <is>
          <t>Сосиски «Сочные» Весовой п/а ТМ «Зареченские»</t>
        </is>
      </c>
      <c r="P517" s="372" t="n"/>
      <c r="Q517" s="372" t="n"/>
      <c r="R517" s="372" t="n"/>
      <c r="S517" s="370" t="n"/>
      <c r="T517" s="34" t="n"/>
      <c r="U517" s="34" t="n"/>
      <c r="V517" s="35" t="inlineStr">
        <is>
          <t>кг</t>
        </is>
      </c>
      <c r="W517" s="753" t="n">
        <v>0</v>
      </c>
      <c r="X517" s="754">
        <f>IFERROR(IF(W517="",0,CEILING((W517/$H517),1)*$H517),"")</f>
        <v/>
      </c>
      <c r="Y517" s="36">
        <f>IFERROR(IF(X517=0,"",ROUNDUP(X517/H517,0)*0.02175),"")</f>
        <v/>
      </c>
      <c r="Z517" s="56" t="n"/>
      <c r="AA517" s="57" t="n"/>
      <c r="AE517" s="58" t="n"/>
      <c r="BB517" s="350" t="inlineStr">
        <is>
          <t>КИ</t>
        </is>
      </c>
    </row>
    <row r="518" ht="27" customHeight="1">
      <c r="A518" s="54" t="inlineStr">
        <is>
          <t>SU002812</t>
        </is>
      </c>
      <c r="B518" s="54" t="inlineStr">
        <is>
          <t>P003218</t>
        </is>
      </c>
      <c r="C518" s="31" t="n">
        <v>4301051390</v>
      </c>
      <c r="D518" s="369" t="n">
        <v>4640242181233</v>
      </c>
      <c r="E518" s="370" t="n"/>
      <c r="F518" s="752" t="n">
        <v>0.3</v>
      </c>
      <c r="G518" s="32" t="n">
        <v>6</v>
      </c>
      <c r="H518" s="752" t="n">
        <v>1.8</v>
      </c>
      <c r="I518" s="752" t="n">
        <v>1.984</v>
      </c>
      <c r="J518" s="32" t="n">
        <v>234</v>
      </c>
      <c r="K518" s="32" t="inlineStr">
        <is>
          <t>18</t>
        </is>
      </c>
      <c r="L518" s="33" t="inlineStr">
        <is>
          <t>СК2</t>
        </is>
      </c>
      <c r="M518" s="33" t="n"/>
      <c r="N518" s="32" t="n">
        <v>40</v>
      </c>
      <c r="O518" s="417" t="inlineStr">
        <is>
          <t>Сосиски «Датские» Фикс.вес 0,3 П/а мгс ТМ «Зареченские»</t>
        </is>
      </c>
      <c r="P518" s="372" t="n"/>
      <c r="Q518" s="372" t="n"/>
      <c r="R518" s="372" t="n"/>
      <c r="S518" s="370" t="n"/>
      <c r="T518" s="34" t="n"/>
      <c r="U518" s="34" t="n"/>
      <c r="V518" s="35" t="inlineStr">
        <is>
          <t>кг</t>
        </is>
      </c>
      <c r="W518" s="753" t="n">
        <v>0</v>
      </c>
      <c r="X518" s="754">
        <f>IFERROR(IF(W518="",0,CEILING((W518/$H518),1)*$H518),"")</f>
        <v/>
      </c>
      <c r="Y518" s="36">
        <f>IFERROR(IF(X518=0,"",ROUNDUP(X518/H518,0)*0.00502),"")</f>
        <v/>
      </c>
      <c r="Z518" s="56" t="n"/>
      <c r="AA518" s="57" t="n"/>
      <c r="AE518" s="58" t="n"/>
      <c r="BB518" s="351" t="inlineStr">
        <is>
          <t>КИ</t>
        </is>
      </c>
    </row>
    <row r="519" ht="27" customHeight="1">
      <c r="A519" s="54" t="inlineStr">
        <is>
          <t>SU002804</t>
        </is>
      </c>
      <c r="B519" s="54" t="inlineStr">
        <is>
          <t>P003585</t>
        </is>
      </c>
      <c r="C519" s="31" t="n">
        <v>4301051508</v>
      </c>
      <c r="D519" s="369" t="n">
        <v>4640242180557</v>
      </c>
      <c r="E519" s="370" t="n"/>
      <c r="F519" s="752" t="n">
        <v>0.5</v>
      </c>
      <c r="G519" s="32" t="n">
        <v>6</v>
      </c>
      <c r="H519" s="752" t="n">
        <v>3</v>
      </c>
      <c r="I519" s="752" t="n">
        <v>3.284</v>
      </c>
      <c r="J519" s="32" t="n">
        <v>156</v>
      </c>
      <c r="K519" s="32" t="inlineStr">
        <is>
          <t>12</t>
        </is>
      </c>
      <c r="L519" s="33" t="inlineStr">
        <is>
          <t>СК2</t>
        </is>
      </c>
      <c r="M519" s="33" t="n"/>
      <c r="N519" s="32" t="n">
        <v>30</v>
      </c>
      <c r="O519" s="522" t="inlineStr">
        <is>
          <t>Сосиски «Сочные» Фикс.вес 0,5 п/а ТМ «Зареченские»</t>
        </is>
      </c>
      <c r="P519" s="372" t="n"/>
      <c r="Q519" s="372" t="n"/>
      <c r="R519" s="372" t="n"/>
      <c r="S519" s="370" t="n"/>
      <c r="T519" s="34" t="n"/>
      <c r="U519" s="34" t="n"/>
      <c r="V519" s="35" t="inlineStr">
        <is>
          <t>кг</t>
        </is>
      </c>
      <c r="W519" s="753" t="n">
        <v>0</v>
      </c>
      <c r="X519" s="754">
        <f>IFERROR(IF(W519="",0,CEILING((W519/$H519),1)*$H519),"")</f>
        <v/>
      </c>
      <c r="Y519" s="36">
        <f>IFERROR(IF(X519=0,"",ROUNDUP(X519/H519,0)*0.00753),"")</f>
        <v/>
      </c>
      <c r="Z519" s="56" t="n"/>
      <c r="AA519" s="57" t="n"/>
      <c r="AE519" s="58" t="n"/>
      <c r="BB519" s="352" t="inlineStr">
        <is>
          <t>КИ</t>
        </is>
      </c>
    </row>
    <row r="520" ht="27" customHeight="1">
      <c r="A520" s="54" t="inlineStr">
        <is>
          <t>SU002922</t>
        </is>
      </c>
      <c r="B520" s="54" t="inlineStr">
        <is>
          <t>P003358</t>
        </is>
      </c>
      <c r="C520" s="31" t="n">
        <v>4301051448</v>
      </c>
      <c r="D520" s="369" t="n">
        <v>4640242181226</v>
      </c>
      <c r="E520" s="370" t="n"/>
      <c r="F520" s="752" t="n">
        <v>0.3</v>
      </c>
      <c r="G520" s="32" t="n">
        <v>6</v>
      </c>
      <c r="H520" s="752" t="n">
        <v>1.8</v>
      </c>
      <c r="I520" s="752" t="n">
        <v>1.972</v>
      </c>
      <c r="J520" s="32" t="n">
        <v>234</v>
      </c>
      <c r="K520" s="32" t="inlineStr">
        <is>
          <t>18</t>
        </is>
      </c>
      <c r="L520" s="33" t="inlineStr">
        <is>
          <t>СК2</t>
        </is>
      </c>
      <c r="M520" s="33" t="n"/>
      <c r="N520" s="32" t="n">
        <v>30</v>
      </c>
      <c r="O520" s="455" t="inlineStr">
        <is>
          <t>Сосиски «Сочные» Фикс.Вес 0,3 п/а ТМ «Зареченские»</t>
        </is>
      </c>
      <c r="P520" s="372" t="n"/>
      <c r="Q520" s="372" t="n"/>
      <c r="R520" s="372" t="n"/>
      <c r="S520" s="370" t="n"/>
      <c r="T520" s="34" t="n"/>
      <c r="U520" s="34" t="n"/>
      <c r="V520" s="35" t="inlineStr">
        <is>
          <t>кг</t>
        </is>
      </c>
      <c r="W520" s="753" t="n">
        <v>0</v>
      </c>
      <c r="X520" s="754">
        <f>IFERROR(IF(W520="",0,CEILING((W520/$H520),1)*$H520),"")</f>
        <v/>
      </c>
      <c r="Y520" s="36">
        <f>IFERROR(IF(X520=0,"",ROUNDUP(X520/H520,0)*0.00502),"")</f>
        <v/>
      </c>
      <c r="Z520" s="56" t="n"/>
      <c r="AA520" s="57" t="n"/>
      <c r="AE520" s="58" t="n"/>
      <c r="BB520" s="353" t="inlineStr">
        <is>
          <t>КИ</t>
        </is>
      </c>
    </row>
    <row r="521">
      <c r="A521" s="396" t="n"/>
      <c r="B521" s="376" t="n"/>
      <c r="C521" s="376" t="n"/>
      <c r="D521" s="376" t="n"/>
      <c r="E521" s="376" t="n"/>
      <c r="F521" s="376" t="n"/>
      <c r="G521" s="376" t="n"/>
      <c r="H521" s="376" t="n"/>
      <c r="I521" s="376" t="n"/>
      <c r="J521" s="376" t="n"/>
      <c r="K521" s="376" t="n"/>
      <c r="L521" s="376" t="n"/>
      <c r="M521" s="376" t="n"/>
      <c r="N521" s="397" t="n"/>
      <c r="O521" s="391" t="inlineStr">
        <is>
          <t>Итого</t>
        </is>
      </c>
      <c r="P521" s="392" t="n"/>
      <c r="Q521" s="392" t="n"/>
      <c r="R521" s="392" t="n"/>
      <c r="S521" s="392" t="n"/>
      <c r="T521" s="392" t="n"/>
      <c r="U521" s="393" t="n"/>
      <c r="V521" s="37" t="inlineStr">
        <is>
          <t>кор</t>
        </is>
      </c>
      <c r="W521" s="755">
        <f>IFERROR(W516/H516,"0")+IFERROR(W517/H517,"0")+IFERROR(W518/H518,"0")+IFERROR(W519/H519,"0")+IFERROR(W520/H520,"0")</f>
        <v/>
      </c>
      <c r="X521" s="755">
        <f>IFERROR(X516/H516,"0")+IFERROR(X517/H517,"0")+IFERROR(X518/H518,"0")+IFERROR(X519/H519,"0")+IFERROR(X520/H520,"0")</f>
        <v/>
      </c>
      <c r="Y521" s="755">
        <f>IFERROR(IF(Y516="",0,Y516),"0")+IFERROR(IF(Y517="",0,Y517),"0")+IFERROR(IF(Y518="",0,Y518),"0")+IFERROR(IF(Y519="",0,Y519),"0")+IFERROR(IF(Y520="",0,Y520),"0")</f>
        <v/>
      </c>
      <c r="Z521" s="756" t="n"/>
      <c r="AA521" s="756" t="n"/>
    </row>
    <row r="522">
      <c r="A522" s="376" t="n"/>
      <c r="B522" s="376" t="n"/>
      <c r="C522" s="376" t="n"/>
      <c r="D522" s="376" t="n"/>
      <c r="E522" s="376" t="n"/>
      <c r="F522" s="376" t="n"/>
      <c r="G522" s="376" t="n"/>
      <c r="H522" s="376" t="n"/>
      <c r="I522" s="376" t="n"/>
      <c r="J522" s="376" t="n"/>
      <c r="K522" s="376" t="n"/>
      <c r="L522" s="376" t="n"/>
      <c r="M522" s="376" t="n"/>
      <c r="N522" s="397" t="n"/>
      <c r="O522" s="391" t="inlineStr">
        <is>
          <t>Итого</t>
        </is>
      </c>
      <c r="P522" s="392" t="n"/>
      <c r="Q522" s="392" t="n"/>
      <c r="R522" s="392" t="n"/>
      <c r="S522" s="392" t="n"/>
      <c r="T522" s="392" t="n"/>
      <c r="U522" s="393" t="n"/>
      <c r="V522" s="37" t="inlineStr">
        <is>
          <t>кг</t>
        </is>
      </c>
      <c r="W522" s="755">
        <f>IFERROR(SUM(W516:W520),"0")</f>
        <v/>
      </c>
      <c r="X522" s="755">
        <f>IFERROR(SUM(X516:X520),"0")</f>
        <v/>
      </c>
      <c r="Y522" s="37" t="n"/>
      <c r="Z522" s="756" t="n"/>
      <c r="AA522" s="756" t="n"/>
    </row>
    <row r="523" ht="14.25" customHeight="1">
      <c r="A523" s="375" t="inlineStr">
        <is>
          <t>Сардельки</t>
        </is>
      </c>
      <c r="B523" s="376" t="n"/>
      <c r="C523" s="376" t="n"/>
      <c r="D523" s="376" t="n"/>
      <c r="E523" s="376" t="n"/>
      <c r="F523" s="376" t="n"/>
      <c r="G523" s="376" t="n"/>
      <c r="H523" s="376" t="n"/>
      <c r="I523" s="376" t="n"/>
      <c r="J523" s="376" t="n"/>
      <c r="K523" s="376" t="n"/>
      <c r="L523" s="376" t="n"/>
      <c r="M523" s="376" t="n"/>
      <c r="N523" s="376" t="n"/>
      <c r="O523" s="376" t="n"/>
      <c r="P523" s="376" t="n"/>
      <c r="Q523" s="376" t="n"/>
      <c r="R523" s="376" t="n"/>
      <c r="S523" s="376" t="n"/>
      <c r="T523" s="376" t="n"/>
      <c r="U523" s="376" t="n"/>
      <c r="V523" s="376" t="n"/>
      <c r="W523" s="376" t="n"/>
      <c r="X523" s="376" t="n"/>
      <c r="Y523" s="376" t="n"/>
      <c r="Z523" s="375" t="n"/>
      <c r="AA523" s="375" t="n"/>
    </row>
    <row r="524" ht="27" customHeight="1">
      <c r="A524" s="54" t="inlineStr">
        <is>
          <t>SU002970</t>
        </is>
      </c>
      <c r="B524" s="54" t="inlineStr">
        <is>
          <t>P003422</t>
        </is>
      </c>
      <c r="C524" s="31" t="n">
        <v>4301060354</v>
      </c>
      <c r="D524" s="369" t="n">
        <v>4640242180120</v>
      </c>
      <c r="E524" s="370" t="n"/>
      <c r="F524" s="752" t="n">
        <v>1.3</v>
      </c>
      <c r="G524" s="32" t="n">
        <v>6</v>
      </c>
      <c r="H524" s="752" t="n">
        <v>7.8</v>
      </c>
      <c r="I524" s="752" t="n">
        <v>8.279999999999999</v>
      </c>
      <c r="J524" s="32" t="n">
        <v>56</v>
      </c>
      <c r="K524" s="32" t="inlineStr">
        <is>
          <t>8</t>
        </is>
      </c>
      <c r="L524" s="33" t="inlineStr">
        <is>
          <t>СК2</t>
        </is>
      </c>
      <c r="M524" s="33" t="n"/>
      <c r="N524" s="32" t="n">
        <v>40</v>
      </c>
      <c r="O524" s="626" t="inlineStr">
        <is>
          <t>Сардельки Зареченские Весовой NDX ТМ Зареченские</t>
        </is>
      </c>
      <c r="P524" s="372" t="n"/>
      <c r="Q524" s="372" t="n"/>
      <c r="R524" s="372" t="n"/>
      <c r="S524" s="370" t="n"/>
      <c r="T524" s="34" t="n"/>
      <c r="U524" s="34" t="n"/>
      <c r="V524" s="35" t="inlineStr">
        <is>
          <t>кг</t>
        </is>
      </c>
      <c r="W524" s="753" t="n">
        <v>0</v>
      </c>
      <c r="X524" s="754">
        <f>IFERROR(IF(W524="",0,CEILING((W524/$H524),1)*$H524),"")</f>
        <v/>
      </c>
      <c r="Y524" s="36">
        <f>IFERROR(IF(X524=0,"",ROUNDUP(X524/H524,0)*0.02175),"")</f>
        <v/>
      </c>
      <c r="Z524" s="56" t="n"/>
      <c r="AA524" s="57" t="n"/>
      <c r="AE524" s="58" t="n"/>
      <c r="BB524" s="354" t="inlineStr">
        <is>
          <t>КИ</t>
        </is>
      </c>
    </row>
    <row r="525" ht="27" customHeight="1">
      <c r="A525" s="54" t="inlineStr">
        <is>
          <t>SU002971</t>
        </is>
      </c>
      <c r="B525" s="54" t="inlineStr">
        <is>
          <t>P003425</t>
        </is>
      </c>
      <c r="C525" s="31" t="n">
        <v>4301060355</v>
      </c>
      <c r="D525" s="369" t="n">
        <v>4640242180137</v>
      </c>
      <c r="E525" s="370" t="n"/>
      <c r="F525" s="752" t="n">
        <v>1.3</v>
      </c>
      <c r="G525" s="32" t="n">
        <v>6</v>
      </c>
      <c r="H525" s="752" t="n">
        <v>7.8</v>
      </c>
      <c r="I525" s="752" t="n">
        <v>8.279999999999999</v>
      </c>
      <c r="J525" s="32" t="n">
        <v>56</v>
      </c>
      <c r="K525" s="32" t="inlineStr">
        <is>
          <t>8</t>
        </is>
      </c>
      <c r="L525" s="33" t="inlineStr">
        <is>
          <t>СК2</t>
        </is>
      </c>
      <c r="M525" s="33" t="n"/>
      <c r="N525" s="32" t="n">
        <v>40</v>
      </c>
      <c r="O525" s="676" t="inlineStr">
        <is>
          <t>Сардельки Шпикачки Зареченские Весовой NDX ТМ Зареченские</t>
        </is>
      </c>
      <c r="P525" s="372" t="n"/>
      <c r="Q525" s="372" t="n"/>
      <c r="R525" s="372" t="n"/>
      <c r="S525" s="370" t="n"/>
      <c r="T525" s="34" t="n"/>
      <c r="U525" s="34" t="n"/>
      <c r="V525" s="35" t="inlineStr">
        <is>
          <t>кг</t>
        </is>
      </c>
      <c r="W525" s="753" t="n">
        <v>0</v>
      </c>
      <c r="X525" s="754">
        <f>IFERROR(IF(W525="",0,CEILING((W525/$H525),1)*$H525),"")</f>
        <v/>
      </c>
      <c r="Y525" s="36">
        <f>IFERROR(IF(X525=0,"",ROUNDUP(X525/H525,0)*0.02175),"")</f>
        <v/>
      </c>
      <c r="Z525" s="56" t="n"/>
      <c r="AA525" s="57" t="n"/>
      <c r="AE525" s="58" t="n"/>
      <c r="BB525" s="355" t="inlineStr">
        <is>
          <t>КИ</t>
        </is>
      </c>
    </row>
    <row r="526">
      <c r="A526" s="396" t="n"/>
      <c r="B526" s="376" t="n"/>
      <c r="C526" s="376" t="n"/>
      <c r="D526" s="376" t="n"/>
      <c r="E526" s="376" t="n"/>
      <c r="F526" s="376" t="n"/>
      <c r="G526" s="376" t="n"/>
      <c r="H526" s="376" t="n"/>
      <c r="I526" s="376" t="n"/>
      <c r="J526" s="376" t="n"/>
      <c r="K526" s="376" t="n"/>
      <c r="L526" s="376" t="n"/>
      <c r="M526" s="376" t="n"/>
      <c r="N526" s="397" t="n"/>
      <c r="O526" s="391" t="inlineStr">
        <is>
          <t>Итого</t>
        </is>
      </c>
      <c r="P526" s="392" t="n"/>
      <c r="Q526" s="392" t="n"/>
      <c r="R526" s="392" t="n"/>
      <c r="S526" s="392" t="n"/>
      <c r="T526" s="392" t="n"/>
      <c r="U526" s="393" t="n"/>
      <c r="V526" s="37" t="inlineStr">
        <is>
          <t>кор</t>
        </is>
      </c>
      <c r="W526" s="755">
        <f>IFERROR(W524/H524,"0")+IFERROR(W525/H525,"0")</f>
        <v/>
      </c>
      <c r="X526" s="755">
        <f>IFERROR(X524/H524,"0")+IFERROR(X525/H525,"0")</f>
        <v/>
      </c>
      <c r="Y526" s="755">
        <f>IFERROR(IF(Y524="",0,Y524),"0")+IFERROR(IF(Y525="",0,Y525),"0")</f>
        <v/>
      </c>
      <c r="Z526" s="756" t="n"/>
      <c r="AA526" s="756" t="n"/>
    </row>
    <row r="527">
      <c r="A527" s="376" t="n"/>
      <c r="B527" s="376" t="n"/>
      <c r="C527" s="376" t="n"/>
      <c r="D527" s="376" t="n"/>
      <c r="E527" s="376" t="n"/>
      <c r="F527" s="376" t="n"/>
      <c r="G527" s="376" t="n"/>
      <c r="H527" s="376" t="n"/>
      <c r="I527" s="376" t="n"/>
      <c r="J527" s="376" t="n"/>
      <c r="K527" s="376" t="n"/>
      <c r="L527" s="376" t="n"/>
      <c r="M527" s="376" t="n"/>
      <c r="N527" s="397" t="n"/>
      <c r="O527" s="391" t="inlineStr">
        <is>
          <t>Итого</t>
        </is>
      </c>
      <c r="P527" s="392" t="n"/>
      <c r="Q527" s="392" t="n"/>
      <c r="R527" s="392" t="n"/>
      <c r="S527" s="392" t="n"/>
      <c r="T527" s="392" t="n"/>
      <c r="U527" s="393" t="n"/>
      <c r="V527" s="37" t="inlineStr">
        <is>
          <t>кг</t>
        </is>
      </c>
      <c r="W527" s="755">
        <f>IFERROR(SUM(W524:W525),"0")</f>
        <v/>
      </c>
      <c r="X527" s="755">
        <f>IFERROR(SUM(X524:X525),"0")</f>
        <v/>
      </c>
      <c r="Y527" s="37" t="n"/>
      <c r="Z527" s="756" t="n"/>
      <c r="AA527" s="756" t="n"/>
    </row>
    <row r="528" ht="15" customHeight="1">
      <c r="A528" s="619" t="n"/>
      <c r="B528" s="376" t="n"/>
      <c r="C528" s="376" t="n"/>
      <c r="D528" s="376" t="n"/>
      <c r="E528" s="376" t="n"/>
      <c r="F528" s="376" t="n"/>
      <c r="G528" s="376" t="n"/>
      <c r="H528" s="376" t="n"/>
      <c r="I528" s="376" t="n"/>
      <c r="J528" s="376" t="n"/>
      <c r="K528" s="376" t="n"/>
      <c r="L528" s="376" t="n"/>
      <c r="M528" s="376" t="n"/>
      <c r="N528" s="424" t="n"/>
      <c r="O528" s="481" t="inlineStr">
        <is>
          <t>ИТОГО НЕТТО</t>
        </is>
      </c>
      <c r="P528" s="482" t="n"/>
      <c r="Q528" s="482" t="n"/>
      <c r="R528" s="482" t="n"/>
      <c r="S528" s="482" t="n"/>
      <c r="T528" s="482" t="n"/>
      <c r="U528" s="483" t="n"/>
      <c r="V528" s="37" t="inlineStr">
        <is>
          <t>кг</t>
        </is>
      </c>
      <c r="W528" s="755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/>
      </c>
      <c r="X528" s="755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/>
      </c>
      <c r="Y528" s="37" t="n"/>
      <c r="Z528" s="756" t="n"/>
      <c r="AA528" s="756" t="n"/>
    </row>
    <row r="529">
      <c r="A529" s="376" t="n"/>
      <c r="B529" s="376" t="n"/>
      <c r="C529" s="376" t="n"/>
      <c r="D529" s="376" t="n"/>
      <c r="E529" s="376" t="n"/>
      <c r="F529" s="376" t="n"/>
      <c r="G529" s="376" t="n"/>
      <c r="H529" s="376" t="n"/>
      <c r="I529" s="376" t="n"/>
      <c r="J529" s="376" t="n"/>
      <c r="K529" s="376" t="n"/>
      <c r="L529" s="376" t="n"/>
      <c r="M529" s="376" t="n"/>
      <c r="N529" s="424" t="n"/>
      <c r="O529" s="481" t="inlineStr">
        <is>
          <t>ИТОГО БРУТТО</t>
        </is>
      </c>
      <c r="P529" s="482" t="n"/>
      <c r="Q529" s="482" t="n"/>
      <c r="R529" s="482" t="n"/>
      <c r="S529" s="482" t="n"/>
      <c r="T529" s="482" t="n"/>
      <c r="U529" s="483" t="n"/>
      <c r="V529" s="37" t="inlineStr">
        <is>
          <t>кг</t>
        </is>
      </c>
      <c r="W529" s="7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/>
      </c>
      <c r="X529" s="755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/>
      </c>
      <c r="Y529" s="37" t="n"/>
      <c r="Z529" s="756" t="n"/>
      <c r="AA529" s="756" t="n"/>
    </row>
    <row r="530">
      <c r="A530" s="376" t="n"/>
      <c r="B530" s="376" t="n"/>
      <c r="C530" s="376" t="n"/>
      <c r="D530" s="376" t="n"/>
      <c r="E530" s="376" t="n"/>
      <c r="F530" s="376" t="n"/>
      <c r="G530" s="376" t="n"/>
      <c r="H530" s="376" t="n"/>
      <c r="I530" s="376" t="n"/>
      <c r="J530" s="376" t="n"/>
      <c r="K530" s="376" t="n"/>
      <c r="L530" s="376" t="n"/>
      <c r="M530" s="376" t="n"/>
      <c r="N530" s="424" t="n"/>
      <c r="O530" s="481" t="inlineStr">
        <is>
          <t>Кол-во паллет</t>
        </is>
      </c>
      <c r="P530" s="482" t="n"/>
      <c r="Q530" s="482" t="n"/>
      <c r="R530" s="482" t="n"/>
      <c r="S530" s="482" t="n"/>
      <c r="T530" s="482" t="n"/>
      <c r="U530" s="483" t="n"/>
      <c r="V530" s="37" t="inlineStr">
        <is>
          <t>шт</t>
        </is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/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/>
      </c>
      <c r="Y530" s="37" t="n"/>
      <c r="Z530" s="756" t="n"/>
      <c r="AA530" s="756" t="n"/>
    </row>
    <row r="531">
      <c r="A531" s="376" t="n"/>
      <c r="B531" s="376" t="n"/>
      <c r="C531" s="376" t="n"/>
      <c r="D531" s="376" t="n"/>
      <c r="E531" s="376" t="n"/>
      <c r="F531" s="376" t="n"/>
      <c r="G531" s="376" t="n"/>
      <c r="H531" s="376" t="n"/>
      <c r="I531" s="376" t="n"/>
      <c r="J531" s="376" t="n"/>
      <c r="K531" s="376" t="n"/>
      <c r="L531" s="376" t="n"/>
      <c r="M531" s="376" t="n"/>
      <c r="N531" s="424" t="n"/>
      <c r="O531" s="481" t="inlineStr">
        <is>
          <t>Вес брутто  с паллетами</t>
        </is>
      </c>
      <c r="P531" s="482" t="n"/>
      <c r="Q531" s="482" t="n"/>
      <c r="R531" s="482" t="n"/>
      <c r="S531" s="482" t="n"/>
      <c r="T531" s="482" t="n"/>
      <c r="U531" s="483" t="n"/>
      <c r="V531" s="37" t="inlineStr">
        <is>
          <t>кг</t>
        </is>
      </c>
      <c r="W531" s="755">
        <f>GrossWeightTotal+PalletQtyTotal*25</f>
        <v/>
      </c>
      <c r="X531" s="755">
        <f>GrossWeightTotalR+PalletQtyTotalR*25</f>
        <v/>
      </c>
      <c r="Y531" s="37" t="n"/>
      <c r="Z531" s="756" t="n"/>
      <c r="AA531" s="756" t="n"/>
    </row>
    <row r="532">
      <c r="A532" s="376" t="n"/>
      <c r="B532" s="376" t="n"/>
      <c r="C532" s="376" t="n"/>
      <c r="D532" s="376" t="n"/>
      <c r="E532" s="376" t="n"/>
      <c r="F532" s="376" t="n"/>
      <c r="G532" s="376" t="n"/>
      <c r="H532" s="376" t="n"/>
      <c r="I532" s="376" t="n"/>
      <c r="J532" s="376" t="n"/>
      <c r="K532" s="376" t="n"/>
      <c r="L532" s="376" t="n"/>
      <c r="M532" s="376" t="n"/>
      <c r="N532" s="424" t="n"/>
      <c r="O532" s="481" t="inlineStr">
        <is>
          <t>Кол-во коробок</t>
        </is>
      </c>
      <c r="P532" s="482" t="n"/>
      <c r="Q532" s="482" t="n"/>
      <c r="R532" s="482" t="n"/>
      <c r="S532" s="482" t="n"/>
      <c r="T532" s="482" t="n"/>
      <c r="U532" s="483" t="n"/>
      <c r="V532" s="37" t="inlineStr">
        <is>
          <t>шт</t>
        </is>
      </c>
      <c r="W532" s="755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/>
      </c>
      <c r="X532" s="755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/>
      </c>
      <c r="Y532" s="37" t="n"/>
      <c r="Z532" s="756" t="n"/>
      <c r="AA532" s="756" t="n"/>
    </row>
    <row r="533" ht="14.25" customHeight="1">
      <c r="A533" s="376" t="n"/>
      <c r="B533" s="376" t="n"/>
      <c r="C533" s="376" t="n"/>
      <c r="D533" s="376" t="n"/>
      <c r="E533" s="376" t="n"/>
      <c r="F533" s="376" t="n"/>
      <c r="G533" s="376" t="n"/>
      <c r="H533" s="376" t="n"/>
      <c r="I533" s="376" t="n"/>
      <c r="J533" s="376" t="n"/>
      <c r="K533" s="376" t="n"/>
      <c r="L533" s="376" t="n"/>
      <c r="M533" s="376" t="n"/>
      <c r="N533" s="424" t="n"/>
      <c r="O533" s="481" t="inlineStr">
        <is>
          <t>Объем заказа</t>
        </is>
      </c>
      <c r="P533" s="482" t="n"/>
      <c r="Q533" s="482" t="n"/>
      <c r="R533" s="482" t="n"/>
      <c r="S533" s="482" t="n"/>
      <c r="T533" s="482" t="n"/>
      <c r="U533" s="483" t="n"/>
      <c r="V533" s="39" t="inlineStr">
        <is>
          <t>м3</t>
        </is>
      </c>
      <c r="W533" s="37" t="n"/>
      <c r="X533" s="37" t="n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/>
      </c>
      <c r="Z533" s="756" t="n"/>
      <c r="AA533" s="756" t="n"/>
    </row>
    <row r="534" ht="13.5" customHeight="1" thickBot="1"/>
    <row r="535" ht="27" customHeight="1" thickBot="1" thickTop="1">
      <c r="A535" s="40" t="inlineStr">
        <is>
          <t>ТОРГОВАЯ МАРКА</t>
        </is>
      </c>
      <c r="B535" s="401" t="inlineStr">
        <is>
          <t>Ядрена копоть</t>
        </is>
      </c>
      <c r="C535" s="401" t="inlineStr">
        <is>
          <t>Вязанка</t>
        </is>
      </c>
      <c r="D535" s="589" t="n"/>
      <c r="E535" s="589" t="n"/>
      <c r="F535" s="590" t="n"/>
      <c r="G535" s="401" t="inlineStr">
        <is>
          <t>Стародворье</t>
        </is>
      </c>
      <c r="H535" s="589" t="n"/>
      <c r="I535" s="589" t="n"/>
      <c r="J535" s="589" t="n"/>
      <c r="K535" s="589" t="n"/>
      <c r="L535" s="589" t="n"/>
      <c r="M535" s="589" t="n"/>
      <c r="N535" s="589" t="n"/>
      <c r="O535" s="589" t="n"/>
      <c r="P535" s="590" t="n"/>
      <c r="Q535" s="401" t="inlineStr">
        <is>
          <t>Особый рецепт</t>
        </is>
      </c>
      <c r="R535" s="590" t="n"/>
      <c r="S535" s="401" t="inlineStr">
        <is>
          <t>Баварушка</t>
        </is>
      </c>
      <c r="T535" s="590" t="n"/>
      <c r="U535" s="401" t="inlineStr">
        <is>
          <t>Дугушка</t>
        </is>
      </c>
      <c r="V535" s="401" t="inlineStr">
        <is>
          <t>Зареченские</t>
        </is>
      </c>
      <c r="AA535" s="52" t="n"/>
      <c r="AD535" s="376" t="n"/>
    </row>
    <row r="536" ht="14.25" customHeight="1" thickTop="1">
      <c r="A536" s="566" t="inlineStr">
        <is>
          <t>СЕРИЯ</t>
        </is>
      </c>
      <c r="B536" s="401" t="inlineStr">
        <is>
          <t>Ядрена копоть</t>
        </is>
      </c>
      <c r="C536" s="401" t="inlineStr">
        <is>
          <t>Столичная</t>
        </is>
      </c>
      <c r="D536" s="401" t="inlineStr">
        <is>
          <t>Классическая</t>
        </is>
      </c>
      <c r="E536" s="401" t="inlineStr">
        <is>
          <t>Вязанка</t>
        </is>
      </c>
      <c r="F536" s="401" t="inlineStr">
        <is>
          <t>Сливушки</t>
        </is>
      </c>
      <c r="G536" s="401" t="inlineStr">
        <is>
          <t>Золоченная в печи</t>
        </is>
      </c>
      <c r="H536" s="401" t="inlineStr">
        <is>
          <t>Мясорубская</t>
        </is>
      </c>
      <c r="I536" s="401" t="inlineStr">
        <is>
          <t>Сочинка</t>
        </is>
      </c>
      <c r="J536" s="401" t="inlineStr">
        <is>
          <t>Филедворская</t>
        </is>
      </c>
      <c r="K536" s="376" t="n"/>
      <c r="L536" s="401" t="inlineStr">
        <is>
          <t>Бордо</t>
        </is>
      </c>
      <c r="M536" s="376" t="n"/>
      <c r="N536" s="401" t="inlineStr">
        <is>
          <t>Бордо</t>
        </is>
      </c>
      <c r="O536" s="401" t="inlineStr">
        <is>
          <t>Фирменная</t>
        </is>
      </c>
      <c r="P536" s="401" t="inlineStr">
        <is>
          <t>Бавария</t>
        </is>
      </c>
      <c r="Q536" s="401" t="inlineStr">
        <is>
          <t>Особая</t>
        </is>
      </c>
      <c r="R536" s="401" t="inlineStr">
        <is>
          <t>Особая Без свинины</t>
        </is>
      </c>
      <c r="S536" s="401" t="inlineStr">
        <is>
          <t>Филейбургская</t>
        </is>
      </c>
      <c r="T536" s="401" t="inlineStr">
        <is>
          <t>Балыкбургская</t>
        </is>
      </c>
      <c r="U536" s="401" t="inlineStr">
        <is>
          <t>Дугушка</t>
        </is>
      </c>
      <c r="V536" s="401" t="inlineStr">
        <is>
          <t>Зареченские продукты</t>
        </is>
      </c>
      <c r="AA536" s="52" t="n"/>
      <c r="AD536" s="376" t="n"/>
    </row>
    <row r="537" ht="13.5" customHeight="1" thickBot="1">
      <c r="A537" s="567" t="n"/>
      <c r="B537" s="402" t="n"/>
      <c r="C537" s="402" t="n"/>
      <c r="D537" s="402" t="n"/>
      <c r="E537" s="402" t="n"/>
      <c r="F537" s="402" t="n"/>
      <c r="G537" s="402" t="n"/>
      <c r="H537" s="402" t="n"/>
      <c r="I537" s="402" t="n"/>
      <c r="J537" s="402" t="n"/>
      <c r="K537" s="376" t="n"/>
      <c r="L537" s="402" t="n"/>
      <c r="M537" s="376" t="n"/>
      <c r="N537" s="402" t="n"/>
      <c r="O537" s="402" t="n"/>
      <c r="P537" s="402" t="n"/>
      <c r="Q537" s="402" t="n"/>
      <c r="R537" s="402" t="n"/>
      <c r="S537" s="402" t="n"/>
      <c r="T537" s="402" t="n"/>
      <c r="U537" s="402" t="n"/>
      <c r="V537" s="402" t="n"/>
      <c r="AA537" s="52" t="n"/>
      <c r="AD537" s="376" t="n"/>
    </row>
    <row r="538" ht="18" customHeight="1" thickBot="1" thickTop="1">
      <c r="A538" s="40" t="inlineStr">
        <is>
          <t>ИТОГО, кг</t>
        </is>
      </c>
      <c r="B538" s="46">
        <f>IFERROR(X22*1,"0")+IFERROR(X26*1,"0")+IFERROR(X27*1,"0")+IFERROR(X28*1,"0")+IFERROR(X29*1,"0")+IFERROR(X30*1,"0")+IFERROR(X31*1,"0")+IFERROR(X32*1,"0")+IFERROR(X36*1,"0")+IFERROR(X40*1,"0")+IFERROR(X44*1,"0")</f>
        <v/>
      </c>
      <c r="C538" s="46">
        <f>IFERROR(X50*1,"0")+IFERROR(X51*1,"0")</f>
        <v/>
      </c>
      <c r="D538" s="46">
        <f>IFERROR(X56*1,"0")+IFERROR(X57*1,"0")+IFERROR(X58*1,"0")+IFERROR(X59*1,"0")</f>
        <v/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/>
      </c>
      <c r="F538" s="46">
        <f>IFERROR(X135*1,"0")+IFERROR(X136*1,"0")+IFERROR(X137*1,"0")+IFERROR(X138*1,"0")+IFERROR(X139*1,"0")</f>
        <v/>
      </c>
      <c r="G538" s="46">
        <f>IFERROR(X145*1,"0")+IFERROR(X146*1,"0")+IFERROR(X147*1,"0")</f>
        <v/>
      </c>
      <c r="H538" s="46">
        <f>IFERROR(X152*1,"0")+IFERROR(X153*1,"0")+IFERROR(X154*1,"0")+IFERROR(X155*1,"0")+IFERROR(X156*1,"0")+IFERROR(X157*1,"0")+IFERROR(X158*1,"0")+IFERROR(X159*1,"0")+IFERROR(X160*1,"0")</f>
        <v/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/>
      </c>
      <c r="J538" s="46">
        <f>IFERROR(X210*1,"0")+IFERROR(X211*1,"0")+IFERROR(X212*1,"0")+IFERROR(X213*1,"0")+IFERROR(X214*1,"0")+IFERROR(X215*1,"0")+IFERROR(X219*1,"0")+IFERROR(X220*1,"0")</f>
        <v/>
      </c>
      <c r="K538" s="376" t="n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/>
      </c>
      <c r="M538" s="376" t="n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/>
      </c>
      <c r="O538" s="46">
        <f>IFERROR(X296*1,"0")+IFERROR(X297*1,"0")+IFERROR(X298*1,"0")+IFERROR(X299*1,"0")+IFERROR(X300*1,"0")+IFERROR(X301*1,"0")+IFERROR(X302*1,"0")+IFERROR(X303*1,"0")+IFERROR(X307*1,"0")+IFERROR(X308*1,"0")</f>
        <v/>
      </c>
      <c r="P538" s="46">
        <f>IFERROR(X313*1,"0")+IFERROR(X317*1,"0")+IFERROR(X318*1,"0")+IFERROR(X319*1,"0")+IFERROR(X323*1,"0")+IFERROR(X327*1,"0")</f>
        <v/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/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/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/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/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/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/>
      </c>
      <c r="AA538" s="52" t="n"/>
      <c r="AD538" s="376" t="n"/>
    </row>
    <row r="53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GRbCxL3EtPd8vz/JghYpA==" formatRows="1" sort="0" spinCount="100000" hashValue="1ZG02uNDQnHY2mjQv+IINu78cWwoyaDrnhPqIjrbA6+hqdaae4KDsXSb+lIDaw4j+5Q3Sgom+6/BFlTmo/Y+jg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61"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E536:E537"/>
    <mergeCell ref="O31:S31"/>
    <mergeCell ref="O202:S202"/>
    <mergeCell ref="D238:E238"/>
    <mergeCell ref="O437:U4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454:S454"/>
    <mergeCell ref="O305:U305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482:S482"/>
    <mergeCell ref="O140:U140"/>
    <mergeCell ref="O382:U382"/>
    <mergeCell ref="D360:E360"/>
    <mergeCell ref="O2:V3"/>
    <mergeCell ref="D431:E431"/>
    <mergeCell ref="A513:N514"/>
    <mergeCell ref="S6:T9"/>
    <mergeCell ref="D195:E195"/>
    <mergeCell ref="D189:E189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W17:W18"/>
    <mergeCell ref="O80:S80"/>
    <mergeCell ref="O273:S273"/>
    <mergeCell ref="G536:G537"/>
    <mergeCell ref="O444:S444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520:S520"/>
    <mergeCell ref="O99:S99"/>
    <mergeCell ref="O457:S457"/>
    <mergeCell ref="D214:E214"/>
    <mergeCell ref="O236:S236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28:E28"/>
    <mergeCell ref="D313:E313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A515:Y515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8:L8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O71:S71"/>
    <mergeCell ref="O302:S302"/>
    <mergeCell ref="O307:S307"/>
    <mergeCell ref="D211:E211"/>
    <mergeCell ref="D1:F1"/>
    <mergeCell ref="O58:S58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115:S115"/>
    <mergeCell ref="D334:E334"/>
    <mergeCell ref="O66:S66"/>
    <mergeCell ref="O237:S237"/>
    <mergeCell ref="A163:Y163"/>
    <mergeCell ref="O473:S473"/>
    <mergeCell ref="A223:Y223"/>
    <mergeCell ref="A294:Y294"/>
    <mergeCell ref="O102:S102"/>
    <mergeCell ref="O229:S229"/>
    <mergeCell ref="O400:S400"/>
    <mergeCell ref="O251:U251"/>
    <mergeCell ref="O289:S289"/>
    <mergeCell ref="D100:E100"/>
    <mergeCell ref="O68:S68"/>
    <mergeCell ref="O239:S239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O517:S517"/>
    <mergeCell ref="O485:U485"/>
    <mergeCell ref="O162:U162"/>
    <mergeCell ref="D260:E260"/>
    <mergeCell ref="O531:U531"/>
    <mergeCell ref="A60:N61"/>
    <mergeCell ref="A6:C6"/>
    <mergeCell ref="A282:Y282"/>
    <mergeCell ref="D113:E113"/>
    <mergeCell ref="A453:Y453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P9:Q9"/>
    <mergeCell ref="O166:S166"/>
    <mergeCell ref="O408:S408"/>
    <mergeCell ref="O464:S464"/>
    <mergeCell ref="O528:U528"/>
    <mergeCell ref="O402:S402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D464:E464"/>
    <mergeCell ref="D402:E402"/>
    <mergeCell ref="O480:U480"/>
    <mergeCell ref="A17:A18"/>
    <mergeCell ref="K17:K18"/>
    <mergeCell ref="O132:U132"/>
    <mergeCell ref="C17:C18"/>
    <mergeCell ref="O325:U325"/>
    <mergeCell ref="O403:S403"/>
    <mergeCell ref="D103:E103"/>
    <mergeCell ref="O490:U490"/>
    <mergeCell ref="D230:E230"/>
    <mergeCell ref="A304:N305"/>
    <mergeCell ref="D339:E339"/>
    <mergeCell ref="D401:E401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A428:Y428"/>
    <mergeCell ref="O258:S258"/>
    <mergeCell ref="O429:S429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27:E27"/>
    <mergeCell ref="D396:E396"/>
    <mergeCell ref="A274:N275"/>
    <mergeCell ref="D456:E456"/>
    <mergeCell ref="D116:E116"/>
    <mergeCell ref="V536:V537"/>
    <mergeCell ref="D91:E91"/>
    <mergeCell ref="O113:S113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H536:H537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72:Y472"/>
    <mergeCell ref="P12:Q12"/>
    <mergeCell ref="A423:Y423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O489:U489"/>
    <mergeCell ref="D119:E119"/>
    <mergeCell ref="A381:N382"/>
    <mergeCell ref="D190:E190"/>
    <mergeCell ref="C536:C537"/>
    <mergeCell ref="D246:E246"/>
    <mergeCell ref="O262:U262"/>
    <mergeCell ref="A536:A537"/>
    <mergeCell ref="D40:E40"/>
    <mergeCell ref="O122:U122"/>
    <mergeCell ref="D111:E111"/>
    <mergeCell ref="D338:E338"/>
    <mergeCell ref="A356:N357"/>
    <mergeCell ref="D409:E409"/>
    <mergeCell ref="D488:E488"/>
    <mergeCell ref="O420:U420"/>
    <mergeCell ref="D469:E469"/>
    <mergeCell ref="A134:Y134"/>
    <mergeCell ref="O108:S108"/>
    <mergeCell ref="A445:N446"/>
    <mergeCell ref="D183:E183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32:S32"/>
    <mergeCell ref="O137:S137"/>
    <mergeCell ref="O259:S259"/>
    <mergeCell ref="O26:S26"/>
    <mergeCell ref="O197:S197"/>
    <mergeCell ref="O495:S495"/>
    <mergeCell ref="D277:E277"/>
    <mergeCell ref="O124:S124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O27:S2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283:E283"/>
    <mergeCell ref="O499:U499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H1:P1"/>
    <mergeCell ref="A501:Y501"/>
    <mergeCell ref="A379:Y379"/>
    <mergeCell ref="D64:E64"/>
    <mergeCell ref="O138:S138"/>
    <mergeCell ref="S5:T5"/>
    <mergeCell ref="O76:S76"/>
    <mergeCell ref="A208:Y208"/>
    <mergeCell ref="U5:V5"/>
    <mergeCell ref="D51:E51"/>
    <mergeCell ref="O203:S203"/>
    <mergeCell ref="D362:E362"/>
    <mergeCell ref="O374:S374"/>
    <mergeCell ref="D476:E476"/>
    <mergeCell ref="O165:S165"/>
    <mergeCell ref="O361:S361"/>
    <mergeCell ref="A493:Y493"/>
    <mergeCell ref="O217:U217"/>
    <mergeCell ref="A443:Y443"/>
    <mergeCell ref="O267:S267"/>
    <mergeCell ref="D138:E138"/>
    <mergeCell ref="O425:S425"/>
    <mergeCell ref="O496:S496"/>
    <mergeCell ref="O347:U347"/>
    <mergeCell ref="D203:E203"/>
    <mergeCell ref="O77:S77"/>
    <mergeCell ref="D374:E374"/>
    <mergeCell ref="P10:Q10"/>
    <mergeCell ref="O204:S204"/>
    <mergeCell ref="A179:N180"/>
    <mergeCell ref="O375:S375"/>
    <mergeCell ref="O269:S269"/>
    <mergeCell ref="O440:S440"/>
    <mergeCell ref="O389:U389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O516:S516"/>
    <mergeCell ref="D298:E298"/>
    <mergeCell ref="O345:S345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AA17:AA18"/>
    <mergeCell ref="O346:S346"/>
    <mergeCell ref="A264:Y264"/>
    <mergeCell ref="D418:E418"/>
    <mergeCell ref="D89:E89"/>
    <mergeCell ref="D393:E393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A209:Y209"/>
    <mergeCell ref="A451:Y451"/>
    <mergeCell ref="O250:S250"/>
    <mergeCell ref="O366:U366"/>
    <mergeCell ref="D194:E194"/>
    <mergeCell ref="Z17:Z18"/>
    <mergeCell ref="O212:S212"/>
    <mergeCell ref="A414:N415"/>
    <mergeCell ref="J536:J537"/>
    <mergeCell ref="O510:S510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D510:E510"/>
    <mergeCell ref="O328:U328"/>
    <mergeCell ref="D439:E439"/>
    <mergeCell ref="O222:U222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O303:S303"/>
    <mergeCell ref="O159:S159"/>
    <mergeCell ref="O521:U521"/>
    <mergeCell ref="D299:E299"/>
    <mergeCell ref="O395:S395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A224:Y224"/>
    <mergeCell ref="O98:S98"/>
    <mergeCell ref="O298:S298"/>
    <mergeCell ref="O396:S396"/>
    <mergeCell ref="O225:S225"/>
    <mergeCell ref="O285:S285"/>
    <mergeCell ref="O461:S461"/>
    <mergeCell ref="A104:N105"/>
    <mergeCell ref="D459:E459"/>
    <mergeCell ref="A288:Y288"/>
    <mergeCell ref="O404:U404"/>
    <mergeCell ref="O156:S156"/>
    <mergeCell ref="D136:E136"/>
    <mergeCell ref="O227:S227"/>
    <mergeCell ref="O398:S398"/>
    <mergeCell ref="D434:E434"/>
    <mergeCell ref="O105:U105"/>
    <mergeCell ref="D154:E154"/>
    <mergeCell ref="O314:U314"/>
    <mergeCell ref="D225:E225"/>
    <mergeCell ref="O53:U53"/>
    <mergeCell ref="O373:S373"/>
    <mergeCell ref="A404:N405"/>
    <mergeCell ref="A93:N94"/>
    <mergeCell ref="D461:E461"/>
    <mergeCell ref="A470:N471"/>
    <mergeCell ref="O381:U381"/>
    <mergeCell ref="O187:S187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M17:M18"/>
    <mergeCell ref="A169:Y169"/>
    <mergeCell ref="O177:S177"/>
    <mergeCell ref="O248:S248"/>
    <mergeCell ref="O475:S475"/>
    <mergeCell ref="O226:S226"/>
    <mergeCell ref="A467:Y467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D177:E177"/>
    <mergeCell ref="O315:U315"/>
    <mergeCell ref="D226:E226"/>
    <mergeCell ref="A164:Y164"/>
    <mergeCell ref="O243:S243"/>
    <mergeCell ref="D462:E462"/>
    <mergeCell ref="A330:Y330"/>
    <mergeCell ref="D241:E241"/>
    <mergeCell ref="D508:E508"/>
    <mergeCell ref="O173:U173"/>
    <mergeCell ref="D228:E228"/>
    <mergeCell ref="D333:E333"/>
    <mergeCell ref="O415:U41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O488:S488"/>
    <mergeCell ref="A253:Y253"/>
    <mergeCell ref="A12:L12"/>
    <mergeCell ref="O83:S83"/>
    <mergeCell ref="D503:E503"/>
    <mergeCell ref="O430:S430"/>
    <mergeCell ref="D101:E101"/>
    <mergeCell ref="O319:S319"/>
    <mergeCell ref="A416:Y416"/>
    <mergeCell ref="A33:N34"/>
    <mergeCell ref="O417:S417"/>
    <mergeCell ref="D76:E7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Q536:Q537"/>
    <mergeCell ref="S536:S537"/>
    <mergeCell ref="D152:E152"/>
    <mergeCell ref="D323:E323"/>
    <mergeCell ref="O168:U168"/>
    <mergeCell ref="D279:E279"/>
    <mergeCell ref="D394:E394"/>
    <mergeCell ref="O272:S272"/>
    <mergeCell ref="A255:N256"/>
    <mergeCell ref="A426:N427"/>
    <mergeCell ref="Q535:R535"/>
    <mergeCell ref="D29:E29"/>
    <mergeCell ref="O247:S247"/>
    <mergeCell ref="O167:U167"/>
    <mergeCell ref="O185:S185"/>
    <mergeCell ref="A233:Y233"/>
    <mergeCell ref="D265:E265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44:E244"/>
    <mergeCell ref="A52:N53"/>
    <mergeCell ref="O196:S196"/>
    <mergeCell ref="D171:E171"/>
    <mergeCell ref="O498:S498"/>
    <mergeCell ref="O327:S327"/>
    <mergeCell ref="D336:E336"/>
    <mergeCell ref="O183:S183"/>
    <mergeCell ref="D407:E407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D237:E237"/>
    <mergeCell ref="A499:N500"/>
    <mergeCell ref="O411:U411"/>
    <mergeCell ref="O442:U442"/>
    <mergeCell ref="Q1:S1"/>
    <mergeCell ref="O211:S211"/>
    <mergeCell ref="A20:Y20"/>
    <mergeCell ref="O509:S509"/>
    <mergeCell ref="D291:E291"/>
    <mergeCell ref="O338:S338"/>
    <mergeCell ref="A365:N366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511:S511"/>
    <mergeCell ref="O340:S340"/>
    <mergeCell ref="D355:E355"/>
    <mergeCell ref="A372:Y372"/>
    <mergeCell ref="D32:E32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D250:E250"/>
    <mergeCell ref="D50:E50"/>
    <mergeCell ref="D110:E110"/>
    <mergeCell ref="D44:E44"/>
    <mergeCell ref="O504:S504"/>
    <mergeCell ref="A286:N287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Крым Респ, Симферополь г, Данилова ул, 43В, лит В, офис 4,</t>
        </is>
      </c>
      <c r="C6" s="47" t="inlineStr">
        <is>
          <t>590704_1</t>
        </is>
      </c>
      <c r="D6" s="47" t="inlineStr">
        <is>
          <t>1</t>
        </is>
      </c>
      <c r="E6" s="47" t="n"/>
    </row>
    <row r="7">
      <c r="B7" s="47" t="inlineStr">
        <is>
          <t>ЛП, ООО, (сеть) Крым Респ, Симферополь г, Данилова ул, д. 43В, лит В, офис 4,</t>
        </is>
      </c>
      <c r="C7" s="47" t="inlineStr">
        <is>
          <t>590704_3</t>
        </is>
      </c>
      <c r="D7" s="47" t="inlineStr">
        <is>
          <t>2</t>
        </is>
      </c>
      <c r="E7" s="47" t="n"/>
    </row>
    <row r="8">
      <c r="B8" s="47" t="inlineStr">
        <is>
          <t>ЛП, ООО, Крым Респ, Симферополь г, Данилова ул, д. 43В, лит В, офис 4</t>
        </is>
      </c>
      <c r="C8" s="47" t="inlineStr">
        <is>
          <t>590704_5</t>
        </is>
      </c>
      <c r="D8" s="47" t="inlineStr">
        <is>
          <t>3</t>
        </is>
      </c>
      <c r="E8" s="47" t="n"/>
    </row>
    <row r="9">
      <c r="B9" s="47" t="inlineStr">
        <is>
          <t>ЛП, ООО, 73009, Херсон г, Некрасова ул, 2,</t>
        </is>
      </c>
      <c r="C9" s="47" t="inlineStr">
        <is>
          <t>590704_4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Сочи г, Строительный пер, д. 10А,</t>
        </is>
      </c>
      <c r="C10" s="47" t="inlineStr">
        <is>
          <t>590704_7</t>
        </is>
      </c>
      <c r="D10" s="47" t="inlineStr">
        <is>
          <t>5</t>
        </is>
      </c>
      <c r="E10" s="47" t="n"/>
    </row>
    <row r="11">
      <c r="B11" s="47" t="inlineStr">
        <is>
          <t>ЛП, ООО, Краснодарский край, Краснодар г, им Вишняковой проезд, д. 1/5,</t>
        </is>
      </c>
      <c r="C11" s="47" t="inlineStr">
        <is>
          <t>590704_8</t>
        </is>
      </c>
      <c r="D11" s="47" t="inlineStr">
        <is>
          <t>6</t>
        </is>
      </c>
      <c r="E11" s="47" t="n"/>
    </row>
    <row r="13">
      <c r="B13" s="47" t="inlineStr">
        <is>
          <t>295021Российская Федерация, Крым Респ, Симферополь г, Данилова ул, 43В, лит В, офис 4,</t>
        </is>
      </c>
      <c r="C13" s="47" t="inlineStr">
        <is>
          <t>590704_1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4,</t>
        </is>
      </c>
      <c r="C15" s="47" t="inlineStr">
        <is>
          <t>590704_3</t>
        </is>
      </c>
      <c r="D15" s="47" t="n"/>
      <c r="E15" s="47" t="n"/>
    </row>
    <row r="17">
      <c r="B17" s="47" t="inlineStr">
        <is>
          <t>295021Российская Федерация, Крым Респ, Симферополь г, Данилова ул, д. 43В, лит В, офис 4</t>
        </is>
      </c>
      <c r="C17" s="47" t="inlineStr">
        <is>
          <t>590704_5</t>
        </is>
      </c>
      <c r="D17" s="47" t="n"/>
      <c r="E17" s="47" t="n"/>
    </row>
    <row r="19">
      <c r="B19" s="47" t="inlineStr">
        <is>
          <t>Российская Федерация, Херсонская обл, Херсон г, Некрасова ул, д. 2,</t>
        </is>
      </c>
      <c r="C19" s="47" t="inlineStr">
        <is>
          <t>590704_4</t>
        </is>
      </c>
      <c r="D19" s="47" t="n"/>
      <c r="E19" s="47" t="n"/>
    </row>
    <row r="21">
      <c r="B21" s="47" t="inlineStr">
        <is>
          <t>354068Российская Федерация, Краснодарский край, Сочи г, Строительный пер, д. 10А,</t>
        </is>
      </c>
      <c r="C21" s="47" t="inlineStr">
        <is>
          <t>590704_7</t>
        </is>
      </c>
      <c r="D21" s="47" t="n"/>
      <c r="E21" s="47" t="n"/>
    </row>
    <row r="23">
      <c r="B23" s="47" t="inlineStr">
        <is>
          <t>350001Российская Федерация, Краснодарский край, Краснодар г, им Вишняковой проезд, д. 1/5,</t>
        </is>
      </c>
      <c r="C23" s="47" t="inlineStr">
        <is>
          <t>590704_8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QAinWZRsV4x/g9ky++8Vg==" formatRows="1" sort="0" spinCount="100000" hashValue="KJAO8BAGqQ1mwdYcMqex2zTWgLkkl5Y2eYoS+TUlYW1ho5vfhyzHvYrQSYHkuCCPYzxBzBHsMBnb1TLT1yML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2024-04-23T10:00:20Z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