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D77EA4-58B7-4057-815E-B0B9A2D772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X437" i="1"/>
  <c r="W437" i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W392" i="1" s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W368" i="1" s="1"/>
  <c r="N354" i="1"/>
  <c r="V352" i="1"/>
  <c r="V351" i="1"/>
  <c r="W350" i="1"/>
  <c r="X350" i="1" s="1"/>
  <c r="N350" i="1"/>
  <c r="X349" i="1"/>
  <c r="X351" i="1" s="1"/>
  <c r="W349" i="1"/>
  <c r="N349" i="1"/>
  <c r="V345" i="1"/>
  <c r="V344" i="1"/>
  <c r="W343" i="1"/>
  <c r="W345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W334" i="1" s="1"/>
  <c r="N331" i="1"/>
  <c r="V329" i="1"/>
  <c r="V328" i="1"/>
  <c r="X327" i="1"/>
  <c r="W327" i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W289" i="1" s="1"/>
  <c r="N288" i="1"/>
  <c r="V286" i="1"/>
  <c r="V285" i="1"/>
  <c r="W284" i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W257" i="1"/>
  <c r="W261" i="1" s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X247" i="1"/>
  <c r="W247" i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W231" i="1" s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L474" i="1" s="1"/>
  <c r="N205" i="1"/>
  <c r="W202" i="1"/>
  <c r="V202" i="1"/>
  <c r="W201" i="1"/>
  <c r="V201" i="1"/>
  <c r="X200" i="1"/>
  <c r="X201" i="1" s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X165" i="1" s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V139" i="1"/>
  <c r="V138" i="1"/>
  <c r="W137" i="1"/>
  <c r="X137" i="1" s="1"/>
  <c r="N137" i="1"/>
  <c r="W136" i="1"/>
  <c r="X136" i="1" s="1"/>
  <c r="N136" i="1"/>
  <c r="W135" i="1"/>
  <c r="N135" i="1"/>
  <c r="V131" i="1"/>
  <c r="V130" i="1"/>
  <c r="W129" i="1"/>
  <c r="X129" i="1" s="1"/>
  <c r="N129" i="1"/>
  <c r="W128" i="1"/>
  <c r="X128" i="1" s="1"/>
  <c r="N128" i="1"/>
  <c r="W127" i="1"/>
  <c r="W130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W123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X66" i="1"/>
  <c r="W66" i="1"/>
  <c r="X65" i="1"/>
  <c r="W65" i="1"/>
  <c r="X64" i="1"/>
  <c r="W64" i="1"/>
  <c r="V61" i="1"/>
  <c r="V60" i="1"/>
  <c r="W59" i="1"/>
  <c r="X59" i="1" s="1"/>
  <c r="W58" i="1"/>
  <c r="N58" i="1"/>
  <c r="W57" i="1"/>
  <c r="X57" i="1" s="1"/>
  <c r="X56" i="1"/>
  <c r="W56" i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4" i="1" s="1"/>
  <c r="N22" i="1"/>
  <c r="H10" i="1"/>
  <c r="A9" i="1"/>
  <c r="A10" i="1" s="1"/>
  <c r="D7" i="1"/>
  <c r="O6" i="1"/>
  <c r="N2" i="1"/>
  <c r="X22" i="1" l="1"/>
  <c r="X23" i="1" s="1"/>
  <c r="W23" i="1"/>
  <c r="W33" i="1"/>
  <c r="W114" i="1"/>
  <c r="W439" i="1"/>
  <c r="X242" i="1"/>
  <c r="W91" i="1"/>
  <c r="W163" i="1"/>
  <c r="W255" i="1"/>
  <c r="W351" i="1"/>
  <c r="W352" i="1"/>
  <c r="W367" i="1"/>
  <c r="W378" i="1"/>
  <c r="W379" i="1"/>
  <c r="W424" i="1"/>
  <c r="W447" i="1"/>
  <c r="W462" i="1"/>
  <c r="W466" i="1"/>
  <c r="V464" i="1"/>
  <c r="X26" i="1"/>
  <c r="X33" i="1" s="1"/>
  <c r="D474" i="1"/>
  <c r="W61" i="1"/>
  <c r="X102" i="1"/>
  <c r="X127" i="1"/>
  <c r="X130" i="1" s="1"/>
  <c r="X205" i="1"/>
  <c r="X220" i="1" s="1"/>
  <c r="X257" i="1"/>
  <c r="X260" i="1" s="1"/>
  <c r="W260" i="1"/>
  <c r="X312" i="1"/>
  <c r="W316" i="1"/>
  <c r="W317" i="1"/>
  <c r="W320" i="1"/>
  <c r="W321" i="1"/>
  <c r="X331" i="1"/>
  <c r="X333" i="1" s="1"/>
  <c r="W333" i="1"/>
  <c r="X343" i="1"/>
  <c r="X344" i="1" s="1"/>
  <c r="W344" i="1"/>
  <c r="X389" i="1"/>
  <c r="X391" i="1" s="1"/>
  <c r="W391" i="1"/>
  <c r="W405" i="1"/>
  <c r="W406" i="1"/>
  <c r="X436" i="1"/>
  <c r="X439" i="1" s="1"/>
  <c r="W451" i="1"/>
  <c r="F9" i="1"/>
  <c r="F10" i="1"/>
  <c r="X169" i="1"/>
  <c r="X81" i="1"/>
  <c r="W92" i="1"/>
  <c r="W139" i="1"/>
  <c r="W189" i="1"/>
  <c r="W190" i="1"/>
  <c r="X254" i="1"/>
  <c r="W272" i="1"/>
  <c r="W286" i="1"/>
  <c r="X284" i="1"/>
  <c r="X285" i="1" s="1"/>
  <c r="W294" i="1"/>
  <c r="X292" i="1"/>
  <c r="X293" i="1" s="1"/>
  <c r="W306" i="1"/>
  <c r="W313" i="1"/>
  <c r="X340" i="1"/>
  <c r="X374" i="1"/>
  <c r="W375" i="1"/>
  <c r="W419" i="1"/>
  <c r="W434" i="1"/>
  <c r="X427" i="1"/>
  <c r="X433" i="1" s="1"/>
  <c r="W433" i="1"/>
  <c r="H9" i="1"/>
  <c r="V468" i="1"/>
  <c r="X36" i="1"/>
  <c r="X37" i="1" s="1"/>
  <c r="X40" i="1"/>
  <c r="X41" i="1" s="1"/>
  <c r="X44" i="1"/>
  <c r="X45" i="1" s="1"/>
  <c r="X50" i="1"/>
  <c r="X52" i="1" s="1"/>
  <c r="W53" i="1"/>
  <c r="X58" i="1"/>
  <c r="X60" i="1" s="1"/>
  <c r="W60" i="1"/>
  <c r="E474" i="1"/>
  <c r="X86" i="1"/>
  <c r="X91" i="1" s="1"/>
  <c r="W103" i="1"/>
  <c r="X117" i="1"/>
  <c r="X123" i="1" s="1"/>
  <c r="G474" i="1"/>
  <c r="W152" i="1"/>
  <c r="X172" i="1"/>
  <c r="X189" i="1" s="1"/>
  <c r="W220" i="1"/>
  <c r="W225" i="1"/>
  <c r="X223" i="1"/>
  <c r="X224" i="1" s="1"/>
  <c r="X271" i="1"/>
  <c r="W329" i="1"/>
  <c r="R474" i="1"/>
  <c r="W440" i="1"/>
  <c r="H474" i="1"/>
  <c r="J9" i="1"/>
  <c r="W34" i="1"/>
  <c r="W38" i="1"/>
  <c r="W42" i="1"/>
  <c r="W46" i="1"/>
  <c r="W52" i="1"/>
  <c r="W82" i="1"/>
  <c r="W102" i="1"/>
  <c r="W115" i="1"/>
  <c r="W124" i="1"/>
  <c r="X135" i="1"/>
  <c r="X138" i="1" s="1"/>
  <c r="W138" i="1"/>
  <c r="W196" i="1"/>
  <c r="X193" i="1"/>
  <c r="X196" i="1" s="1"/>
  <c r="W243" i="1"/>
  <c r="W242" i="1"/>
  <c r="W248" i="1"/>
  <c r="X245" i="1"/>
  <c r="X248" i="1" s="1"/>
  <c r="W271" i="1"/>
  <c r="W277" i="1"/>
  <c r="W276" i="1"/>
  <c r="W282" i="1"/>
  <c r="N474" i="1"/>
  <c r="X280" i="1"/>
  <c r="X281" i="1" s="1"/>
  <c r="W285" i="1"/>
  <c r="W290" i="1"/>
  <c r="X288" i="1"/>
  <c r="X289" i="1" s="1"/>
  <c r="W293" i="1"/>
  <c r="O474" i="1"/>
  <c r="W307" i="1"/>
  <c r="X298" i="1"/>
  <c r="X306" i="1" s="1"/>
  <c r="W312" i="1"/>
  <c r="P474" i="1"/>
  <c r="W374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M474" i="1"/>
  <c r="B474" i="1"/>
  <c r="W465" i="1"/>
  <c r="W81" i="1"/>
  <c r="X105" i="1"/>
  <c r="X114" i="1" s="1"/>
  <c r="F474" i="1"/>
  <c r="W131" i="1"/>
  <c r="X151" i="1"/>
  <c r="W151" i="1"/>
  <c r="W158" i="1"/>
  <c r="W157" i="1"/>
  <c r="X160" i="1"/>
  <c r="X162" i="1" s="1"/>
  <c r="W169" i="1"/>
  <c r="W197" i="1"/>
  <c r="W224" i="1"/>
  <c r="W230" i="1"/>
  <c r="X227" i="1"/>
  <c r="X230" i="1" s="1"/>
  <c r="W249" i="1"/>
  <c r="W341" i="1"/>
  <c r="W385" i="1"/>
  <c r="X381" i="1"/>
  <c r="X385" i="1" s="1"/>
  <c r="W386" i="1"/>
  <c r="W402" i="1"/>
  <c r="Q474" i="1"/>
  <c r="W170" i="1"/>
  <c r="W254" i="1"/>
  <c r="W328" i="1"/>
  <c r="W340" i="1"/>
  <c r="W401" i="1"/>
  <c r="W452" i="1"/>
  <c r="I474" i="1"/>
  <c r="X155" i="1"/>
  <c r="X157" i="1" s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W467" i="1" l="1"/>
  <c r="W468" i="1"/>
  <c r="W464" i="1"/>
  <c r="X469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<sst xmlns="http://schemas.openxmlformats.org/spreadsheetml/2006/main" count="1984" uniqueCount="685">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</sst>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Y50" sqref="Y50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31" t="s">
        <v>0</v>
      </c>
      <c r="E1" s="328"/>
      <c r="F1" s="328"/>
      <c r="G1" s="12" t="s">
        <v>1</v>
      </c>
      <c r="H1" s="431" t="s">
        <v>2</v>
      </c>
      <c r="I1" s="328"/>
      <c r="J1" s="328"/>
      <c r="K1" s="328"/>
      <c r="L1" s="328"/>
      <c r="M1" s="328"/>
      <c r="N1" s="328"/>
      <c r="O1" s="328"/>
      <c r="P1" s="327" t="s">
        <v>3</v>
      </c>
      <c r="Q1" s="328"/>
      <c r="R1" s="3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71" t="s">
        <v>8</v>
      </c>
      <c r="B5" s="337"/>
      <c r="C5" s="338"/>
      <c r="D5" s="583"/>
      <c r="E5" s="584"/>
      <c r="F5" s="381" t="s">
        <v>9</v>
      </c>
      <c r="G5" s="338"/>
      <c r="H5" s="583"/>
      <c r="I5" s="620"/>
      <c r="J5" s="620"/>
      <c r="K5" s="620"/>
      <c r="L5" s="584"/>
      <c r="N5" s="24" t="s">
        <v>10</v>
      </c>
      <c r="O5" s="366">
        <v>45283</v>
      </c>
      <c r="P5" s="367"/>
      <c r="R5" s="355" t="s">
        <v>11</v>
      </c>
      <c r="S5" s="356"/>
      <c r="T5" s="484" t="s">
        <v>12</v>
      </c>
      <c r="U5" s="367"/>
      <c r="Z5" s="51"/>
      <c r="AA5" s="51"/>
      <c r="AB5" s="51"/>
    </row>
    <row r="6" spans="1:29" s="310" customFormat="1" ht="24" customHeight="1" x14ac:dyDescent="0.2">
      <c r="A6" s="571" t="s">
        <v>13</v>
      </c>
      <c r="B6" s="337"/>
      <c r="C6" s="338"/>
      <c r="D6" s="402" t="s">
        <v>665</v>
      </c>
      <c r="E6" s="403"/>
      <c r="F6" s="403"/>
      <c r="G6" s="403"/>
      <c r="H6" s="403"/>
      <c r="I6" s="403"/>
      <c r="J6" s="403"/>
      <c r="K6" s="403"/>
      <c r="L6" s="367"/>
      <c r="N6" s="24" t="s">
        <v>15</v>
      </c>
      <c r="O6" s="558" t="str">
        <f>IF(O5=0," ",CHOOSE(WEEKDAY(O5,2),"Понедельник","Вторник","Среда","Четверг","Пятница","Суббота","Воскресенье"))</f>
        <v>Суббота</v>
      </c>
      <c r="P6" s="321"/>
      <c r="R6" s="643" t="s">
        <v>16</v>
      </c>
      <c r="S6" s="356"/>
      <c r="T6" s="516" t="s">
        <v>17</v>
      </c>
      <c r="U6" s="517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6" t="str">
        <f>IFERROR(VLOOKUP(DeliveryAddress,Table,3,0),1)</f>
        <v>2</v>
      </c>
      <c r="E7" s="467"/>
      <c r="F7" s="467"/>
      <c r="G7" s="467"/>
      <c r="H7" s="467"/>
      <c r="I7" s="467"/>
      <c r="J7" s="467"/>
      <c r="K7" s="467"/>
      <c r="L7" s="414"/>
      <c r="N7" s="24"/>
      <c r="O7" s="42"/>
      <c r="P7" s="42"/>
      <c r="R7" s="323"/>
      <c r="S7" s="356"/>
      <c r="T7" s="518"/>
      <c r="U7" s="519"/>
      <c r="Z7" s="51"/>
      <c r="AA7" s="51"/>
      <c r="AB7" s="51"/>
    </row>
    <row r="8" spans="1:29" s="310" customFormat="1" ht="25.5" customHeight="1" x14ac:dyDescent="0.2">
      <c r="A8" s="364" t="s">
        <v>18</v>
      </c>
      <c r="B8" s="341"/>
      <c r="C8" s="342"/>
      <c r="D8" s="577"/>
      <c r="E8" s="578"/>
      <c r="F8" s="578"/>
      <c r="G8" s="578"/>
      <c r="H8" s="578"/>
      <c r="I8" s="578"/>
      <c r="J8" s="578"/>
      <c r="K8" s="578"/>
      <c r="L8" s="579"/>
      <c r="N8" s="24" t="s">
        <v>19</v>
      </c>
      <c r="O8" s="391">
        <v>0.5</v>
      </c>
      <c r="P8" s="367"/>
      <c r="R8" s="323"/>
      <c r="S8" s="356"/>
      <c r="T8" s="518"/>
      <c r="U8" s="519"/>
      <c r="Z8" s="51"/>
      <c r="AA8" s="51"/>
      <c r="AB8" s="51"/>
    </row>
    <row r="9" spans="1:29" s="310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98"/>
      <c r="E9" s="354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N9" s="26" t="s">
        <v>20</v>
      </c>
      <c r="O9" s="366"/>
      <c r="P9" s="367"/>
      <c r="R9" s="323"/>
      <c r="S9" s="356"/>
      <c r="T9" s="520"/>
      <c r="U9" s="521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98"/>
      <c r="E10" s="354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3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1"/>
      <c r="P10" s="367"/>
      <c r="S10" s="24" t="s">
        <v>22</v>
      </c>
      <c r="T10" s="629" t="s">
        <v>23</v>
      </c>
      <c r="U10" s="517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67"/>
      <c r="S11" s="24" t="s">
        <v>26</v>
      </c>
      <c r="T11" s="385" t="s">
        <v>27</v>
      </c>
      <c r="U11" s="38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413"/>
      <c r="P12" s="414"/>
      <c r="Q12" s="23"/>
      <c r="S12" s="24"/>
      <c r="T12" s="328"/>
      <c r="U12" s="323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385"/>
      <c r="P13" s="38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50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513" t="s">
        <v>34</v>
      </c>
      <c r="O15" s="328"/>
      <c r="P15" s="328"/>
      <c r="Q15" s="328"/>
      <c r="R15" s="3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31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3"/>
      <c r="P17" s="553"/>
      <c r="Q17" s="553"/>
      <c r="R17" s="331"/>
      <c r="S17" s="339" t="s">
        <v>48</v>
      </c>
      <c r="T17" s="338"/>
      <c r="U17" s="316" t="s">
        <v>49</v>
      </c>
      <c r="V17" s="316" t="s">
        <v>50</v>
      </c>
      <c r="W17" s="612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607"/>
      <c r="AC17" s="608"/>
      <c r="AD17" s="536"/>
      <c r="BA17" s="600" t="s">
        <v>56</v>
      </c>
    </row>
    <row r="18" spans="1:53" ht="14.25" customHeight="1" x14ac:dyDescent="0.2">
      <c r="A18" s="317"/>
      <c r="B18" s="317"/>
      <c r="C18" s="317"/>
      <c r="D18" s="332"/>
      <c r="E18" s="333"/>
      <c r="F18" s="317"/>
      <c r="G18" s="317"/>
      <c r="H18" s="317"/>
      <c r="I18" s="317"/>
      <c r="J18" s="317"/>
      <c r="K18" s="317"/>
      <c r="L18" s="317"/>
      <c r="M18" s="317"/>
      <c r="N18" s="332"/>
      <c r="O18" s="554"/>
      <c r="P18" s="554"/>
      <c r="Q18" s="554"/>
      <c r="R18" s="333"/>
      <c r="S18" s="309" t="s">
        <v>57</v>
      </c>
      <c r="T18" s="309" t="s">
        <v>58</v>
      </c>
      <c r="U18" s="317"/>
      <c r="V18" s="317"/>
      <c r="W18" s="613"/>
      <c r="X18" s="317"/>
      <c r="Y18" s="344"/>
      <c r="Z18" s="344"/>
      <c r="AA18" s="609"/>
      <c r="AB18" s="610"/>
      <c r="AC18" s="611"/>
      <c r="AD18" s="537"/>
      <c r="BA18" s="323"/>
    </row>
    <row r="19" spans="1:53" ht="27.75" hidden="1" customHeight="1" x14ac:dyDescent="0.2">
      <c r="A19" s="318" t="s">
        <v>59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48"/>
      <c r="Z19" s="48"/>
    </row>
    <row r="20" spans="1:53" ht="16.5" hidden="1" customHeight="1" x14ac:dyDescent="0.25">
      <c r="A20" s="346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hidden="1" customHeight="1" x14ac:dyDescent="0.25">
      <c r="A21" s="347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1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7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1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1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21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8" t="s">
        <v>74</v>
      </c>
      <c r="O28" s="326"/>
      <c r="P28" s="326"/>
      <c r="Q28" s="326"/>
      <c r="R28" s="321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21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6"/>
      <c r="P29" s="326"/>
      <c r="Q29" s="326"/>
      <c r="R29" s="321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21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6"/>
      <c r="P30" s="326"/>
      <c r="Q30" s="326"/>
      <c r="R30" s="321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21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6"/>
      <c r="P31" s="326"/>
      <c r="Q31" s="326"/>
      <c r="R31" s="321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21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6"/>
      <c r="P32" s="326"/>
      <c r="Q32" s="326"/>
      <c r="R32" s="321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22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40" t="s">
        <v>66</v>
      </c>
      <c r="O33" s="341"/>
      <c r="P33" s="341"/>
      <c r="Q33" s="341"/>
      <c r="R33" s="341"/>
      <c r="S33" s="341"/>
      <c r="T33" s="342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4"/>
      <c r="N34" s="340" t="s">
        <v>66</v>
      </c>
      <c r="O34" s="341"/>
      <c r="P34" s="341"/>
      <c r="Q34" s="341"/>
      <c r="R34" s="341"/>
      <c r="S34" s="341"/>
      <c r="T34" s="342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7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21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6"/>
      <c r="P36" s="326"/>
      <c r="Q36" s="326"/>
      <c r="R36" s="321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40" t="s">
        <v>66</v>
      </c>
      <c r="O37" s="341"/>
      <c r="P37" s="341"/>
      <c r="Q37" s="341"/>
      <c r="R37" s="341"/>
      <c r="S37" s="341"/>
      <c r="T37" s="342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4"/>
      <c r="N38" s="340" t="s">
        <v>66</v>
      </c>
      <c r="O38" s="341"/>
      <c r="P38" s="341"/>
      <c r="Q38" s="341"/>
      <c r="R38" s="341"/>
      <c r="S38" s="341"/>
      <c r="T38" s="342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7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21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6"/>
      <c r="P40" s="326"/>
      <c r="Q40" s="326"/>
      <c r="R40" s="321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40" t="s">
        <v>66</v>
      </c>
      <c r="O41" s="341"/>
      <c r="P41" s="341"/>
      <c r="Q41" s="341"/>
      <c r="R41" s="341"/>
      <c r="S41" s="341"/>
      <c r="T41" s="342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4"/>
      <c r="N42" s="340" t="s">
        <v>66</v>
      </c>
      <c r="O42" s="341"/>
      <c r="P42" s="341"/>
      <c r="Q42" s="341"/>
      <c r="R42" s="341"/>
      <c r="S42" s="341"/>
      <c r="T42" s="342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7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21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6"/>
      <c r="P44" s="326"/>
      <c r="Q44" s="326"/>
      <c r="R44" s="321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22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40" t="s">
        <v>66</v>
      </c>
      <c r="O45" s="341"/>
      <c r="P45" s="341"/>
      <c r="Q45" s="341"/>
      <c r="R45" s="341"/>
      <c r="S45" s="341"/>
      <c r="T45" s="342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4"/>
      <c r="N46" s="340" t="s">
        <v>66</v>
      </c>
      <c r="O46" s="341"/>
      <c r="P46" s="341"/>
      <c r="Q46" s="341"/>
      <c r="R46" s="341"/>
      <c r="S46" s="341"/>
      <c r="T46" s="342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18" t="s">
        <v>96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48"/>
      <c r="Z47" s="48"/>
    </row>
    <row r="48" spans="1:53" ht="16.5" hidden="1" customHeight="1" x14ac:dyDescent="0.25">
      <c r="A48" s="346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hidden="1" customHeight="1" x14ac:dyDescent="0.25">
      <c r="A49" s="347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21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6"/>
      <c r="P50" s="326"/>
      <c r="Q50" s="326"/>
      <c r="R50" s="321"/>
      <c r="S50" s="34"/>
      <c r="T50" s="34"/>
      <c r="U50" s="35" t="s">
        <v>65</v>
      </c>
      <c r="V50" s="312">
        <v>43</v>
      </c>
      <c r="W50" s="313">
        <f>IFERROR(IF(V50="",0,CEILING((V50/$H50),1)*$H50),"")</f>
        <v>43.2</v>
      </c>
      <c r="X50" s="36">
        <f>IFERROR(IF(W50=0,"",ROUNDUP(W50/H50,0)*0.02175),"")</f>
        <v>8.6999999999999994E-2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21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6"/>
      <c r="P51" s="326"/>
      <c r="Q51" s="326"/>
      <c r="R51" s="321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22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40" t="s">
        <v>66</v>
      </c>
      <c r="O52" s="341"/>
      <c r="P52" s="341"/>
      <c r="Q52" s="341"/>
      <c r="R52" s="341"/>
      <c r="S52" s="341"/>
      <c r="T52" s="342"/>
      <c r="U52" s="37" t="s">
        <v>67</v>
      </c>
      <c r="V52" s="314">
        <f>IFERROR(V50/H50,"0")+IFERROR(V51/H51,"0")</f>
        <v>3.9814814814814814</v>
      </c>
      <c r="W52" s="314">
        <f>IFERROR(W50/H50,"0")+IFERROR(W51/H51,"0")</f>
        <v>4</v>
      </c>
      <c r="X52" s="314">
        <f>IFERROR(IF(X50="",0,X50),"0")+IFERROR(IF(X51="",0,X51),"0")</f>
        <v>8.6999999999999994E-2</v>
      </c>
      <c r="Y52" s="315"/>
      <c r="Z52" s="315"/>
    </row>
    <row r="53" spans="1:53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40" t="s">
        <v>66</v>
      </c>
      <c r="O53" s="341"/>
      <c r="P53" s="341"/>
      <c r="Q53" s="341"/>
      <c r="R53" s="341"/>
      <c r="S53" s="341"/>
      <c r="T53" s="342"/>
      <c r="U53" s="37" t="s">
        <v>65</v>
      </c>
      <c r="V53" s="314">
        <f>IFERROR(SUM(V50:V51),"0")</f>
        <v>43</v>
      </c>
      <c r="W53" s="314">
        <f>IFERROR(SUM(W50:W51),"0")</f>
        <v>43.2</v>
      </c>
      <c r="X53" s="37"/>
      <c r="Y53" s="315"/>
      <c r="Z53" s="315"/>
    </row>
    <row r="54" spans="1:53" ht="16.5" hidden="1" customHeight="1" x14ac:dyDescent="0.25">
      <c r="A54" s="346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hidden="1" customHeight="1" x14ac:dyDescent="0.25">
      <c r="A55" s="347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21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1"/>
      <c r="S56" s="34"/>
      <c r="T56" s="34"/>
      <c r="U56" s="35" t="s">
        <v>65</v>
      </c>
      <c r="V56" s="312">
        <v>88</v>
      </c>
      <c r="W56" s="313">
        <f>IFERROR(IF(V56="",0,CEILING((V56/$H56),1)*$H56),"")</f>
        <v>97.2</v>
      </c>
      <c r="X56" s="36">
        <f>IFERROR(IF(W56=0,"",ROUNDUP(W56/H56,0)*0.02175),"")</f>
        <v>0.19574999999999998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21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7" t="s">
        <v>111</v>
      </c>
      <c r="O57" s="326"/>
      <c r="P57" s="326"/>
      <c r="Q57" s="326"/>
      <c r="R57" s="321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21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6"/>
      <c r="P58" s="326"/>
      <c r="Q58" s="326"/>
      <c r="R58" s="321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21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5" t="s">
        <v>116</v>
      </c>
      <c r="O59" s="326"/>
      <c r="P59" s="326"/>
      <c r="Q59" s="326"/>
      <c r="R59" s="321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22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40" t="s">
        <v>66</v>
      </c>
      <c r="O60" s="341"/>
      <c r="P60" s="341"/>
      <c r="Q60" s="341"/>
      <c r="R60" s="341"/>
      <c r="S60" s="341"/>
      <c r="T60" s="342"/>
      <c r="U60" s="37" t="s">
        <v>67</v>
      </c>
      <c r="V60" s="314">
        <f>IFERROR(V56/H56,"0")+IFERROR(V57/H57,"0")+IFERROR(V58/H58,"0")+IFERROR(V59/H59,"0")</f>
        <v>8.148148148148147</v>
      </c>
      <c r="W60" s="314">
        <f>IFERROR(W56/H56,"0")+IFERROR(W57/H57,"0")+IFERROR(W58/H58,"0")+IFERROR(W59/H59,"0")</f>
        <v>9</v>
      </c>
      <c r="X60" s="314">
        <f>IFERROR(IF(X56="",0,X56),"0")+IFERROR(IF(X57="",0,X57),"0")+IFERROR(IF(X58="",0,X58),"0")+IFERROR(IF(X59="",0,X59),"0")</f>
        <v>0.19574999999999998</v>
      </c>
      <c r="Y60" s="315"/>
      <c r="Z60" s="315"/>
    </row>
    <row r="61" spans="1:53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4"/>
      <c r="N61" s="340" t="s">
        <v>66</v>
      </c>
      <c r="O61" s="341"/>
      <c r="P61" s="341"/>
      <c r="Q61" s="341"/>
      <c r="R61" s="341"/>
      <c r="S61" s="341"/>
      <c r="T61" s="342"/>
      <c r="U61" s="37" t="s">
        <v>65</v>
      </c>
      <c r="V61" s="314">
        <f>IFERROR(SUM(V56:V59),"0")</f>
        <v>88</v>
      </c>
      <c r="W61" s="314">
        <f>IFERROR(SUM(W56:W59),"0")</f>
        <v>97.2</v>
      </c>
      <c r="X61" s="37"/>
      <c r="Y61" s="315"/>
      <c r="Z61" s="315"/>
    </row>
    <row r="62" spans="1:53" ht="16.5" hidden="1" customHeight="1" x14ac:dyDescent="0.25">
      <c r="A62" s="346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hidden="1" customHeight="1" x14ac:dyDescent="0.25">
      <c r="A63" s="347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21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90" t="s">
        <v>119</v>
      </c>
      <c r="O64" s="326"/>
      <c r="P64" s="326"/>
      <c r="Q64" s="326"/>
      <c r="R64" s="321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21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7" t="s">
        <v>124</v>
      </c>
      <c r="O65" s="326"/>
      <c r="P65" s="326"/>
      <c r="Q65" s="326"/>
      <c r="R65" s="321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21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7" t="s">
        <v>127</v>
      </c>
      <c r="O66" s="326"/>
      <c r="P66" s="326"/>
      <c r="Q66" s="326"/>
      <c r="R66" s="321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21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18" t="s">
        <v>131</v>
      </c>
      <c r="O67" s="326"/>
      <c r="P67" s="326"/>
      <c r="Q67" s="326"/>
      <c r="R67" s="321"/>
      <c r="S67" s="34"/>
      <c r="T67" s="34"/>
      <c r="U67" s="35" t="s">
        <v>65</v>
      </c>
      <c r="V67" s="312">
        <v>96</v>
      </c>
      <c r="W67" s="313">
        <f t="shared" si="2"/>
        <v>100.8</v>
      </c>
      <c r="X67" s="36">
        <f>IFERROR(IF(W67=0,"",ROUNDUP(W67/H67,0)*0.02175),"")</f>
        <v>0.19574999999999998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21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6"/>
      <c r="P68" s="326"/>
      <c r="Q68" s="326"/>
      <c r="R68" s="321"/>
      <c r="S68" s="34"/>
      <c r="T68" s="34"/>
      <c r="U68" s="35" t="s">
        <v>65</v>
      </c>
      <c r="V68" s="312">
        <v>197</v>
      </c>
      <c r="W68" s="313">
        <f t="shared" si="2"/>
        <v>205.20000000000002</v>
      </c>
      <c r="X68" s="36">
        <f>IFERROR(IF(W68=0,"",ROUNDUP(W68/H68,0)*0.02175),"")</f>
        <v>0.41324999999999995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21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2" t="s">
        <v>137</v>
      </c>
      <c r="O69" s="326"/>
      <c r="P69" s="326"/>
      <c r="Q69" s="326"/>
      <c r="R69" s="321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21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6"/>
      <c r="P70" s="326"/>
      <c r="Q70" s="326"/>
      <c r="R70" s="321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21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6"/>
      <c r="P71" s="326"/>
      <c r="Q71" s="326"/>
      <c r="R71" s="321"/>
      <c r="S71" s="34"/>
      <c r="T71" s="34"/>
      <c r="U71" s="35" t="s">
        <v>65</v>
      </c>
      <c r="V71" s="312">
        <v>12.8</v>
      </c>
      <c r="W71" s="313">
        <f t="shared" si="2"/>
        <v>16</v>
      </c>
      <c r="X71" s="36">
        <f t="shared" ref="X71:X76" si="3">IFERROR(IF(W71=0,"",ROUNDUP(W71/H71,0)*0.00937),"")</f>
        <v>3.7479999999999999E-2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21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6"/>
      <c r="P72" s="326"/>
      <c r="Q72" s="326"/>
      <c r="R72" s="321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21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6"/>
      <c r="P73" s="326"/>
      <c r="Q73" s="326"/>
      <c r="R73" s="321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21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6"/>
      <c r="P74" s="326"/>
      <c r="Q74" s="326"/>
      <c r="R74" s="321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21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6"/>
      <c r="P75" s="326"/>
      <c r="Q75" s="326"/>
      <c r="R75" s="321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21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3" t="s">
        <v>152</v>
      </c>
      <c r="O76" s="326"/>
      <c r="P76" s="326"/>
      <c r="Q76" s="326"/>
      <c r="R76" s="321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21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1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21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1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21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1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21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1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40" t="s">
        <v>66</v>
      </c>
      <c r="O81" s="341"/>
      <c r="P81" s="341"/>
      <c r="Q81" s="341"/>
      <c r="R81" s="341"/>
      <c r="S81" s="341"/>
      <c r="T81" s="342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30.012169312169309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32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0.64647999999999994</v>
      </c>
      <c r="Y81" s="315"/>
      <c r="Z81" s="315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40" t="s">
        <v>66</v>
      </c>
      <c r="O82" s="341"/>
      <c r="P82" s="341"/>
      <c r="Q82" s="341"/>
      <c r="R82" s="341"/>
      <c r="S82" s="341"/>
      <c r="T82" s="342"/>
      <c r="U82" s="37" t="s">
        <v>65</v>
      </c>
      <c r="V82" s="314">
        <f>IFERROR(SUM(V64:V80),"0")</f>
        <v>305.8</v>
      </c>
      <c r="W82" s="314">
        <f>IFERROR(SUM(W64:W80),"0")</f>
        <v>322</v>
      </c>
      <c r="X82" s="37"/>
      <c r="Y82" s="315"/>
      <c r="Z82" s="315"/>
    </row>
    <row r="83" spans="1:53" ht="14.25" hidden="1" customHeight="1" x14ac:dyDescent="0.25">
      <c r="A83" s="347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21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465" t="s">
        <v>163</v>
      </c>
      <c r="O84" s="326"/>
      <c r="P84" s="326"/>
      <c r="Q84" s="326"/>
      <c r="R84" s="321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21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1"/>
      <c r="S85" s="34"/>
      <c r="T85" s="34"/>
      <c r="U85" s="35" t="s">
        <v>65</v>
      </c>
      <c r="V85" s="312">
        <v>21</v>
      </c>
      <c r="W85" s="313">
        <f t="shared" si="4"/>
        <v>21.6</v>
      </c>
      <c r="X85" s="36">
        <f>IFERROR(IF(W85=0,"",ROUNDUP(W85/H85,0)*0.02175),"")</f>
        <v>4.3499999999999997E-2</v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21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04" t="s">
        <v>168</v>
      </c>
      <c r="O86" s="326"/>
      <c r="P86" s="326"/>
      <c r="Q86" s="326"/>
      <c r="R86" s="321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21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02" t="s">
        <v>171</v>
      </c>
      <c r="O87" s="326"/>
      <c r="P87" s="326"/>
      <c r="Q87" s="326"/>
      <c r="R87" s="321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21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75" t="s">
        <v>175</v>
      </c>
      <c r="O88" s="326"/>
      <c r="P88" s="326"/>
      <c r="Q88" s="326"/>
      <c r="R88" s="321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21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1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21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1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40" t="s">
        <v>66</v>
      </c>
      <c r="O91" s="341"/>
      <c r="P91" s="341"/>
      <c r="Q91" s="341"/>
      <c r="R91" s="341"/>
      <c r="S91" s="341"/>
      <c r="T91" s="342"/>
      <c r="U91" s="37" t="s">
        <v>67</v>
      </c>
      <c r="V91" s="314">
        <f>IFERROR(V84/H84,"0")+IFERROR(V85/H85,"0")+IFERROR(V86/H86,"0")+IFERROR(V87/H87,"0")+IFERROR(V88/H88,"0")+IFERROR(V89/H89,"0")+IFERROR(V90/H90,"0")</f>
        <v>1.9444444444444444</v>
      </c>
      <c r="W91" s="314">
        <f>IFERROR(W84/H84,"0")+IFERROR(W85/H85,"0")+IFERROR(W86/H86,"0")+IFERROR(W87/H87,"0")+IFERROR(W88/H88,"0")+IFERROR(W89/H89,"0")+IFERROR(W90/H90,"0")</f>
        <v>2</v>
      </c>
      <c r="X91" s="314">
        <f>IFERROR(IF(X84="",0,X84),"0")+IFERROR(IF(X85="",0,X85),"0")+IFERROR(IF(X86="",0,X86),"0")+IFERROR(IF(X87="",0,X87),"0")+IFERROR(IF(X88="",0,X88),"0")+IFERROR(IF(X89="",0,X89),"0")+IFERROR(IF(X90="",0,X90),"0")</f>
        <v>4.3499999999999997E-2</v>
      </c>
      <c r="Y91" s="315"/>
      <c r="Z91" s="315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40" t="s">
        <v>66</v>
      </c>
      <c r="O92" s="341"/>
      <c r="P92" s="341"/>
      <c r="Q92" s="341"/>
      <c r="R92" s="341"/>
      <c r="S92" s="341"/>
      <c r="T92" s="342"/>
      <c r="U92" s="37" t="s">
        <v>65</v>
      </c>
      <c r="V92" s="314">
        <f>IFERROR(SUM(V84:V90),"0")</f>
        <v>21</v>
      </c>
      <c r="W92" s="314">
        <f>IFERROR(SUM(W84:W90),"0")</f>
        <v>21.6</v>
      </c>
      <c r="X92" s="37"/>
      <c r="Y92" s="315"/>
      <c r="Z92" s="315"/>
    </row>
    <row r="93" spans="1:53" ht="14.25" hidden="1" customHeight="1" x14ac:dyDescent="0.25">
      <c r="A93" s="347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21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1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21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1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21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1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21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5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1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21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1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21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1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21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1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21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1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22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4"/>
      <c r="N102" s="340" t="s">
        <v>66</v>
      </c>
      <c r="O102" s="341"/>
      <c r="P102" s="341"/>
      <c r="Q102" s="341"/>
      <c r="R102" s="341"/>
      <c r="S102" s="341"/>
      <c r="T102" s="342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4"/>
      <c r="N103" s="340" t="s">
        <v>66</v>
      </c>
      <c r="O103" s="341"/>
      <c r="P103" s="341"/>
      <c r="Q103" s="341"/>
      <c r="R103" s="341"/>
      <c r="S103" s="341"/>
      <c r="T103" s="342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7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21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0" t="s">
        <v>198</v>
      </c>
      <c r="O105" s="326"/>
      <c r="P105" s="326"/>
      <c r="Q105" s="326"/>
      <c r="R105" s="321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21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25" t="s">
        <v>200</v>
      </c>
      <c r="O106" s="326"/>
      <c r="P106" s="326"/>
      <c r="Q106" s="326"/>
      <c r="R106" s="321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21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2" t="s">
        <v>203</v>
      </c>
      <c r="O107" s="326"/>
      <c r="P107" s="326"/>
      <c r="Q107" s="326"/>
      <c r="R107" s="321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21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1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21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50" t="s">
        <v>208</v>
      </c>
      <c r="O109" s="326"/>
      <c r="P109" s="326"/>
      <c r="Q109" s="326"/>
      <c r="R109" s="321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21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1" t="s">
        <v>211</v>
      </c>
      <c r="O110" s="326"/>
      <c r="P110" s="326"/>
      <c r="Q110" s="326"/>
      <c r="R110" s="321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21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5" t="s">
        <v>214</v>
      </c>
      <c r="O111" s="326"/>
      <c r="P111" s="326"/>
      <c r="Q111" s="326"/>
      <c r="R111" s="321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21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1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21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602" t="s">
        <v>219</v>
      </c>
      <c r="O113" s="326"/>
      <c r="P113" s="326"/>
      <c r="Q113" s="326"/>
      <c r="R113" s="321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4"/>
      <c r="N114" s="340" t="s">
        <v>66</v>
      </c>
      <c r="O114" s="341"/>
      <c r="P114" s="341"/>
      <c r="Q114" s="341"/>
      <c r="R114" s="341"/>
      <c r="S114" s="341"/>
      <c r="T114" s="342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4"/>
      <c r="N115" s="340" t="s">
        <v>66</v>
      </c>
      <c r="O115" s="341"/>
      <c r="P115" s="341"/>
      <c r="Q115" s="341"/>
      <c r="R115" s="341"/>
      <c r="S115" s="341"/>
      <c r="T115" s="342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47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21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1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21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1"/>
      <c r="S118" s="34"/>
      <c r="T118" s="34"/>
      <c r="U118" s="35" t="s">
        <v>65</v>
      </c>
      <c r="V118" s="312">
        <v>16</v>
      </c>
      <c r="W118" s="313">
        <f t="shared" si="7"/>
        <v>16.2</v>
      </c>
      <c r="X118" s="36">
        <f>IFERROR(IF(W118=0,"",ROUNDUP(W118/H118,0)*0.02175),"")</f>
        <v>4.3499999999999997E-2</v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21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6" t="s">
        <v>226</v>
      </c>
      <c r="O119" s="326"/>
      <c r="P119" s="326"/>
      <c r="Q119" s="326"/>
      <c r="R119" s="321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21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91" t="s">
        <v>229</v>
      </c>
      <c r="O120" s="326"/>
      <c r="P120" s="326"/>
      <c r="Q120" s="326"/>
      <c r="R120" s="321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21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6"/>
      <c r="P121" s="326"/>
      <c r="Q121" s="326"/>
      <c r="R121" s="321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21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09" t="s">
        <v>234</v>
      </c>
      <c r="O122" s="326"/>
      <c r="P122" s="326"/>
      <c r="Q122" s="326"/>
      <c r="R122" s="321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22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4"/>
      <c r="N123" s="340" t="s">
        <v>66</v>
      </c>
      <c r="O123" s="341"/>
      <c r="P123" s="341"/>
      <c r="Q123" s="341"/>
      <c r="R123" s="341"/>
      <c r="S123" s="341"/>
      <c r="T123" s="342"/>
      <c r="U123" s="37" t="s">
        <v>67</v>
      </c>
      <c r="V123" s="314">
        <f>IFERROR(V117/H117,"0")+IFERROR(V118/H118,"0")+IFERROR(V119/H119,"0")+IFERROR(V120/H120,"0")+IFERROR(V121/H121,"0")+IFERROR(V122/H122,"0")</f>
        <v>1.9753086419753088</v>
      </c>
      <c r="W123" s="314">
        <f>IFERROR(W117/H117,"0")+IFERROR(W118/H118,"0")+IFERROR(W119/H119,"0")+IFERROR(W120/H120,"0")+IFERROR(W121/H121,"0")+IFERROR(W122/H122,"0")</f>
        <v>2</v>
      </c>
      <c r="X123" s="314">
        <f>IFERROR(IF(X117="",0,X117),"0")+IFERROR(IF(X118="",0,X118),"0")+IFERROR(IF(X119="",0,X119),"0")+IFERROR(IF(X120="",0,X120),"0")+IFERROR(IF(X121="",0,X121),"0")+IFERROR(IF(X122="",0,X122),"0")</f>
        <v>4.3499999999999997E-2</v>
      </c>
      <c r="Y123" s="315"/>
      <c r="Z123" s="315"/>
    </row>
    <row r="124" spans="1:53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4"/>
      <c r="N124" s="340" t="s">
        <v>66</v>
      </c>
      <c r="O124" s="341"/>
      <c r="P124" s="341"/>
      <c r="Q124" s="341"/>
      <c r="R124" s="341"/>
      <c r="S124" s="341"/>
      <c r="T124" s="342"/>
      <c r="U124" s="37" t="s">
        <v>65</v>
      </c>
      <c r="V124" s="314">
        <f>IFERROR(SUM(V117:V122),"0")</f>
        <v>16</v>
      </c>
      <c r="W124" s="314">
        <f>IFERROR(SUM(W117:W122),"0")</f>
        <v>16.2</v>
      </c>
      <c r="X124" s="37"/>
      <c r="Y124" s="315"/>
      <c r="Z124" s="315"/>
    </row>
    <row r="125" spans="1:53" ht="16.5" hidden="1" customHeight="1" x14ac:dyDescent="0.25">
      <c r="A125" s="346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hidden="1" customHeight="1" x14ac:dyDescent="0.25">
      <c r="A126" s="347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21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44" t="s">
        <v>238</v>
      </c>
      <c r="O127" s="326"/>
      <c r="P127" s="326"/>
      <c r="Q127" s="326"/>
      <c r="R127" s="321"/>
      <c r="S127" s="34"/>
      <c r="T127" s="34"/>
      <c r="U127" s="35" t="s">
        <v>65</v>
      </c>
      <c r="V127" s="312">
        <v>139</v>
      </c>
      <c r="W127" s="313">
        <f>IFERROR(IF(V127="",0,CEILING((V127/$H127),1)*$H127),"")</f>
        <v>142.80000000000001</v>
      </c>
      <c r="X127" s="36">
        <f>IFERROR(IF(W127=0,"",ROUNDUP(W127/H127,0)*0.02175),"")</f>
        <v>0.36974999999999997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21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6"/>
      <c r="P128" s="326"/>
      <c r="Q128" s="326"/>
      <c r="R128" s="321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21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6"/>
      <c r="P129" s="326"/>
      <c r="Q129" s="326"/>
      <c r="R129" s="321"/>
      <c r="S129" s="34"/>
      <c r="T129" s="34"/>
      <c r="U129" s="35" t="s">
        <v>65</v>
      </c>
      <c r="V129" s="312">
        <v>47</v>
      </c>
      <c r="W129" s="313">
        <f>IFERROR(IF(V129="",0,CEILING((V129/$H129),1)*$H129),"")</f>
        <v>48.6</v>
      </c>
      <c r="X129" s="36">
        <f>IFERROR(IF(W129=0,"",ROUNDUP(W129/H129,0)*0.00753),"")</f>
        <v>0.13553999999999999</v>
      </c>
      <c r="Y129" s="56"/>
      <c r="Z129" s="57"/>
      <c r="AD129" s="58"/>
      <c r="BA129" s="125" t="s">
        <v>1</v>
      </c>
    </row>
    <row r="130" spans="1:53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4"/>
      <c r="N130" s="340" t="s">
        <v>66</v>
      </c>
      <c r="O130" s="341"/>
      <c r="P130" s="341"/>
      <c r="Q130" s="341"/>
      <c r="R130" s="341"/>
      <c r="S130" s="341"/>
      <c r="T130" s="342"/>
      <c r="U130" s="37" t="s">
        <v>67</v>
      </c>
      <c r="V130" s="314">
        <f>IFERROR(V127/H127,"0")+IFERROR(V128/H128,"0")+IFERROR(V129/H129,"0")</f>
        <v>33.955026455026456</v>
      </c>
      <c r="W130" s="314">
        <f>IFERROR(W127/H127,"0")+IFERROR(W128/H128,"0")+IFERROR(W129/H129,"0")</f>
        <v>35</v>
      </c>
      <c r="X130" s="314">
        <f>IFERROR(IF(X127="",0,X127),"0")+IFERROR(IF(X128="",0,X128),"0")+IFERROR(IF(X129="",0,X129),"0")</f>
        <v>0.50529000000000002</v>
      </c>
      <c r="Y130" s="315"/>
      <c r="Z130" s="315"/>
    </row>
    <row r="131" spans="1:53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4"/>
      <c r="N131" s="340" t="s">
        <v>66</v>
      </c>
      <c r="O131" s="341"/>
      <c r="P131" s="341"/>
      <c r="Q131" s="341"/>
      <c r="R131" s="341"/>
      <c r="S131" s="341"/>
      <c r="T131" s="342"/>
      <c r="U131" s="37" t="s">
        <v>65</v>
      </c>
      <c r="V131" s="314">
        <f>IFERROR(SUM(V127:V129),"0")</f>
        <v>186</v>
      </c>
      <c r="W131" s="314">
        <f>IFERROR(SUM(W127:W129),"0")</f>
        <v>191.4</v>
      </c>
      <c r="X131" s="37"/>
      <c r="Y131" s="315"/>
      <c r="Z131" s="315"/>
    </row>
    <row r="132" spans="1:53" ht="27.75" hidden="1" customHeight="1" x14ac:dyDescent="0.2">
      <c r="A132" s="318" t="s">
        <v>243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48"/>
      <c r="Z132" s="48"/>
    </row>
    <row r="133" spans="1:53" ht="16.5" hidden="1" customHeight="1" x14ac:dyDescent="0.25">
      <c r="A133" s="346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hidden="1" customHeight="1" x14ac:dyDescent="0.25">
      <c r="A134" s="347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21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3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6"/>
      <c r="P135" s="326"/>
      <c r="Q135" s="326"/>
      <c r="R135" s="321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21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6"/>
      <c r="P136" s="326"/>
      <c r="Q136" s="326"/>
      <c r="R136" s="321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21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6"/>
      <c r="P137" s="326"/>
      <c r="Q137" s="326"/>
      <c r="R137" s="321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22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4"/>
      <c r="N138" s="340" t="s">
        <v>66</v>
      </c>
      <c r="O138" s="341"/>
      <c r="P138" s="341"/>
      <c r="Q138" s="341"/>
      <c r="R138" s="341"/>
      <c r="S138" s="341"/>
      <c r="T138" s="342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4"/>
      <c r="N139" s="340" t="s">
        <v>66</v>
      </c>
      <c r="O139" s="341"/>
      <c r="P139" s="341"/>
      <c r="Q139" s="341"/>
      <c r="R139" s="341"/>
      <c r="S139" s="341"/>
      <c r="T139" s="342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6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hidden="1" customHeight="1" x14ac:dyDescent="0.25">
      <c r="A141" s="347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21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6"/>
      <c r="P142" s="326"/>
      <c r="Q142" s="326"/>
      <c r="R142" s="321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21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6"/>
      <c r="P143" s="326"/>
      <c r="Q143" s="326"/>
      <c r="R143" s="321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21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6"/>
      <c r="P144" s="326"/>
      <c r="Q144" s="326"/>
      <c r="R144" s="321"/>
      <c r="S144" s="34"/>
      <c r="T144" s="34"/>
      <c r="U144" s="35" t="s">
        <v>65</v>
      </c>
      <c r="V144" s="312">
        <v>6</v>
      </c>
      <c r="W144" s="313">
        <f t="shared" si="8"/>
        <v>8.4</v>
      </c>
      <c r="X144" s="36">
        <f>IFERROR(IF(W144=0,"",ROUNDUP(W144/H144,0)*0.00753),"")</f>
        <v>1.506E-2</v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21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6"/>
      <c r="P145" s="326"/>
      <c r="Q145" s="326"/>
      <c r="R145" s="321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21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6"/>
      <c r="P146" s="326"/>
      <c r="Q146" s="326"/>
      <c r="R146" s="321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21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6"/>
      <c r="P147" s="326"/>
      <c r="Q147" s="326"/>
      <c r="R147" s="321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21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6"/>
      <c r="P148" s="326"/>
      <c r="Q148" s="326"/>
      <c r="R148" s="321"/>
      <c r="S148" s="34"/>
      <c r="T148" s="34"/>
      <c r="U148" s="35" t="s">
        <v>65</v>
      </c>
      <c r="V148" s="312">
        <v>31</v>
      </c>
      <c r="W148" s="313">
        <f t="shared" si="8"/>
        <v>31.5</v>
      </c>
      <c r="X148" s="36">
        <f>IFERROR(IF(W148=0,"",ROUNDUP(W148/H148,0)*0.00502),"")</f>
        <v>7.5300000000000006E-2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21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6"/>
      <c r="P149" s="326"/>
      <c r="Q149" s="326"/>
      <c r="R149" s="321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21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8" t="s">
        <v>270</v>
      </c>
      <c r="O150" s="326"/>
      <c r="P150" s="326"/>
      <c r="Q150" s="326"/>
      <c r="R150" s="321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22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4"/>
      <c r="N151" s="340" t="s">
        <v>66</v>
      </c>
      <c r="O151" s="341"/>
      <c r="P151" s="341"/>
      <c r="Q151" s="341"/>
      <c r="R151" s="341"/>
      <c r="S151" s="341"/>
      <c r="T151" s="342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16.19047619047619</v>
      </c>
      <c r="W151" s="314">
        <f>IFERROR(W142/H142,"0")+IFERROR(W143/H143,"0")+IFERROR(W144/H144,"0")+IFERROR(W145/H145,"0")+IFERROR(W146/H146,"0")+IFERROR(W147/H147,"0")+IFERROR(W148/H148,"0")+IFERROR(W149/H149,"0")+IFERROR(W150/H150,"0")</f>
        <v>17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9.036000000000001E-2</v>
      </c>
      <c r="Y151" s="315"/>
      <c r="Z151" s="315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4"/>
      <c r="N152" s="340" t="s">
        <v>66</v>
      </c>
      <c r="O152" s="341"/>
      <c r="P152" s="341"/>
      <c r="Q152" s="341"/>
      <c r="R152" s="341"/>
      <c r="S152" s="341"/>
      <c r="T152" s="342"/>
      <c r="U152" s="37" t="s">
        <v>65</v>
      </c>
      <c r="V152" s="314">
        <f>IFERROR(SUM(V142:V150),"0")</f>
        <v>37</v>
      </c>
      <c r="W152" s="314">
        <f>IFERROR(SUM(W142:W150),"0")</f>
        <v>39.9</v>
      </c>
      <c r="X152" s="37"/>
      <c r="Y152" s="315"/>
      <c r="Z152" s="315"/>
    </row>
    <row r="153" spans="1:53" ht="16.5" hidden="1" customHeight="1" x14ac:dyDescent="0.25">
      <c r="A153" s="346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hidden="1" customHeight="1" x14ac:dyDescent="0.25">
      <c r="A154" s="347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21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1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21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1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22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4"/>
      <c r="N157" s="340" t="s">
        <v>66</v>
      </c>
      <c r="O157" s="341"/>
      <c r="P157" s="341"/>
      <c r="Q157" s="341"/>
      <c r="R157" s="341"/>
      <c r="S157" s="341"/>
      <c r="T157" s="342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40" t="s">
        <v>66</v>
      </c>
      <c r="O158" s="341"/>
      <c r="P158" s="341"/>
      <c r="Q158" s="341"/>
      <c r="R158" s="341"/>
      <c r="S158" s="341"/>
      <c r="T158" s="342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7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21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80" t="s">
        <v>278</v>
      </c>
      <c r="O160" s="326"/>
      <c r="P160" s="326"/>
      <c r="Q160" s="326"/>
      <c r="R160" s="321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21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1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4"/>
      <c r="N162" s="340" t="s">
        <v>66</v>
      </c>
      <c r="O162" s="341"/>
      <c r="P162" s="341"/>
      <c r="Q162" s="341"/>
      <c r="R162" s="341"/>
      <c r="S162" s="341"/>
      <c r="T162" s="342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4"/>
      <c r="N163" s="340" t="s">
        <v>66</v>
      </c>
      <c r="O163" s="341"/>
      <c r="P163" s="341"/>
      <c r="Q163" s="341"/>
      <c r="R163" s="341"/>
      <c r="S163" s="341"/>
      <c r="T163" s="342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7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21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1"/>
      <c r="S165" s="34"/>
      <c r="T165" s="34"/>
      <c r="U165" s="35" t="s">
        <v>65</v>
      </c>
      <c r="V165" s="312">
        <v>46</v>
      </c>
      <c r="W165" s="313">
        <f>IFERROR(IF(V165="",0,CEILING((V165/$H165),1)*$H165),"")</f>
        <v>48.6</v>
      </c>
      <c r="X165" s="36">
        <f>IFERROR(IF(W165=0,"",ROUNDUP(W165/H165,0)*0.00937),"")</f>
        <v>8.4330000000000002E-2</v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21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1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21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1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21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1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2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4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14">
        <f>IFERROR(V165/H165,"0")+IFERROR(V166/H166,"0")+IFERROR(V167/H167,"0")+IFERROR(V168/H168,"0")</f>
        <v>8.5185185185185173</v>
      </c>
      <c r="W169" s="314">
        <f>IFERROR(W165/H165,"0")+IFERROR(W166/H166,"0")+IFERROR(W167/H167,"0")+IFERROR(W168/H168,"0")</f>
        <v>9</v>
      </c>
      <c r="X169" s="314">
        <f>IFERROR(IF(X165="",0,X165),"0")+IFERROR(IF(X166="",0,X166),"0")+IFERROR(IF(X167="",0,X167),"0")+IFERROR(IF(X168="",0,X168),"0")</f>
        <v>8.4330000000000002E-2</v>
      </c>
      <c r="Y169" s="315"/>
      <c r="Z169" s="315"/>
    </row>
    <row r="170" spans="1:53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4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14">
        <f>IFERROR(SUM(V165:V168),"0")</f>
        <v>46</v>
      </c>
      <c r="W170" s="314">
        <f>IFERROR(SUM(W165:W168),"0")</f>
        <v>48.6</v>
      </c>
      <c r="X170" s="37"/>
      <c r="Y170" s="315"/>
      <c r="Z170" s="315"/>
    </row>
    <row r="171" spans="1:53" ht="14.25" hidden="1" customHeight="1" x14ac:dyDescent="0.25">
      <c r="A171" s="347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21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1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21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603" t="s">
        <v>293</v>
      </c>
      <c r="O173" s="326"/>
      <c r="P173" s="326"/>
      <c r="Q173" s="326"/>
      <c r="R173" s="321"/>
      <c r="S173" s="34"/>
      <c r="T173" s="34"/>
      <c r="U173" s="35" t="s">
        <v>65</v>
      </c>
      <c r="V173" s="312">
        <v>357</v>
      </c>
      <c r="W173" s="313">
        <f t="shared" si="9"/>
        <v>365.4</v>
      </c>
      <c r="X173" s="36">
        <f>IFERROR(IF(W173=0,"",ROUNDUP(W173/H173,0)*0.02175),"")</f>
        <v>0.91349999999999998</v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21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1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21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23" t="s">
        <v>298</v>
      </c>
      <c r="O175" s="326"/>
      <c r="P175" s="326"/>
      <c r="Q175" s="326"/>
      <c r="R175" s="321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21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1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21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1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21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7" t="s">
        <v>305</v>
      </c>
      <c r="O178" s="326"/>
      <c r="P178" s="326"/>
      <c r="Q178" s="326"/>
      <c r="R178" s="321"/>
      <c r="S178" s="34"/>
      <c r="T178" s="34"/>
      <c r="U178" s="35" t="s">
        <v>65</v>
      </c>
      <c r="V178" s="312">
        <v>147</v>
      </c>
      <c r="W178" s="313">
        <f t="shared" si="9"/>
        <v>148.79999999999998</v>
      </c>
      <c r="X178" s="36">
        <f>IFERROR(IF(W178=0,"",ROUNDUP(W178/H178,0)*0.00753),"")</f>
        <v>0.46686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21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2" t="s">
        <v>308</v>
      </c>
      <c r="O179" s="326"/>
      <c r="P179" s="326"/>
      <c r="Q179" s="326"/>
      <c r="R179" s="321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21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1"/>
      <c r="S180" s="34"/>
      <c r="T180" s="34"/>
      <c r="U180" s="35" t="s">
        <v>65</v>
      </c>
      <c r="V180" s="312">
        <v>283</v>
      </c>
      <c r="W180" s="313">
        <f t="shared" si="9"/>
        <v>283.2</v>
      </c>
      <c r="X180" s="36">
        <f>IFERROR(IF(W180=0,"",ROUNDUP(W180/H180,0)*0.00753),"")</f>
        <v>0.88854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21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1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21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1"/>
      <c r="S182" s="34"/>
      <c r="T182" s="34"/>
      <c r="U182" s="35" t="s">
        <v>65</v>
      </c>
      <c r="V182" s="312">
        <v>114</v>
      </c>
      <c r="W182" s="313">
        <f t="shared" si="9"/>
        <v>115.19999999999999</v>
      </c>
      <c r="X182" s="36">
        <f t="shared" ref="X182:X188" si="10">IFERROR(IF(W182=0,"",ROUNDUP(W182/H182,0)*0.00753),"")</f>
        <v>0.36143999999999998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21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6"/>
      <c r="P183" s="326"/>
      <c r="Q183" s="326"/>
      <c r="R183" s="321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21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6"/>
      <c r="P184" s="326"/>
      <c r="Q184" s="326"/>
      <c r="R184" s="321"/>
      <c r="S184" s="34"/>
      <c r="T184" s="34"/>
      <c r="U184" s="35" t="s">
        <v>65</v>
      </c>
      <c r="V184" s="312">
        <v>100.8</v>
      </c>
      <c r="W184" s="313">
        <f t="shared" si="9"/>
        <v>100.8</v>
      </c>
      <c r="X184" s="36">
        <f t="shared" si="10"/>
        <v>0.31625999999999999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21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6"/>
      <c r="P185" s="326"/>
      <c r="Q185" s="326"/>
      <c r="R185" s="321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21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6"/>
      <c r="P186" s="326"/>
      <c r="Q186" s="326"/>
      <c r="R186" s="321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21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6"/>
      <c r="P187" s="326"/>
      <c r="Q187" s="326"/>
      <c r="R187" s="321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21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6"/>
      <c r="P188" s="326"/>
      <c r="Q188" s="326"/>
      <c r="R188" s="321"/>
      <c r="S188" s="34"/>
      <c r="T188" s="34"/>
      <c r="U188" s="35" t="s">
        <v>65</v>
      </c>
      <c r="V188" s="312">
        <v>31</v>
      </c>
      <c r="W188" s="313">
        <f t="shared" si="9"/>
        <v>31.2</v>
      </c>
      <c r="X188" s="36">
        <f t="shared" si="10"/>
        <v>9.7890000000000005E-2</v>
      </c>
      <c r="Y188" s="56"/>
      <c r="Z188" s="57"/>
      <c r="AD188" s="58"/>
      <c r="BA188" s="162" t="s">
        <v>1</v>
      </c>
    </row>
    <row r="189" spans="1:53" x14ac:dyDescent="0.2">
      <c r="A189" s="322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4"/>
      <c r="N189" s="340" t="s">
        <v>66</v>
      </c>
      <c r="O189" s="341"/>
      <c r="P189" s="341"/>
      <c r="Q189" s="341"/>
      <c r="R189" s="341"/>
      <c r="S189" s="341"/>
      <c r="T189" s="342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322.61781609195407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325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3.0444900000000001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40" t="s">
        <v>66</v>
      </c>
      <c r="O190" s="341"/>
      <c r="P190" s="341"/>
      <c r="Q190" s="341"/>
      <c r="R190" s="341"/>
      <c r="S190" s="341"/>
      <c r="T190" s="342"/>
      <c r="U190" s="37" t="s">
        <v>65</v>
      </c>
      <c r="V190" s="314">
        <f>IFERROR(SUM(V172:V188),"0")</f>
        <v>1032.8</v>
      </c>
      <c r="W190" s="314">
        <f>IFERROR(SUM(W172:W188),"0")</f>
        <v>1044.5999999999999</v>
      </c>
      <c r="X190" s="37"/>
      <c r="Y190" s="315"/>
      <c r="Z190" s="315"/>
    </row>
    <row r="191" spans="1:53" ht="14.25" hidden="1" customHeight="1" x14ac:dyDescent="0.25">
      <c r="A191" s="347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21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69" t="s">
        <v>329</v>
      </c>
      <c r="O192" s="326"/>
      <c r="P192" s="326"/>
      <c r="Q192" s="326"/>
      <c r="R192" s="321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21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4" t="s">
        <v>332</v>
      </c>
      <c r="O193" s="326"/>
      <c r="P193" s="326"/>
      <c r="Q193" s="326"/>
      <c r="R193" s="321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21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6"/>
      <c r="P194" s="326"/>
      <c r="Q194" s="326"/>
      <c r="R194" s="321"/>
      <c r="S194" s="34"/>
      <c r="T194" s="34"/>
      <c r="U194" s="35" t="s">
        <v>65</v>
      </c>
      <c r="V194" s="312">
        <v>5.4</v>
      </c>
      <c r="W194" s="313">
        <f>IFERROR(IF(V194="",0,CEILING((V194/$H194),1)*$H194),"")</f>
        <v>7.1999999999999993</v>
      </c>
      <c r="X194" s="36">
        <f>IFERROR(IF(W194=0,"",ROUNDUP(W194/H194,0)*0.00753),"")</f>
        <v>2.2589999999999999E-2</v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21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6"/>
      <c r="P195" s="326"/>
      <c r="Q195" s="326"/>
      <c r="R195" s="321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x14ac:dyDescent="0.2">
      <c r="A196" s="322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4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14">
        <f>IFERROR(V192/H192,"0")+IFERROR(V193/H193,"0")+IFERROR(V194/H194,"0")+IFERROR(V195/H195,"0")</f>
        <v>2.2500000000000004</v>
      </c>
      <c r="W196" s="314">
        <f>IFERROR(W192/H192,"0")+IFERROR(W193/H193,"0")+IFERROR(W194/H194,"0")+IFERROR(W195/H195,"0")</f>
        <v>3</v>
      </c>
      <c r="X196" s="314">
        <f>IFERROR(IF(X192="",0,X192),"0")+IFERROR(IF(X193="",0,X193),"0")+IFERROR(IF(X194="",0,X194),"0")+IFERROR(IF(X195="",0,X195),"0")</f>
        <v>2.2589999999999999E-2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4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14">
        <f>IFERROR(SUM(V192:V195),"0")</f>
        <v>5.4</v>
      </c>
      <c r="W197" s="314">
        <f>IFERROR(SUM(W192:W195),"0")</f>
        <v>7.1999999999999993</v>
      </c>
      <c r="X197" s="37"/>
      <c r="Y197" s="315"/>
      <c r="Z197" s="315"/>
    </row>
    <row r="198" spans="1:53" ht="16.5" hidden="1" customHeight="1" x14ac:dyDescent="0.25">
      <c r="A198" s="346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hidden="1" customHeight="1" x14ac:dyDescent="0.25">
      <c r="A199" s="347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21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6"/>
      <c r="P200" s="326"/>
      <c r="Q200" s="326"/>
      <c r="R200" s="321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22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4"/>
      <c r="N201" s="340" t="s">
        <v>66</v>
      </c>
      <c r="O201" s="341"/>
      <c r="P201" s="341"/>
      <c r="Q201" s="341"/>
      <c r="R201" s="341"/>
      <c r="S201" s="341"/>
      <c r="T201" s="342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4"/>
      <c r="N202" s="340" t="s">
        <v>66</v>
      </c>
      <c r="O202" s="341"/>
      <c r="P202" s="341"/>
      <c r="Q202" s="341"/>
      <c r="R202" s="341"/>
      <c r="S202" s="341"/>
      <c r="T202" s="342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6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hidden="1" customHeight="1" x14ac:dyDescent="0.25">
      <c r="A204" s="347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21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6"/>
      <c r="P205" s="326"/>
      <c r="Q205" s="326"/>
      <c r="R205" s="321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21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6"/>
      <c r="P206" s="326"/>
      <c r="Q206" s="326"/>
      <c r="R206" s="321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21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6"/>
      <c r="P207" s="326"/>
      <c r="Q207" s="326"/>
      <c r="R207" s="321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21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6"/>
      <c r="P208" s="326"/>
      <c r="Q208" s="326"/>
      <c r="R208" s="321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21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4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6"/>
      <c r="P209" s="326"/>
      <c r="Q209" s="326"/>
      <c r="R209" s="321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21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6"/>
      <c r="P210" s="326"/>
      <c r="Q210" s="326"/>
      <c r="R210" s="321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21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6"/>
      <c r="P211" s="326"/>
      <c r="Q211" s="326"/>
      <c r="R211" s="321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21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6"/>
      <c r="P212" s="326"/>
      <c r="Q212" s="326"/>
      <c r="R212" s="321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21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6"/>
      <c r="P213" s="326"/>
      <c r="Q213" s="326"/>
      <c r="R213" s="321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21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6"/>
      <c r="P214" s="326"/>
      <c r="Q214" s="326"/>
      <c r="R214" s="321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21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6"/>
      <c r="P215" s="326"/>
      <c r="Q215" s="326"/>
      <c r="R215" s="321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21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6"/>
      <c r="P216" s="326"/>
      <c r="Q216" s="326"/>
      <c r="R216" s="321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21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6"/>
      <c r="P217" s="326"/>
      <c r="Q217" s="326"/>
      <c r="R217" s="321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21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6"/>
      <c r="P218" s="326"/>
      <c r="Q218" s="326"/>
      <c r="R218" s="321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21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6"/>
      <c r="P219" s="326"/>
      <c r="Q219" s="326"/>
      <c r="R219" s="321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22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40" t="s">
        <v>66</v>
      </c>
      <c r="O220" s="341"/>
      <c r="P220" s="341"/>
      <c r="Q220" s="341"/>
      <c r="R220" s="341"/>
      <c r="S220" s="341"/>
      <c r="T220" s="342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4"/>
      <c r="N221" s="340" t="s">
        <v>66</v>
      </c>
      <c r="O221" s="341"/>
      <c r="P221" s="341"/>
      <c r="Q221" s="341"/>
      <c r="R221" s="341"/>
      <c r="S221" s="341"/>
      <c r="T221" s="342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7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21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6"/>
      <c r="P223" s="326"/>
      <c r="Q223" s="326"/>
      <c r="R223" s="321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4"/>
      <c r="N224" s="340" t="s">
        <v>66</v>
      </c>
      <c r="O224" s="341"/>
      <c r="P224" s="341"/>
      <c r="Q224" s="341"/>
      <c r="R224" s="341"/>
      <c r="S224" s="341"/>
      <c r="T224" s="342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4"/>
      <c r="N225" s="340" t="s">
        <v>66</v>
      </c>
      <c r="O225" s="341"/>
      <c r="P225" s="341"/>
      <c r="Q225" s="341"/>
      <c r="R225" s="341"/>
      <c r="S225" s="341"/>
      <c r="T225" s="342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7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21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6"/>
      <c r="P227" s="326"/>
      <c r="Q227" s="326"/>
      <c r="R227" s="321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21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6"/>
      <c r="P228" s="326"/>
      <c r="Q228" s="326"/>
      <c r="R228" s="321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21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6"/>
      <c r="P229" s="326"/>
      <c r="Q229" s="326"/>
      <c r="R229" s="321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22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4"/>
      <c r="N230" s="340" t="s">
        <v>66</v>
      </c>
      <c r="O230" s="341"/>
      <c r="P230" s="341"/>
      <c r="Q230" s="341"/>
      <c r="R230" s="341"/>
      <c r="S230" s="341"/>
      <c r="T230" s="342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40" t="s">
        <v>66</v>
      </c>
      <c r="O231" s="341"/>
      <c r="P231" s="341"/>
      <c r="Q231" s="341"/>
      <c r="R231" s="341"/>
      <c r="S231" s="341"/>
      <c r="T231" s="342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7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21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6"/>
      <c r="P233" s="326"/>
      <c r="Q233" s="326"/>
      <c r="R233" s="321"/>
      <c r="S233" s="34"/>
      <c r="T233" s="34"/>
      <c r="U233" s="35" t="s">
        <v>65</v>
      </c>
      <c r="V233" s="312">
        <v>25</v>
      </c>
      <c r="W233" s="313">
        <f t="shared" ref="W233:W241" si="13">IFERROR(IF(V233="",0,CEILING((V233/$H233),1)*$H233),"")</f>
        <v>31.2</v>
      </c>
      <c r="X233" s="36">
        <f>IFERROR(IF(W233=0,"",ROUNDUP(W233/H233,0)*0.02175),"")</f>
        <v>8.6999999999999994E-2</v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21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6"/>
      <c r="P234" s="326"/>
      <c r="Q234" s="326"/>
      <c r="R234" s="321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21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6"/>
      <c r="P235" s="326"/>
      <c r="Q235" s="326"/>
      <c r="R235" s="321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21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64" t="s">
        <v>385</v>
      </c>
      <c r="O236" s="326"/>
      <c r="P236" s="326"/>
      <c r="Q236" s="326"/>
      <c r="R236" s="321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21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4" t="s">
        <v>388</v>
      </c>
      <c r="O237" s="326"/>
      <c r="P237" s="326"/>
      <c r="Q237" s="326"/>
      <c r="R237" s="321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21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6"/>
      <c r="P238" s="326"/>
      <c r="Q238" s="326"/>
      <c r="R238" s="321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21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6"/>
      <c r="P239" s="326"/>
      <c r="Q239" s="326"/>
      <c r="R239" s="321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21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6"/>
      <c r="P240" s="326"/>
      <c r="Q240" s="326"/>
      <c r="R240" s="321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21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6"/>
      <c r="P241" s="326"/>
      <c r="Q241" s="326"/>
      <c r="R241" s="321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22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4"/>
      <c r="N242" s="340" t="s">
        <v>66</v>
      </c>
      <c r="O242" s="341"/>
      <c r="P242" s="341"/>
      <c r="Q242" s="341"/>
      <c r="R242" s="341"/>
      <c r="S242" s="341"/>
      <c r="T242" s="342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3.2051282051282053</v>
      </c>
      <c r="W242" s="314">
        <f>IFERROR(W233/H233,"0")+IFERROR(W234/H234,"0")+IFERROR(W235/H235,"0")+IFERROR(W236/H236,"0")+IFERROR(W237/H237,"0")+IFERROR(W238/H238,"0")+IFERROR(W239/H239,"0")+IFERROR(W240/H240,"0")+IFERROR(W241/H241,"0")</f>
        <v>4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8.6999999999999994E-2</v>
      </c>
      <c r="Y242" s="315"/>
      <c r="Z242" s="315"/>
    </row>
    <row r="243" spans="1:53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40" t="s">
        <v>66</v>
      </c>
      <c r="O243" s="341"/>
      <c r="P243" s="341"/>
      <c r="Q243" s="341"/>
      <c r="R243" s="341"/>
      <c r="S243" s="341"/>
      <c r="T243" s="342"/>
      <c r="U243" s="37" t="s">
        <v>65</v>
      </c>
      <c r="V243" s="314">
        <f>IFERROR(SUM(V233:V241),"0")</f>
        <v>25</v>
      </c>
      <c r="W243" s="314">
        <f>IFERROR(SUM(W233:W241),"0")</f>
        <v>31.2</v>
      </c>
      <c r="X243" s="37"/>
      <c r="Y243" s="315"/>
      <c r="Z243" s="315"/>
    </row>
    <row r="244" spans="1:53" ht="14.25" hidden="1" customHeight="1" x14ac:dyDescent="0.25">
      <c r="A244" s="347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21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6"/>
      <c r="P245" s="326"/>
      <c r="Q245" s="326"/>
      <c r="R245" s="321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21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6"/>
      <c r="P246" s="326"/>
      <c r="Q246" s="326"/>
      <c r="R246" s="321"/>
      <c r="S246" s="34"/>
      <c r="T246" s="34"/>
      <c r="U246" s="35" t="s">
        <v>65</v>
      </c>
      <c r="V246" s="312">
        <v>333</v>
      </c>
      <c r="W246" s="313">
        <f>IFERROR(IF(V246="",0,CEILING((V246/$H246),1)*$H246),"")</f>
        <v>335.4</v>
      </c>
      <c r="X246" s="36">
        <f>IFERROR(IF(W246=0,"",ROUNDUP(W246/H246,0)*0.02175),"")</f>
        <v>0.93524999999999991</v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21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6"/>
      <c r="P247" s="326"/>
      <c r="Q247" s="326"/>
      <c r="R247" s="321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22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4"/>
      <c r="N248" s="340" t="s">
        <v>66</v>
      </c>
      <c r="O248" s="341"/>
      <c r="P248" s="341"/>
      <c r="Q248" s="341"/>
      <c r="R248" s="341"/>
      <c r="S248" s="341"/>
      <c r="T248" s="342"/>
      <c r="U248" s="37" t="s">
        <v>67</v>
      </c>
      <c r="V248" s="314">
        <f>IFERROR(V245/H245,"0")+IFERROR(V246/H246,"0")+IFERROR(V247/H247,"0")</f>
        <v>42.692307692307693</v>
      </c>
      <c r="W248" s="314">
        <f>IFERROR(W245/H245,"0")+IFERROR(W246/H246,"0")+IFERROR(W247/H247,"0")</f>
        <v>43</v>
      </c>
      <c r="X248" s="314">
        <f>IFERROR(IF(X245="",0,X245),"0")+IFERROR(IF(X246="",0,X246),"0")+IFERROR(IF(X247="",0,X247),"0")</f>
        <v>0.93524999999999991</v>
      </c>
      <c r="Y248" s="315"/>
      <c r="Z248" s="315"/>
    </row>
    <row r="249" spans="1:53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40" t="s">
        <v>66</v>
      </c>
      <c r="O249" s="341"/>
      <c r="P249" s="341"/>
      <c r="Q249" s="341"/>
      <c r="R249" s="341"/>
      <c r="S249" s="341"/>
      <c r="T249" s="342"/>
      <c r="U249" s="37" t="s">
        <v>65</v>
      </c>
      <c r="V249" s="314">
        <f>IFERROR(SUM(V245:V247),"0")</f>
        <v>333</v>
      </c>
      <c r="W249" s="314">
        <f>IFERROR(SUM(W245:W247),"0")</f>
        <v>335.4</v>
      </c>
      <c r="X249" s="37"/>
      <c r="Y249" s="315"/>
      <c r="Z249" s="315"/>
    </row>
    <row r="250" spans="1:53" ht="14.25" hidden="1" customHeight="1" x14ac:dyDescent="0.25">
      <c r="A250" s="347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21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82" t="s">
        <v>405</v>
      </c>
      <c r="O251" s="326"/>
      <c r="P251" s="326"/>
      <c r="Q251" s="326"/>
      <c r="R251" s="321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21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7" t="s">
        <v>408</v>
      </c>
      <c r="O252" s="326"/>
      <c r="P252" s="326"/>
      <c r="Q252" s="326"/>
      <c r="R252" s="321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21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6"/>
      <c r="P253" s="326"/>
      <c r="Q253" s="326"/>
      <c r="R253" s="321"/>
      <c r="S253" s="34"/>
      <c r="T253" s="34"/>
      <c r="U253" s="35" t="s">
        <v>65</v>
      </c>
      <c r="V253" s="312">
        <v>20</v>
      </c>
      <c r="W253" s="313">
        <f>IFERROR(IF(V253="",0,CEILING((V253/$H253),1)*$H253),"")</f>
        <v>20.399999999999999</v>
      </c>
      <c r="X253" s="36">
        <f>IFERROR(IF(W253=0,"",ROUNDUP(W253/H253,0)*0.00753),"")</f>
        <v>6.0240000000000002E-2</v>
      </c>
      <c r="Y253" s="56"/>
      <c r="Z253" s="57"/>
      <c r="AD253" s="58"/>
      <c r="BA253" s="201" t="s">
        <v>1</v>
      </c>
    </row>
    <row r="254" spans="1:53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4"/>
      <c r="N254" s="340" t="s">
        <v>66</v>
      </c>
      <c r="O254" s="341"/>
      <c r="P254" s="341"/>
      <c r="Q254" s="341"/>
      <c r="R254" s="341"/>
      <c r="S254" s="341"/>
      <c r="T254" s="342"/>
      <c r="U254" s="37" t="s">
        <v>67</v>
      </c>
      <c r="V254" s="314">
        <f>IFERROR(V251/H251,"0")+IFERROR(V252/H252,"0")+IFERROR(V253/H253,"0")</f>
        <v>7.8431372549019613</v>
      </c>
      <c r="W254" s="314">
        <f>IFERROR(W251/H251,"0")+IFERROR(W252/H252,"0")+IFERROR(W253/H253,"0")</f>
        <v>8</v>
      </c>
      <c r="X254" s="314">
        <f>IFERROR(IF(X251="",0,X251),"0")+IFERROR(IF(X252="",0,X252),"0")+IFERROR(IF(X253="",0,X253),"0")</f>
        <v>6.0240000000000002E-2</v>
      </c>
      <c r="Y254" s="315"/>
      <c r="Z254" s="315"/>
    </row>
    <row r="255" spans="1:53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4"/>
      <c r="N255" s="340" t="s">
        <v>66</v>
      </c>
      <c r="O255" s="341"/>
      <c r="P255" s="341"/>
      <c r="Q255" s="341"/>
      <c r="R255" s="341"/>
      <c r="S255" s="341"/>
      <c r="T255" s="342"/>
      <c r="U255" s="37" t="s">
        <v>65</v>
      </c>
      <c r="V255" s="314">
        <f>IFERROR(SUM(V251:V253),"0")</f>
        <v>20</v>
      </c>
      <c r="W255" s="314">
        <f>IFERROR(SUM(W251:W253),"0")</f>
        <v>20.399999999999999</v>
      </c>
      <c r="X255" s="37"/>
      <c r="Y255" s="315"/>
      <c r="Z255" s="315"/>
    </row>
    <row r="256" spans="1:53" ht="14.25" hidden="1" customHeight="1" x14ac:dyDescent="0.25">
      <c r="A256" s="347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21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6"/>
      <c r="P257" s="326"/>
      <c r="Q257" s="326"/>
      <c r="R257" s="321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21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6"/>
      <c r="P258" s="326"/>
      <c r="Q258" s="326"/>
      <c r="R258" s="321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21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6"/>
      <c r="P259" s="326"/>
      <c r="Q259" s="326"/>
      <c r="R259" s="321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40" t="s">
        <v>66</v>
      </c>
      <c r="O260" s="341"/>
      <c r="P260" s="341"/>
      <c r="Q260" s="341"/>
      <c r="R260" s="341"/>
      <c r="S260" s="341"/>
      <c r="T260" s="342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40" t="s">
        <v>66</v>
      </c>
      <c r="O261" s="341"/>
      <c r="P261" s="341"/>
      <c r="Q261" s="341"/>
      <c r="R261" s="341"/>
      <c r="S261" s="341"/>
      <c r="T261" s="342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6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hidden="1" customHeight="1" x14ac:dyDescent="0.25">
      <c r="A263" s="347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21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6"/>
      <c r="P264" s="326"/>
      <c r="Q264" s="326"/>
      <c r="R264" s="321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21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6"/>
      <c r="P265" s="326"/>
      <c r="Q265" s="326"/>
      <c r="R265" s="321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21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6"/>
      <c r="P266" s="326"/>
      <c r="Q266" s="326"/>
      <c r="R266" s="321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21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26"/>
      <c r="P267" s="326"/>
      <c r="Q267" s="326"/>
      <c r="R267" s="321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21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6"/>
      <c r="P268" s="326"/>
      <c r="Q268" s="326"/>
      <c r="R268" s="321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21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6"/>
      <c r="P269" s="326"/>
      <c r="Q269" s="326"/>
      <c r="R269" s="321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21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6"/>
      <c r="P270" s="326"/>
      <c r="Q270" s="326"/>
      <c r="R270" s="321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40" t="s">
        <v>66</v>
      </c>
      <c r="O271" s="341"/>
      <c r="P271" s="341"/>
      <c r="Q271" s="341"/>
      <c r="R271" s="341"/>
      <c r="S271" s="341"/>
      <c r="T271" s="342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4"/>
      <c r="N272" s="340" t="s">
        <v>66</v>
      </c>
      <c r="O272" s="341"/>
      <c r="P272" s="341"/>
      <c r="Q272" s="341"/>
      <c r="R272" s="341"/>
      <c r="S272" s="341"/>
      <c r="T272" s="342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7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21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6"/>
      <c r="P274" s="326"/>
      <c r="Q274" s="326"/>
      <c r="R274" s="321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21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6"/>
      <c r="P275" s="326"/>
      <c r="Q275" s="326"/>
      <c r="R275" s="321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40" t="s">
        <v>66</v>
      </c>
      <c r="O276" s="341"/>
      <c r="P276" s="341"/>
      <c r="Q276" s="341"/>
      <c r="R276" s="341"/>
      <c r="S276" s="341"/>
      <c r="T276" s="342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4"/>
      <c r="N277" s="340" t="s">
        <v>66</v>
      </c>
      <c r="O277" s="341"/>
      <c r="P277" s="341"/>
      <c r="Q277" s="341"/>
      <c r="R277" s="341"/>
      <c r="S277" s="341"/>
      <c r="T277" s="342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6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hidden="1" customHeight="1" x14ac:dyDescent="0.25">
      <c r="A279" s="347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21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6"/>
      <c r="P280" s="326"/>
      <c r="Q280" s="326"/>
      <c r="R280" s="321"/>
      <c r="S280" s="34"/>
      <c r="T280" s="34"/>
      <c r="U280" s="35" t="s">
        <v>65</v>
      </c>
      <c r="V280" s="312">
        <v>11.4</v>
      </c>
      <c r="W280" s="313">
        <f>IFERROR(IF(V280="",0,CEILING((V280/$H280),1)*$H280),"")</f>
        <v>12.6</v>
      </c>
      <c r="X280" s="36">
        <f>IFERROR(IF(W280=0,"",ROUNDUP(W280/H280,0)*0.00753),"")</f>
        <v>5.271E-2</v>
      </c>
      <c r="Y280" s="56"/>
      <c r="Z280" s="57"/>
      <c r="AD280" s="58"/>
      <c r="BA280" s="214" t="s">
        <v>1</v>
      </c>
    </row>
    <row r="281" spans="1:53" x14ac:dyDescent="0.2">
      <c r="A281" s="322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4"/>
      <c r="N281" s="340" t="s">
        <v>66</v>
      </c>
      <c r="O281" s="341"/>
      <c r="P281" s="341"/>
      <c r="Q281" s="341"/>
      <c r="R281" s="341"/>
      <c r="S281" s="341"/>
      <c r="T281" s="342"/>
      <c r="U281" s="37" t="s">
        <v>67</v>
      </c>
      <c r="V281" s="314">
        <f>IFERROR(V280/H280,"0")</f>
        <v>6.333333333333333</v>
      </c>
      <c r="W281" s="314">
        <f>IFERROR(W280/H280,"0")</f>
        <v>7</v>
      </c>
      <c r="X281" s="314">
        <f>IFERROR(IF(X280="",0,X280),"0")</f>
        <v>5.271E-2</v>
      </c>
      <c r="Y281" s="315"/>
      <c r="Z281" s="315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4"/>
      <c r="N282" s="340" t="s">
        <v>66</v>
      </c>
      <c r="O282" s="341"/>
      <c r="P282" s="341"/>
      <c r="Q282" s="341"/>
      <c r="R282" s="341"/>
      <c r="S282" s="341"/>
      <c r="T282" s="342"/>
      <c r="U282" s="37" t="s">
        <v>65</v>
      </c>
      <c r="V282" s="314">
        <f>IFERROR(SUM(V280:V280),"0")</f>
        <v>11.4</v>
      </c>
      <c r="W282" s="314">
        <f>IFERROR(SUM(W280:W280),"0")</f>
        <v>12.6</v>
      </c>
      <c r="X282" s="37"/>
      <c r="Y282" s="315"/>
      <c r="Z282" s="315"/>
    </row>
    <row r="283" spans="1:53" ht="14.25" hidden="1" customHeight="1" x14ac:dyDescent="0.25">
      <c r="A283" s="347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21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6"/>
      <c r="P284" s="326"/>
      <c r="Q284" s="326"/>
      <c r="R284" s="321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4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4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7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21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6"/>
      <c r="P288" s="326"/>
      <c r="Q288" s="326"/>
      <c r="R288" s="321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22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4"/>
      <c r="N289" s="340" t="s">
        <v>66</v>
      </c>
      <c r="O289" s="341"/>
      <c r="P289" s="341"/>
      <c r="Q289" s="341"/>
      <c r="R289" s="341"/>
      <c r="S289" s="341"/>
      <c r="T289" s="342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4"/>
      <c r="N290" s="340" t="s">
        <v>66</v>
      </c>
      <c r="O290" s="341"/>
      <c r="P290" s="341"/>
      <c r="Q290" s="341"/>
      <c r="R290" s="341"/>
      <c r="S290" s="341"/>
      <c r="T290" s="342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7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21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6"/>
      <c r="P292" s="326"/>
      <c r="Q292" s="326"/>
      <c r="R292" s="321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4"/>
      <c r="N293" s="340" t="s">
        <v>66</v>
      </c>
      <c r="O293" s="341"/>
      <c r="P293" s="341"/>
      <c r="Q293" s="341"/>
      <c r="R293" s="341"/>
      <c r="S293" s="341"/>
      <c r="T293" s="342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4"/>
      <c r="N294" s="340" t="s">
        <v>66</v>
      </c>
      <c r="O294" s="341"/>
      <c r="P294" s="341"/>
      <c r="Q294" s="341"/>
      <c r="R294" s="341"/>
      <c r="S294" s="341"/>
      <c r="T294" s="342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18" t="s">
        <v>447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48"/>
      <c r="Z295" s="48"/>
    </row>
    <row r="296" spans="1:53" ht="16.5" hidden="1" customHeight="1" x14ac:dyDescent="0.25">
      <c r="A296" s="346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hidden="1" customHeight="1" x14ac:dyDescent="0.25">
      <c r="A297" s="347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21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6"/>
      <c r="P298" s="326"/>
      <c r="Q298" s="326"/>
      <c r="R298" s="321"/>
      <c r="S298" s="34"/>
      <c r="T298" s="34"/>
      <c r="U298" s="35" t="s">
        <v>65</v>
      </c>
      <c r="V298" s="312">
        <v>2700</v>
      </c>
      <c r="W298" s="313">
        <f t="shared" ref="W298:W305" si="15">IFERROR(IF(V298="",0,CEILING((V298/$H298),1)*$H298),"")</f>
        <v>2700</v>
      </c>
      <c r="X298" s="36">
        <f>IFERROR(IF(W298=0,"",ROUNDUP(W298/H298,0)*0.02175),"")</f>
        <v>3.9149999999999996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21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6"/>
      <c r="P299" s="326"/>
      <c r="Q299" s="326"/>
      <c r="R299" s="321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21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6"/>
      <c r="P300" s="326"/>
      <c r="Q300" s="326"/>
      <c r="R300" s="321"/>
      <c r="S300" s="34"/>
      <c r="T300" s="34"/>
      <c r="U300" s="35" t="s">
        <v>65</v>
      </c>
      <c r="V300" s="312">
        <v>2528</v>
      </c>
      <c r="W300" s="313">
        <f t="shared" si="15"/>
        <v>2535</v>
      </c>
      <c r="X300" s="36">
        <f>IFERROR(IF(W300=0,"",ROUNDUP(W300/H300,0)*0.02175),"")</f>
        <v>3.6757499999999999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21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6"/>
      <c r="P301" s="326"/>
      <c r="Q301" s="326"/>
      <c r="R301" s="321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21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6"/>
      <c r="P302" s="326"/>
      <c r="Q302" s="326"/>
      <c r="R302" s="321"/>
      <c r="S302" s="34"/>
      <c r="T302" s="34"/>
      <c r="U302" s="35" t="s">
        <v>65</v>
      </c>
      <c r="V302" s="312">
        <v>405</v>
      </c>
      <c r="W302" s="313">
        <f t="shared" si="15"/>
        <v>405</v>
      </c>
      <c r="X302" s="36">
        <f>IFERROR(IF(W302=0,"",ROUNDUP(W302/H302,0)*0.02175),"")</f>
        <v>0.58724999999999994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21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19" t="s">
        <v>458</v>
      </c>
      <c r="O303" s="326"/>
      <c r="P303" s="326"/>
      <c r="Q303" s="326"/>
      <c r="R303" s="321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21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6"/>
      <c r="P304" s="326"/>
      <c r="Q304" s="326"/>
      <c r="R304" s="321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21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6"/>
      <c r="P305" s="326"/>
      <c r="Q305" s="326"/>
      <c r="R305" s="321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40" t="s">
        <v>66</v>
      </c>
      <c r="O306" s="341"/>
      <c r="P306" s="341"/>
      <c r="Q306" s="341"/>
      <c r="R306" s="341"/>
      <c r="S306" s="341"/>
      <c r="T306" s="342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375.5333333333333</v>
      </c>
      <c r="W306" s="314">
        <f>IFERROR(W298/H298,"0")+IFERROR(W299/H299,"0")+IFERROR(W300/H300,"0")+IFERROR(W301/H301,"0")+IFERROR(W302/H302,"0")+IFERROR(W303/H303,"0")+IFERROR(W304/H304,"0")+IFERROR(W305/H305,"0")</f>
        <v>376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8.177999999999999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40" t="s">
        <v>66</v>
      </c>
      <c r="O307" s="341"/>
      <c r="P307" s="341"/>
      <c r="Q307" s="341"/>
      <c r="R307" s="341"/>
      <c r="S307" s="341"/>
      <c r="T307" s="342"/>
      <c r="U307" s="37" t="s">
        <v>65</v>
      </c>
      <c r="V307" s="314">
        <f>IFERROR(SUM(V298:V305),"0")</f>
        <v>5633</v>
      </c>
      <c r="W307" s="314">
        <f>IFERROR(SUM(W298:W305),"0")</f>
        <v>5640</v>
      </c>
      <c r="X307" s="37"/>
      <c r="Y307" s="315"/>
      <c r="Z307" s="315"/>
    </row>
    <row r="308" spans="1:53" ht="14.25" hidden="1" customHeight="1" x14ac:dyDescent="0.25">
      <c r="A308" s="347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21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6"/>
      <c r="P309" s="326"/>
      <c r="Q309" s="326"/>
      <c r="R309" s="321"/>
      <c r="S309" s="34"/>
      <c r="T309" s="34"/>
      <c r="U309" s="35" t="s">
        <v>65</v>
      </c>
      <c r="V309" s="312">
        <v>2941</v>
      </c>
      <c r="W309" s="313">
        <f>IFERROR(IF(V309="",0,CEILING((V309/$H309),1)*$H309),"")</f>
        <v>2955</v>
      </c>
      <c r="X309" s="36">
        <f>IFERROR(IF(W309=0,"",ROUNDUP(W309/H309,0)*0.02175),"")</f>
        <v>4.2847499999999998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21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4" t="s">
        <v>467</v>
      </c>
      <c r="O310" s="326"/>
      <c r="P310" s="326"/>
      <c r="Q310" s="326"/>
      <c r="R310" s="321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21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6"/>
      <c r="P311" s="326"/>
      <c r="Q311" s="326"/>
      <c r="R311" s="321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4"/>
      <c r="N312" s="340" t="s">
        <v>66</v>
      </c>
      <c r="O312" s="341"/>
      <c r="P312" s="341"/>
      <c r="Q312" s="341"/>
      <c r="R312" s="341"/>
      <c r="S312" s="341"/>
      <c r="T312" s="342"/>
      <c r="U312" s="37" t="s">
        <v>67</v>
      </c>
      <c r="V312" s="314">
        <f>IFERROR(V309/H309,"0")+IFERROR(V310/H310,"0")+IFERROR(V311/H311,"0")</f>
        <v>196.06666666666666</v>
      </c>
      <c r="W312" s="314">
        <f>IFERROR(W309/H309,"0")+IFERROR(W310/H310,"0")+IFERROR(W311/H311,"0")</f>
        <v>197</v>
      </c>
      <c r="X312" s="314">
        <f>IFERROR(IF(X309="",0,X309),"0")+IFERROR(IF(X310="",0,X310),"0")+IFERROR(IF(X311="",0,X311),"0")</f>
        <v>4.2847499999999998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4"/>
      <c r="N313" s="340" t="s">
        <v>66</v>
      </c>
      <c r="O313" s="341"/>
      <c r="P313" s="341"/>
      <c r="Q313" s="341"/>
      <c r="R313" s="341"/>
      <c r="S313" s="341"/>
      <c r="T313" s="342"/>
      <c r="U313" s="37" t="s">
        <v>65</v>
      </c>
      <c r="V313" s="314">
        <f>IFERROR(SUM(V309:V311),"0")</f>
        <v>2941</v>
      </c>
      <c r="W313" s="314">
        <f>IFERROR(SUM(W309:W311),"0")</f>
        <v>2955</v>
      </c>
      <c r="X313" s="37"/>
      <c r="Y313" s="315"/>
      <c r="Z313" s="315"/>
    </row>
    <row r="314" spans="1:53" ht="14.25" hidden="1" customHeight="1" x14ac:dyDescent="0.25">
      <c r="A314" s="347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21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6"/>
      <c r="P315" s="326"/>
      <c r="Q315" s="326"/>
      <c r="R315" s="321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4"/>
      <c r="N316" s="340" t="s">
        <v>66</v>
      </c>
      <c r="O316" s="341"/>
      <c r="P316" s="341"/>
      <c r="Q316" s="341"/>
      <c r="R316" s="341"/>
      <c r="S316" s="341"/>
      <c r="T316" s="342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4"/>
      <c r="N317" s="340" t="s">
        <v>66</v>
      </c>
      <c r="O317" s="341"/>
      <c r="P317" s="341"/>
      <c r="Q317" s="341"/>
      <c r="R317" s="341"/>
      <c r="S317" s="341"/>
      <c r="T317" s="342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7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21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7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6"/>
      <c r="P319" s="326"/>
      <c r="Q319" s="326"/>
      <c r="R319" s="321"/>
      <c r="S319" s="34"/>
      <c r="T319" s="34"/>
      <c r="U319" s="35" t="s">
        <v>65</v>
      </c>
      <c r="V319" s="312">
        <v>92</v>
      </c>
      <c r="W319" s="313">
        <f>IFERROR(IF(V319="",0,CEILING((V319/$H319),1)*$H319),"")</f>
        <v>93.6</v>
      </c>
      <c r="X319" s="36">
        <f>IFERROR(IF(W319=0,"",ROUNDUP(W319/H319,0)*0.02175),"")</f>
        <v>0.26100000000000001</v>
      </c>
      <c r="Y319" s="56"/>
      <c r="Z319" s="57"/>
      <c r="AD319" s="58"/>
      <c r="BA319" s="230" t="s">
        <v>1</v>
      </c>
    </row>
    <row r="320" spans="1:53" x14ac:dyDescent="0.2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4"/>
      <c r="N320" s="340" t="s">
        <v>66</v>
      </c>
      <c r="O320" s="341"/>
      <c r="P320" s="341"/>
      <c r="Q320" s="341"/>
      <c r="R320" s="341"/>
      <c r="S320" s="341"/>
      <c r="T320" s="342"/>
      <c r="U320" s="37" t="s">
        <v>67</v>
      </c>
      <c r="V320" s="314">
        <f>IFERROR(V319/H319,"0")</f>
        <v>11.794871794871796</v>
      </c>
      <c r="W320" s="314">
        <f>IFERROR(W319/H319,"0")</f>
        <v>12</v>
      </c>
      <c r="X320" s="314">
        <f>IFERROR(IF(X319="",0,X319),"0")</f>
        <v>0.26100000000000001</v>
      </c>
      <c r="Y320" s="315"/>
      <c r="Z320" s="315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4"/>
      <c r="N321" s="340" t="s">
        <v>66</v>
      </c>
      <c r="O321" s="341"/>
      <c r="P321" s="341"/>
      <c r="Q321" s="341"/>
      <c r="R321" s="341"/>
      <c r="S321" s="341"/>
      <c r="T321" s="342"/>
      <c r="U321" s="37" t="s">
        <v>65</v>
      </c>
      <c r="V321" s="314">
        <f>IFERROR(SUM(V319:V319),"0")</f>
        <v>92</v>
      </c>
      <c r="W321" s="314">
        <f>IFERROR(SUM(W319:W319),"0")</f>
        <v>93.6</v>
      </c>
      <c r="X321" s="37"/>
      <c r="Y321" s="315"/>
      <c r="Z321" s="315"/>
    </row>
    <row r="322" spans="1:53" ht="16.5" hidden="1" customHeight="1" x14ac:dyDescent="0.25">
      <c r="A322" s="346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hidden="1" customHeight="1" x14ac:dyDescent="0.25">
      <c r="A323" s="347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21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6"/>
      <c r="P324" s="326"/>
      <c r="Q324" s="326"/>
      <c r="R324" s="321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21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6"/>
      <c r="P325" s="326"/>
      <c r="Q325" s="326"/>
      <c r="R325" s="321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21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6"/>
      <c r="P326" s="326"/>
      <c r="Q326" s="326"/>
      <c r="R326" s="321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21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6"/>
      <c r="P327" s="326"/>
      <c r="Q327" s="326"/>
      <c r="R327" s="321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4"/>
      <c r="N328" s="340" t="s">
        <v>66</v>
      </c>
      <c r="O328" s="341"/>
      <c r="P328" s="341"/>
      <c r="Q328" s="341"/>
      <c r="R328" s="341"/>
      <c r="S328" s="341"/>
      <c r="T328" s="342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4"/>
      <c r="N329" s="340" t="s">
        <v>66</v>
      </c>
      <c r="O329" s="341"/>
      <c r="P329" s="341"/>
      <c r="Q329" s="341"/>
      <c r="R329" s="341"/>
      <c r="S329" s="341"/>
      <c r="T329" s="342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7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21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6"/>
      <c r="P331" s="326"/>
      <c r="Q331" s="326"/>
      <c r="R331" s="321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21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4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6"/>
      <c r="P332" s="326"/>
      <c r="Q332" s="326"/>
      <c r="R332" s="321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4"/>
      <c r="N333" s="340" t="s">
        <v>66</v>
      </c>
      <c r="O333" s="341"/>
      <c r="P333" s="341"/>
      <c r="Q333" s="341"/>
      <c r="R333" s="341"/>
      <c r="S333" s="341"/>
      <c r="T333" s="342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40" t="s">
        <v>66</v>
      </c>
      <c r="O334" s="341"/>
      <c r="P334" s="341"/>
      <c r="Q334" s="341"/>
      <c r="R334" s="341"/>
      <c r="S334" s="341"/>
      <c r="T334" s="342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7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21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6"/>
      <c r="P336" s="326"/>
      <c r="Q336" s="326"/>
      <c r="R336" s="321"/>
      <c r="S336" s="34"/>
      <c r="T336" s="34"/>
      <c r="U336" s="35" t="s">
        <v>65</v>
      </c>
      <c r="V336" s="312">
        <v>2639</v>
      </c>
      <c r="W336" s="313">
        <f>IFERROR(IF(V336="",0,CEILING((V336/$H336),1)*$H336),"")</f>
        <v>2644.2</v>
      </c>
      <c r="X336" s="36">
        <f>IFERROR(IF(W336=0,"",ROUNDUP(W336/H336,0)*0.02175),"")</f>
        <v>7.3732499999999996</v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21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6"/>
      <c r="P337" s="326"/>
      <c r="Q337" s="326"/>
      <c r="R337" s="321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21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6"/>
      <c r="P338" s="326"/>
      <c r="Q338" s="326"/>
      <c r="R338" s="321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21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6"/>
      <c r="P339" s="326"/>
      <c r="Q339" s="326"/>
      <c r="R339" s="321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4"/>
      <c r="N340" s="340" t="s">
        <v>66</v>
      </c>
      <c r="O340" s="341"/>
      <c r="P340" s="341"/>
      <c r="Q340" s="341"/>
      <c r="R340" s="341"/>
      <c r="S340" s="341"/>
      <c r="T340" s="342"/>
      <c r="U340" s="37" t="s">
        <v>67</v>
      </c>
      <c r="V340" s="314">
        <f>IFERROR(V336/H336,"0")+IFERROR(V337/H337,"0")+IFERROR(V338/H338,"0")+IFERROR(V339/H339,"0")</f>
        <v>338.33333333333331</v>
      </c>
      <c r="W340" s="314">
        <f>IFERROR(W336/H336,"0")+IFERROR(W337/H337,"0")+IFERROR(W338/H338,"0")+IFERROR(W339/H339,"0")</f>
        <v>339</v>
      </c>
      <c r="X340" s="314">
        <f>IFERROR(IF(X336="",0,X336),"0")+IFERROR(IF(X337="",0,X337),"0")+IFERROR(IF(X338="",0,X338),"0")+IFERROR(IF(X339="",0,X339),"0")</f>
        <v>7.3732499999999996</v>
      </c>
      <c r="Y340" s="315"/>
      <c r="Z340" s="315"/>
    </row>
    <row r="341" spans="1:53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40" t="s">
        <v>66</v>
      </c>
      <c r="O341" s="341"/>
      <c r="P341" s="341"/>
      <c r="Q341" s="341"/>
      <c r="R341" s="341"/>
      <c r="S341" s="341"/>
      <c r="T341" s="342"/>
      <c r="U341" s="37" t="s">
        <v>65</v>
      </c>
      <c r="V341" s="314">
        <f>IFERROR(SUM(V336:V339),"0")</f>
        <v>2639</v>
      </c>
      <c r="W341" s="314">
        <f>IFERROR(SUM(W336:W339),"0")</f>
        <v>2644.2</v>
      </c>
      <c r="X341" s="37"/>
      <c r="Y341" s="315"/>
      <c r="Z341" s="315"/>
    </row>
    <row r="342" spans="1:53" ht="14.25" hidden="1" customHeight="1" x14ac:dyDescent="0.25">
      <c r="A342" s="347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21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6"/>
      <c r="P343" s="326"/>
      <c r="Q343" s="326"/>
      <c r="R343" s="321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4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4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18" t="s">
        <v>497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48"/>
      <c r="Z346" s="48"/>
    </row>
    <row r="347" spans="1:53" ht="16.5" hidden="1" customHeight="1" x14ac:dyDescent="0.25">
      <c r="A347" s="346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hidden="1" customHeight="1" x14ac:dyDescent="0.25">
      <c r="A348" s="347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21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6"/>
      <c r="P349" s="326"/>
      <c r="Q349" s="326"/>
      <c r="R349" s="321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21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6"/>
      <c r="P350" s="326"/>
      <c r="Q350" s="326"/>
      <c r="R350" s="321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4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4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7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21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6"/>
      <c r="P354" s="326"/>
      <c r="Q354" s="326"/>
      <c r="R354" s="321"/>
      <c r="S354" s="34"/>
      <c r="T354" s="34"/>
      <c r="U354" s="35" t="s">
        <v>65</v>
      </c>
      <c r="V354" s="312">
        <v>58</v>
      </c>
      <c r="W354" s="313">
        <f t="shared" ref="W354:W366" si="16">IFERROR(IF(V354="",0,CEILING((V354/$H354),1)*$H354),"")</f>
        <v>58.800000000000004</v>
      </c>
      <c r="X354" s="36">
        <f>IFERROR(IF(W354=0,"",ROUNDUP(W354/H354,0)*0.00753),"")</f>
        <v>0.10542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21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6"/>
      <c r="P355" s="326"/>
      <c r="Q355" s="326"/>
      <c r="R355" s="321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21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6"/>
      <c r="P356" s="326"/>
      <c r="Q356" s="326"/>
      <c r="R356" s="321"/>
      <c r="S356" s="34"/>
      <c r="T356" s="34"/>
      <c r="U356" s="35" t="s">
        <v>65</v>
      </c>
      <c r="V356" s="312">
        <v>87</v>
      </c>
      <c r="W356" s="313">
        <f t="shared" si="16"/>
        <v>88.2</v>
      </c>
      <c r="X356" s="36">
        <f>IFERROR(IF(W356=0,"",ROUNDUP(W356/H356,0)*0.00753),"")</f>
        <v>0.15812999999999999</v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21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6"/>
      <c r="P357" s="326"/>
      <c r="Q357" s="326"/>
      <c r="R357" s="321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21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6"/>
      <c r="P358" s="326"/>
      <c r="Q358" s="326"/>
      <c r="R358" s="321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21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6"/>
      <c r="P359" s="326"/>
      <c r="Q359" s="326"/>
      <c r="R359" s="321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21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6"/>
      <c r="P360" s="326"/>
      <c r="Q360" s="326"/>
      <c r="R360" s="321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21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6"/>
      <c r="P361" s="326"/>
      <c r="Q361" s="326"/>
      <c r="R361" s="321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21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6"/>
      <c r="P362" s="326"/>
      <c r="Q362" s="326"/>
      <c r="R362" s="321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21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6"/>
      <c r="P363" s="326"/>
      <c r="Q363" s="326"/>
      <c r="R363" s="321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21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6"/>
      <c r="P364" s="326"/>
      <c r="Q364" s="326"/>
      <c r="R364" s="321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21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6"/>
      <c r="P365" s="326"/>
      <c r="Q365" s="326"/>
      <c r="R365" s="321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21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33" t="s">
        <v>529</v>
      </c>
      <c r="O366" s="326"/>
      <c r="P366" s="326"/>
      <c r="Q366" s="326"/>
      <c r="R366" s="321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4"/>
      <c r="N367" s="340" t="s">
        <v>66</v>
      </c>
      <c r="O367" s="341"/>
      <c r="P367" s="341"/>
      <c r="Q367" s="341"/>
      <c r="R367" s="341"/>
      <c r="S367" s="341"/>
      <c r="T367" s="342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34.523809523809518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35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0.26355000000000001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40" t="s">
        <v>66</v>
      </c>
      <c r="O368" s="341"/>
      <c r="P368" s="341"/>
      <c r="Q368" s="341"/>
      <c r="R368" s="341"/>
      <c r="S368" s="341"/>
      <c r="T368" s="342"/>
      <c r="U368" s="37" t="s">
        <v>65</v>
      </c>
      <c r="V368" s="314">
        <f>IFERROR(SUM(V354:V366),"0")</f>
        <v>145</v>
      </c>
      <c r="W368" s="314">
        <f>IFERROR(SUM(W354:W366),"0")</f>
        <v>147</v>
      </c>
      <c r="X368" s="37"/>
      <c r="Y368" s="315"/>
      <c r="Z368" s="315"/>
    </row>
    <row r="369" spans="1:53" ht="14.25" hidden="1" customHeight="1" x14ac:dyDescent="0.25">
      <c r="A369" s="347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21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6"/>
      <c r="P370" s="326"/>
      <c r="Q370" s="326"/>
      <c r="R370" s="321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21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6"/>
      <c r="P371" s="326"/>
      <c r="Q371" s="326"/>
      <c r="R371" s="321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21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6"/>
      <c r="P372" s="326"/>
      <c r="Q372" s="326"/>
      <c r="R372" s="321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21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6"/>
      <c r="P373" s="326"/>
      <c r="Q373" s="326"/>
      <c r="R373" s="321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4"/>
      <c r="N374" s="340" t="s">
        <v>66</v>
      </c>
      <c r="O374" s="341"/>
      <c r="P374" s="341"/>
      <c r="Q374" s="341"/>
      <c r="R374" s="341"/>
      <c r="S374" s="341"/>
      <c r="T374" s="342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40" t="s">
        <v>66</v>
      </c>
      <c r="O375" s="341"/>
      <c r="P375" s="341"/>
      <c r="Q375" s="341"/>
      <c r="R375" s="341"/>
      <c r="S375" s="341"/>
      <c r="T375" s="342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7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21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6"/>
      <c r="P377" s="326"/>
      <c r="Q377" s="326"/>
      <c r="R377" s="321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22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4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4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7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21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40" t="s">
        <v>544</v>
      </c>
      <c r="O381" s="326"/>
      <c r="P381" s="326"/>
      <c r="Q381" s="326"/>
      <c r="R381" s="321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21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69" t="s">
        <v>547</v>
      </c>
      <c r="O382" s="326"/>
      <c r="P382" s="326"/>
      <c r="Q382" s="326"/>
      <c r="R382" s="321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21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7" t="s">
        <v>550</v>
      </c>
      <c r="O383" s="326"/>
      <c r="P383" s="326"/>
      <c r="Q383" s="326"/>
      <c r="R383" s="321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21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06" t="s">
        <v>553</v>
      </c>
      <c r="O384" s="326"/>
      <c r="P384" s="326"/>
      <c r="Q384" s="326"/>
      <c r="R384" s="321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22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4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6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hidden="1" customHeight="1" x14ac:dyDescent="0.25">
      <c r="A388" s="347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21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6"/>
      <c r="P389" s="326"/>
      <c r="Q389" s="326"/>
      <c r="R389" s="321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21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6"/>
      <c r="P390" s="326"/>
      <c r="Q390" s="326"/>
      <c r="R390" s="321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22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4"/>
      <c r="N391" s="340" t="s">
        <v>66</v>
      </c>
      <c r="O391" s="341"/>
      <c r="P391" s="341"/>
      <c r="Q391" s="341"/>
      <c r="R391" s="341"/>
      <c r="S391" s="341"/>
      <c r="T391" s="342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40" t="s">
        <v>66</v>
      </c>
      <c r="O392" s="341"/>
      <c r="P392" s="341"/>
      <c r="Q392" s="341"/>
      <c r="R392" s="341"/>
      <c r="S392" s="341"/>
      <c r="T392" s="342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7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21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6"/>
      <c r="P394" s="326"/>
      <c r="Q394" s="326"/>
      <c r="R394" s="321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21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6"/>
      <c r="P395" s="326"/>
      <c r="Q395" s="326"/>
      <c r="R395" s="321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21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6"/>
      <c r="P396" s="326"/>
      <c r="Q396" s="326"/>
      <c r="R396" s="321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21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0" t="s">
        <v>567</v>
      </c>
      <c r="O397" s="326"/>
      <c r="P397" s="326"/>
      <c r="Q397" s="326"/>
      <c r="R397" s="321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21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6"/>
      <c r="P398" s="326"/>
      <c r="Q398" s="326"/>
      <c r="R398" s="321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21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6"/>
      <c r="P399" s="326"/>
      <c r="Q399" s="326"/>
      <c r="R399" s="321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21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6"/>
      <c r="P400" s="326"/>
      <c r="Q400" s="326"/>
      <c r="R400" s="321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40" t="s">
        <v>66</v>
      </c>
      <c r="O401" s="341"/>
      <c r="P401" s="341"/>
      <c r="Q401" s="341"/>
      <c r="R401" s="341"/>
      <c r="S401" s="341"/>
      <c r="T401" s="342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4"/>
      <c r="N402" s="340" t="s">
        <v>66</v>
      </c>
      <c r="O402" s="341"/>
      <c r="P402" s="341"/>
      <c r="Q402" s="341"/>
      <c r="R402" s="341"/>
      <c r="S402" s="341"/>
      <c r="T402" s="342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7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21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26" t="s">
        <v>576</v>
      </c>
      <c r="O404" s="326"/>
      <c r="P404" s="326"/>
      <c r="Q404" s="326"/>
      <c r="R404" s="321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22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4"/>
      <c r="N405" s="340" t="s">
        <v>66</v>
      </c>
      <c r="O405" s="341"/>
      <c r="P405" s="341"/>
      <c r="Q405" s="341"/>
      <c r="R405" s="341"/>
      <c r="S405" s="341"/>
      <c r="T405" s="342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24"/>
      <c r="N406" s="340" t="s">
        <v>66</v>
      </c>
      <c r="O406" s="341"/>
      <c r="P406" s="341"/>
      <c r="Q406" s="341"/>
      <c r="R406" s="341"/>
      <c r="S406" s="341"/>
      <c r="T406" s="342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18" t="s">
        <v>577</v>
      </c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48"/>
      <c r="Z407" s="48"/>
    </row>
    <row r="408" spans="1:53" ht="16.5" hidden="1" customHeight="1" x14ac:dyDescent="0.25">
      <c r="A408" s="346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hidden="1" customHeight="1" x14ac:dyDescent="0.25">
      <c r="A409" s="347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21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6"/>
      <c r="P410" s="326"/>
      <c r="Q410" s="326"/>
      <c r="R410" s="321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21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6"/>
      <c r="P411" s="326"/>
      <c r="Q411" s="326"/>
      <c r="R411" s="321"/>
      <c r="S411" s="34"/>
      <c r="T411" s="34"/>
      <c r="U411" s="35" t="s">
        <v>65</v>
      </c>
      <c r="V411" s="312">
        <v>430</v>
      </c>
      <c r="W411" s="313">
        <f t="shared" si="19"/>
        <v>432.96000000000004</v>
      </c>
      <c r="X411" s="36">
        <f>IFERROR(IF(W411=0,"",ROUNDUP(W411/H411,0)*0.01196),"")</f>
        <v>0.98072000000000004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21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6"/>
      <c r="P412" s="326"/>
      <c r="Q412" s="326"/>
      <c r="R412" s="321"/>
      <c r="S412" s="34"/>
      <c r="T412" s="34"/>
      <c r="U412" s="35" t="s">
        <v>65</v>
      </c>
      <c r="V412" s="312">
        <v>220</v>
      </c>
      <c r="W412" s="313">
        <f t="shared" si="19"/>
        <v>221.76000000000002</v>
      </c>
      <c r="X412" s="36">
        <f>IFERROR(IF(W412=0,"",ROUNDUP(W412/H412,0)*0.01196),"")</f>
        <v>0.50231999999999999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21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6"/>
      <c r="P413" s="326"/>
      <c r="Q413" s="326"/>
      <c r="R413" s="321"/>
      <c r="S413" s="34"/>
      <c r="T413" s="34"/>
      <c r="U413" s="35" t="s">
        <v>65</v>
      </c>
      <c r="V413" s="312">
        <v>1077</v>
      </c>
      <c r="W413" s="313">
        <f t="shared" si="19"/>
        <v>1077.1200000000001</v>
      </c>
      <c r="X413" s="36">
        <f>IFERROR(IF(W413=0,"",ROUNDUP(W413/H413,0)*0.01196),"")</f>
        <v>2.4398400000000002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21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6"/>
      <c r="P414" s="326"/>
      <c r="Q414" s="326"/>
      <c r="R414" s="321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21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6"/>
      <c r="P415" s="326"/>
      <c r="Q415" s="326"/>
      <c r="R415" s="321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21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6"/>
      <c r="P416" s="326"/>
      <c r="Q416" s="326"/>
      <c r="R416" s="321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21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4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6"/>
      <c r="P417" s="326"/>
      <c r="Q417" s="326"/>
      <c r="R417" s="321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21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3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6"/>
      <c r="P418" s="326"/>
      <c r="Q418" s="326"/>
      <c r="R418" s="321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40" t="s">
        <v>66</v>
      </c>
      <c r="O419" s="341"/>
      <c r="P419" s="341"/>
      <c r="Q419" s="341"/>
      <c r="R419" s="341"/>
      <c r="S419" s="341"/>
      <c r="T419" s="342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327.08333333333331</v>
      </c>
      <c r="W419" s="314">
        <f>IFERROR(W410/H410,"0")+IFERROR(W411/H411,"0")+IFERROR(W412/H412,"0")+IFERROR(W413/H413,"0")+IFERROR(W414/H414,"0")+IFERROR(W415/H415,"0")+IFERROR(W416/H416,"0")+IFERROR(W417/H417,"0")+IFERROR(W418/H418,"0")</f>
        <v>328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3.9228800000000001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40" t="s">
        <v>66</v>
      </c>
      <c r="O420" s="341"/>
      <c r="P420" s="341"/>
      <c r="Q420" s="341"/>
      <c r="R420" s="341"/>
      <c r="S420" s="341"/>
      <c r="T420" s="342"/>
      <c r="U420" s="37" t="s">
        <v>65</v>
      </c>
      <c r="V420" s="314">
        <f>IFERROR(SUM(V410:V418),"0")</f>
        <v>1727</v>
      </c>
      <c r="W420" s="314">
        <f>IFERROR(SUM(W410:W418),"0")</f>
        <v>1731.8400000000001</v>
      </c>
      <c r="X420" s="37"/>
      <c r="Y420" s="315"/>
      <c r="Z420" s="315"/>
    </row>
    <row r="421" spans="1:53" ht="14.25" hidden="1" customHeight="1" x14ac:dyDescent="0.25">
      <c r="A421" s="347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21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6"/>
      <c r="P422" s="326"/>
      <c r="Q422" s="326"/>
      <c r="R422" s="321"/>
      <c r="S422" s="34"/>
      <c r="T422" s="34"/>
      <c r="U422" s="35" t="s">
        <v>65</v>
      </c>
      <c r="V422" s="312">
        <v>500</v>
      </c>
      <c r="W422" s="313">
        <f>IFERROR(IF(V422="",0,CEILING((V422/$H422),1)*$H422),"")</f>
        <v>501.6</v>
      </c>
      <c r="X422" s="36">
        <f>IFERROR(IF(W422=0,"",ROUNDUP(W422/H422,0)*0.01196),"")</f>
        <v>1.1362000000000001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21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6"/>
      <c r="P423" s="326"/>
      <c r="Q423" s="326"/>
      <c r="R423" s="321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22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4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14">
        <f>IFERROR(V422/H422,"0")+IFERROR(V423/H423,"0")</f>
        <v>94.696969696969688</v>
      </c>
      <c r="W424" s="314">
        <f>IFERROR(W422/H422,"0")+IFERROR(W423/H423,"0")</f>
        <v>95</v>
      </c>
      <c r="X424" s="314">
        <f>IFERROR(IF(X422="",0,X422),"0")+IFERROR(IF(X423="",0,X423),"0")</f>
        <v>1.1362000000000001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24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14">
        <f>IFERROR(SUM(V422:V423),"0")</f>
        <v>500</v>
      </c>
      <c r="W425" s="314">
        <f>IFERROR(SUM(W422:W423),"0")</f>
        <v>501.6</v>
      </c>
      <c r="X425" s="37"/>
      <c r="Y425" s="315"/>
      <c r="Z425" s="315"/>
    </row>
    <row r="426" spans="1:53" ht="14.25" hidden="1" customHeight="1" x14ac:dyDescent="0.25">
      <c r="A426" s="347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21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6"/>
      <c r="P427" s="326"/>
      <c r="Q427" s="326"/>
      <c r="R427" s="321"/>
      <c r="S427" s="34"/>
      <c r="T427" s="34"/>
      <c r="U427" s="35" t="s">
        <v>65</v>
      </c>
      <c r="V427" s="312">
        <v>305</v>
      </c>
      <c r="W427" s="313">
        <f t="shared" ref="W427:W432" si="20">IFERROR(IF(V427="",0,CEILING((V427/$H427),1)*$H427),"")</f>
        <v>306.24</v>
      </c>
      <c r="X427" s="36">
        <f>IFERROR(IF(W427=0,"",ROUNDUP(W427/H427,0)*0.01196),"")</f>
        <v>0.69367999999999996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21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6"/>
      <c r="P428" s="326"/>
      <c r="Q428" s="326"/>
      <c r="R428" s="321"/>
      <c r="S428" s="34"/>
      <c r="T428" s="34"/>
      <c r="U428" s="35" t="s">
        <v>65</v>
      </c>
      <c r="V428" s="312">
        <v>810</v>
      </c>
      <c r="W428" s="313">
        <f t="shared" si="20"/>
        <v>813.12</v>
      </c>
      <c r="X428" s="36">
        <f>IFERROR(IF(W428=0,"",ROUNDUP(W428/H428,0)*0.01196),"")</f>
        <v>1.8418399999999999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21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6"/>
      <c r="P429" s="326"/>
      <c r="Q429" s="326"/>
      <c r="R429" s="321"/>
      <c r="S429" s="34"/>
      <c r="T429" s="34"/>
      <c r="U429" s="35" t="s">
        <v>65</v>
      </c>
      <c r="V429" s="312">
        <v>507</v>
      </c>
      <c r="W429" s="313">
        <f t="shared" si="20"/>
        <v>512.16</v>
      </c>
      <c r="X429" s="36">
        <f>IFERROR(IF(W429=0,"",ROUNDUP(W429/H429,0)*0.01196),"")</f>
        <v>1.16012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21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421" t="s">
        <v>608</v>
      </c>
      <c r="O430" s="326"/>
      <c r="P430" s="326"/>
      <c r="Q430" s="326"/>
      <c r="R430" s="321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21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2" t="s">
        <v>611</v>
      </c>
      <c r="O431" s="326"/>
      <c r="P431" s="326"/>
      <c r="Q431" s="326"/>
      <c r="R431" s="321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21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60" t="s">
        <v>614</v>
      </c>
      <c r="O432" s="326"/>
      <c r="P432" s="326"/>
      <c r="Q432" s="326"/>
      <c r="R432" s="321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40" t="s">
        <v>66</v>
      </c>
      <c r="O433" s="341"/>
      <c r="P433" s="341"/>
      <c r="Q433" s="341"/>
      <c r="R433" s="341"/>
      <c r="S433" s="341"/>
      <c r="T433" s="342"/>
      <c r="U433" s="37" t="s">
        <v>67</v>
      </c>
      <c r="V433" s="314">
        <f>IFERROR(V427/H427,"0")+IFERROR(V428/H428,"0")+IFERROR(V429/H429,"0")+IFERROR(V430/H430,"0")+IFERROR(V431/H431,"0")+IFERROR(V432/H432,"0")</f>
        <v>307.19696969696969</v>
      </c>
      <c r="W433" s="314">
        <f>IFERROR(W427/H427,"0")+IFERROR(W428/H428,"0")+IFERROR(W429/H429,"0")+IFERROR(W430/H430,"0")+IFERROR(W431/H431,"0")+IFERROR(W432/H432,"0")</f>
        <v>309</v>
      </c>
      <c r="X433" s="314">
        <f>IFERROR(IF(X427="",0,X427),"0")+IFERROR(IF(X428="",0,X428),"0")+IFERROR(IF(X429="",0,X429),"0")+IFERROR(IF(X430="",0,X430),"0")+IFERROR(IF(X431="",0,X431),"0")+IFERROR(IF(X432="",0,X432),"0")</f>
        <v>3.69564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40" t="s">
        <v>66</v>
      </c>
      <c r="O434" s="341"/>
      <c r="P434" s="341"/>
      <c r="Q434" s="341"/>
      <c r="R434" s="341"/>
      <c r="S434" s="341"/>
      <c r="T434" s="342"/>
      <c r="U434" s="37" t="s">
        <v>65</v>
      </c>
      <c r="V434" s="314">
        <f>IFERROR(SUM(V427:V432),"0")</f>
        <v>1622</v>
      </c>
      <c r="W434" s="314">
        <f>IFERROR(SUM(W427:W432),"0")</f>
        <v>1631.52</v>
      </c>
      <c r="X434" s="37"/>
      <c r="Y434" s="315"/>
      <c r="Z434" s="315"/>
    </row>
    <row r="435" spans="1:53" ht="14.25" hidden="1" customHeight="1" x14ac:dyDescent="0.25">
      <c r="A435" s="347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21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42" t="s">
        <v>617</v>
      </c>
      <c r="O436" s="326"/>
      <c r="P436" s="326"/>
      <c r="Q436" s="326"/>
      <c r="R436" s="321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21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6"/>
      <c r="P437" s="326"/>
      <c r="Q437" s="326"/>
      <c r="R437" s="321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21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6"/>
      <c r="P438" s="326"/>
      <c r="Q438" s="326"/>
      <c r="R438" s="321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22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4"/>
      <c r="N439" s="340" t="s">
        <v>66</v>
      </c>
      <c r="O439" s="341"/>
      <c r="P439" s="341"/>
      <c r="Q439" s="341"/>
      <c r="R439" s="341"/>
      <c r="S439" s="341"/>
      <c r="T439" s="342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40" t="s">
        <v>66</v>
      </c>
      <c r="O440" s="341"/>
      <c r="P440" s="341"/>
      <c r="Q440" s="341"/>
      <c r="R440" s="341"/>
      <c r="S440" s="341"/>
      <c r="T440" s="342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18" t="s">
        <v>622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48"/>
      <c r="Z441" s="48"/>
    </row>
    <row r="442" spans="1:53" ht="16.5" hidden="1" customHeight="1" x14ac:dyDescent="0.25">
      <c r="A442" s="346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hidden="1" customHeight="1" x14ac:dyDescent="0.25">
      <c r="A443" s="347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21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5" t="s">
        <v>626</v>
      </c>
      <c r="O444" s="326"/>
      <c r="P444" s="326"/>
      <c r="Q444" s="326"/>
      <c r="R444" s="321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21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6" t="s">
        <v>629</v>
      </c>
      <c r="O445" s="326"/>
      <c r="P445" s="326"/>
      <c r="Q445" s="326"/>
      <c r="R445" s="321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40" t="s">
        <v>66</v>
      </c>
      <c r="O446" s="341"/>
      <c r="P446" s="341"/>
      <c r="Q446" s="341"/>
      <c r="R446" s="341"/>
      <c r="S446" s="341"/>
      <c r="T446" s="342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4"/>
      <c r="N447" s="340" t="s">
        <v>66</v>
      </c>
      <c r="O447" s="341"/>
      <c r="P447" s="341"/>
      <c r="Q447" s="341"/>
      <c r="R447" s="341"/>
      <c r="S447" s="341"/>
      <c r="T447" s="342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7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21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07" t="s">
        <v>632</v>
      </c>
      <c r="O449" s="326"/>
      <c r="P449" s="326"/>
      <c r="Q449" s="326"/>
      <c r="R449" s="321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21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11" t="s">
        <v>635</v>
      </c>
      <c r="O450" s="326"/>
      <c r="P450" s="326"/>
      <c r="Q450" s="326"/>
      <c r="R450" s="321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40" t="s">
        <v>66</v>
      </c>
      <c r="O451" s="341"/>
      <c r="P451" s="341"/>
      <c r="Q451" s="341"/>
      <c r="R451" s="341"/>
      <c r="S451" s="341"/>
      <c r="T451" s="342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4"/>
      <c r="N452" s="340" t="s">
        <v>66</v>
      </c>
      <c r="O452" s="341"/>
      <c r="P452" s="341"/>
      <c r="Q452" s="341"/>
      <c r="R452" s="341"/>
      <c r="S452" s="341"/>
      <c r="T452" s="342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7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21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3" t="s">
        <v>638</v>
      </c>
      <c r="O454" s="326"/>
      <c r="P454" s="326"/>
      <c r="Q454" s="326"/>
      <c r="R454" s="321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21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4" t="s">
        <v>641</v>
      </c>
      <c r="O455" s="326"/>
      <c r="P455" s="326"/>
      <c r="Q455" s="326"/>
      <c r="R455" s="321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40" t="s">
        <v>66</v>
      </c>
      <c r="O456" s="341"/>
      <c r="P456" s="341"/>
      <c r="Q456" s="341"/>
      <c r="R456" s="341"/>
      <c r="S456" s="341"/>
      <c r="T456" s="342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4"/>
      <c r="N457" s="340" t="s">
        <v>66</v>
      </c>
      <c r="O457" s="341"/>
      <c r="P457" s="341"/>
      <c r="Q457" s="341"/>
      <c r="R457" s="341"/>
      <c r="S457" s="341"/>
      <c r="T457" s="342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7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21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6"/>
      <c r="P459" s="326"/>
      <c r="Q459" s="326"/>
      <c r="R459" s="321"/>
      <c r="S459" s="34"/>
      <c r="T459" s="34"/>
      <c r="U459" s="35" t="s">
        <v>65</v>
      </c>
      <c r="V459" s="312">
        <v>34</v>
      </c>
      <c r="W459" s="313">
        <f>IFERROR(IF(V459="",0,CEILING((V459/$H459),1)*$H459),"")</f>
        <v>39</v>
      </c>
      <c r="X459" s="36">
        <f>IFERROR(IF(W459=0,"",ROUNDUP(W459/H459,0)*0.02175),"")</f>
        <v>0.10874999999999999</v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21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0" t="s">
        <v>646</v>
      </c>
      <c r="O460" s="326"/>
      <c r="P460" s="326"/>
      <c r="Q460" s="326"/>
      <c r="R460" s="321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21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38" t="s">
        <v>649</v>
      </c>
      <c r="O461" s="326"/>
      <c r="P461" s="326"/>
      <c r="Q461" s="326"/>
      <c r="R461" s="321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22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24"/>
      <c r="N462" s="340" t="s">
        <v>66</v>
      </c>
      <c r="O462" s="341"/>
      <c r="P462" s="341"/>
      <c r="Q462" s="341"/>
      <c r="R462" s="341"/>
      <c r="S462" s="341"/>
      <c r="T462" s="342"/>
      <c r="U462" s="37" t="s">
        <v>67</v>
      </c>
      <c r="V462" s="314">
        <f>IFERROR(V459/H459,"0")+IFERROR(V460/H460,"0")+IFERROR(V461/H461,"0")</f>
        <v>4.3589743589743595</v>
      </c>
      <c r="W462" s="314">
        <f>IFERROR(W459/H459,"0")+IFERROR(W460/H460,"0")+IFERROR(W461/H461,"0")</f>
        <v>5</v>
      </c>
      <c r="X462" s="314">
        <f>IFERROR(IF(X459="",0,X459),"0")+IFERROR(IF(X460="",0,X460),"0")+IFERROR(IF(X461="",0,X461),"0")</f>
        <v>0.10874999999999999</v>
      </c>
      <c r="Y462" s="315"/>
      <c r="Z462" s="315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40" t="s">
        <v>66</v>
      </c>
      <c r="O463" s="341"/>
      <c r="P463" s="341"/>
      <c r="Q463" s="341"/>
      <c r="R463" s="341"/>
      <c r="S463" s="341"/>
      <c r="T463" s="342"/>
      <c r="U463" s="37" t="s">
        <v>65</v>
      </c>
      <c r="V463" s="314">
        <f>IFERROR(SUM(V459:V461),"0")</f>
        <v>34</v>
      </c>
      <c r="W463" s="314">
        <f>IFERROR(SUM(W459:W461),"0")</f>
        <v>39</v>
      </c>
      <c r="X463" s="37"/>
      <c r="Y463" s="315"/>
      <c r="Z463" s="315"/>
    </row>
    <row r="464" spans="1:53" ht="15" customHeight="1" x14ac:dyDescent="0.2">
      <c r="A464" s="616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56"/>
      <c r="N464" s="336" t="s">
        <v>650</v>
      </c>
      <c r="O464" s="337"/>
      <c r="P464" s="337"/>
      <c r="Q464" s="337"/>
      <c r="R464" s="337"/>
      <c r="S464" s="337"/>
      <c r="T464" s="338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17503.400000000001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17615.259999999998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56"/>
      <c r="N465" s="336" t="s">
        <v>651</v>
      </c>
      <c r="O465" s="337"/>
      <c r="P465" s="337"/>
      <c r="Q465" s="337"/>
      <c r="R465" s="337"/>
      <c r="S465" s="337"/>
      <c r="T465" s="338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18409.903091196124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18528.332000000002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56"/>
      <c r="N466" s="336" t="s">
        <v>652</v>
      </c>
      <c r="O466" s="337"/>
      <c r="P466" s="337"/>
      <c r="Q466" s="337"/>
      <c r="R466" s="337"/>
      <c r="S466" s="337"/>
      <c r="T466" s="338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31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31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56"/>
      <c r="N467" s="336" t="s">
        <v>654</v>
      </c>
      <c r="O467" s="337"/>
      <c r="P467" s="337"/>
      <c r="Q467" s="337"/>
      <c r="R467" s="337"/>
      <c r="S467" s="337"/>
      <c r="T467" s="338"/>
      <c r="U467" s="37" t="s">
        <v>65</v>
      </c>
      <c r="V467" s="314">
        <f>GrossWeightTotal+PalletQtyTotal*25</f>
        <v>19184.903091196124</v>
      </c>
      <c r="W467" s="314">
        <f>GrossWeightTotalR+PalletQtyTotalR*25</f>
        <v>19303.332000000002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56"/>
      <c r="N468" s="336" t="s">
        <v>655</v>
      </c>
      <c r="O468" s="337"/>
      <c r="P468" s="337"/>
      <c r="Q468" s="337"/>
      <c r="R468" s="337"/>
      <c r="S468" s="337"/>
      <c r="T468" s="338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2179.2555575081265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2196</v>
      </c>
      <c r="X468" s="37"/>
      <c r="Y468" s="315"/>
      <c r="Z468" s="315"/>
    </row>
    <row r="469" spans="1:29" ht="14.25" hidden="1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56"/>
      <c r="N469" s="336" t="s">
        <v>656</v>
      </c>
      <c r="O469" s="337"/>
      <c r="P469" s="337"/>
      <c r="Q469" s="337"/>
      <c r="R469" s="337"/>
      <c r="S469" s="337"/>
      <c r="T469" s="338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35.122509999999991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34" t="s">
        <v>96</v>
      </c>
      <c r="D471" s="480"/>
      <c r="E471" s="480"/>
      <c r="F471" s="377"/>
      <c r="G471" s="334" t="s">
        <v>243</v>
      </c>
      <c r="H471" s="480"/>
      <c r="I471" s="480"/>
      <c r="J471" s="480"/>
      <c r="K471" s="480"/>
      <c r="L471" s="480"/>
      <c r="M471" s="480"/>
      <c r="N471" s="377"/>
      <c r="O471" s="334" t="s">
        <v>447</v>
      </c>
      <c r="P471" s="377"/>
      <c r="Q471" s="334" t="s">
        <v>497</v>
      </c>
      <c r="R471" s="37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573" t="s">
        <v>659</v>
      </c>
      <c r="B472" s="334" t="s">
        <v>59</v>
      </c>
      <c r="C472" s="334" t="s">
        <v>97</v>
      </c>
      <c r="D472" s="334" t="s">
        <v>105</v>
      </c>
      <c r="E472" s="334" t="s">
        <v>96</v>
      </c>
      <c r="F472" s="334" t="s">
        <v>235</v>
      </c>
      <c r="G472" s="334" t="s">
        <v>244</v>
      </c>
      <c r="H472" s="334" t="s">
        <v>251</v>
      </c>
      <c r="I472" s="334" t="s">
        <v>271</v>
      </c>
      <c r="J472" s="334" t="s">
        <v>337</v>
      </c>
      <c r="K472" s="306"/>
      <c r="L472" s="334" t="s">
        <v>340</v>
      </c>
      <c r="M472" s="334" t="s">
        <v>420</v>
      </c>
      <c r="N472" s="334" t="s">
        <v>438</v>
      </c>
      <c r="O472" s="334" t="s">
        <v>448</v>
      </c>
      <c r="P472" s="334" t="s">
        <v>474</v>
      </c>
      <c r="Q472" s="334" t="s">
        <v>498</v>
      </c>
      <c r="R472" s="334" t="s">
        <v>554</v>
      </c>
      <c r="S472" s="334" t="s">
        <v>577</v>
      </c>
      <c r="T472" s="334" t="s">
        <v>623</v>
      </c>
      <c r="U472" s="306"/>
      <c r="Z472" s="52"/>
      <c r="AC472" s="306"/>
    </row>
    <row r="473" spans="1:29" ht="13.5" customHeight="1" thickBot="1" x14ac:dyDescent="0.25">
      <c r="A473" s="574"/>
      <c r="B473" s="335"/>
      <c r="C473" s="335"/>
      <c r="D473" s="335"/>
      <c r="E473" s="335"/>
      <c r="F473" s="335"/>
      <c r="G473" s="335"/>
      <c r="H473" s="335"/>
      <c r="I473" s="335"/>
      <c r="J473" s="335"/>
      <c r="K473" s="306"/>
      <c r="L473" s="335"/>
      <c r="M473" s="335"/>
      <c r="N473" s="335"/>
      <c r="O473" s="335"/>
      <c r="P473" s="335"/>
      <c r="Q473" s="335"/>
      <c r="R473" s="335"/>
      <c r="S473" s="335"/>
      <c r="T473" s="335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43.2</v>
      </c>
      <c r="D474" s="46">
        <f>IFERROR(W56*1,"0")+IFERROR(W57*1,"0")+IFERROR(W58*1,"0")+IFERROR(W59*1,"0")</f>
        <v>97.2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359.8</v>
      </c>
      <c r="F474" s="46">
        <f>IFERROR(W127*1,"0")+IFERROR(W128*1,"0")+IFERROR(W129*1,"0")</f>
        <v>191.4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39.9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1100.4000000000001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386.99999999999994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12.6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8688.6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2644.2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147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3864.96</v>
      </c>
      <c r="T474" s="46">
        <f>IFERROR(W444*1,"0")+IFERROR(W445*1,"0")+IFERROR(W449*1,"0")+IFERROR(W450*1,"0")+IFERROR(W454*1,"0")+IFERROR(W455*1,"0")+IFERROR(W459*1,"0")+IFERROR(W460*1,"0")+IFERROR(W461*1,"0")</f>
        <v>39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32,80"/>
        <filter val="1 077,00"/>
        <filter val="1 622,00"/>
        <filter val="1 727,00"/>
        <filter val="1,94"/>
        <filter val="1,98"/>
        <filter val="100,80"/>
        <filter val="11,40"/>
        <filter val="11,79"/>
        <filter val="114,00"/>
        <filter val="12,80"/>
        <filter val="139,00"/>
        <filter val="145,00"/>
        <filter val="147,00"/>
        <filter val="16,00"/>
        <filter val="16,19"/>
        <filter val="17 503,40"/>
        <filter val="18 409,90"/>
        <filter val="186,00"/>
        <filter val="19 184,90"/>
        <filter val="196,07"/>
        <filter val="197,00"/>
        <filter val="2 179,26"/>
        <filter val="2 528,00"/>
        <filter val="2 639,00"/>
        <filter val="2 700,00"/>
        <filter val="2 941,00"/>
        <filter val="2,25"/>
        <filter val="20,00"/>
        <filter val="21,00"/>
        <filter val="220,00"/>
        <filter val="25,00"/>
        <filter val="283,00"/>
        <filter val="3,21"/>
        <filter val="3,98"/>
        <filter val="30,01"/>
        <filter val="305,00"/>
        <filter val="305,80"/>
        <filter val="307,20"/>
        <filter val="31"/>
        <filter val="31,00"/>
        <filter val="322,62"/>
        <filter val="327,08"/>
        <filter val="33,96"/>
        <filter val="333,00"/>
        <filter val="338,33"/>
        <filter val="34,00"/>
        <filter val="34,52"/>
        <filter val="357,00"/>
        <filter val="37,00"/>
        <filter val="375,53"/>
        <filter val="4,36"/>
        <filter val="405,00"/>
        <filter val="42,69"/>
        <filter val="43,00"/>
        <filter val="430,00"/>
        <filter val="46,00"/>
        <filter val="47,00"/>
        <filter val="5 633,00"/>
        <filter val="5,40"/>
        <filter val="500,00"/>
        <filter val="507,00"/>
        <filter val="58,00"/>
        <filter val="6,00"/>
        <filter val="6,33"/>
        <filter val="7,84"/>
        <filter val="8,15"/>
        <filter val="8,52"/>
        <filter val="810,00"/>
        <filter val="87,00"/>
        <filter val="88,00"/>
        <filter val="92,00"/>
        <filter val="94,70"/>
        <filter val="96,00"/>
      </filters>
    </filterColumn>
  </autoFilter>
  <mergeCells count="844"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N429:R429"/>
    <mergeCell ref="D108:E108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