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C78AF4-2D6B-4E63-A474-7F59E5339B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76" i="1" l="1"/>
  <c r="V523" i="1"/>
  <c r="X136" i="1"/>
  <c r="W202" i="1"/>
  <c r="X256" i="1"/>
  <c r="X280" i="1"/>
  <c r="X340" i="1"/>
  <c r="X403" i="1"/>
  <c r="B529" i="1"/>
  <c r="W34" i="1"/>
  <c r="X36" i="1"/>
  <c r="X37" i="1" s="1"/>
  <c r="W37" i="1"/>
  <c r="X40" i="1"/>
  <c r="X41" i="1" s="1"/>
  <c r="W41" i="1"/>
  <c r="X44" i="1"/>
  <c r="X45" i="1" s="1"/>
  <c r="W45" i="1"/>
  <c r="D529" i="1"/>
  <c r="E529" i="1"/>
  <c r="W93" i="1"/>
  <c r="W103" i="1"/>
  <c r="W118" i="1"/>
  <c r="W129" i="1"/>
  <c r="W157" i="1"/>
  <c r="I529" i="1"/>
  <c r="X166" i="1"/>
  <c r="X168" i="1" s="1"/>
  <c r="W176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X103" i="1"/>
  <c r="X195" i="1"/>
  <c r="X52" i="1"/>
  <c r="W24" i="1"/>
  <c r="W33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H9" i="1"/>
  <c r="A10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3" i="1" l="1"/>
  <c r="W519" i="1"/>
  <c r="W522" i="1"/>
  <c r="X524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<sst xmlns="http://schemas.openxmlformats.org/spreadsheetml/2006/main" count="2258" uniqueCount="758">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</sst>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24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9" t="s">
        <v>8</v>
      </c>
      <c r="B5" s="369"/>
      <c r="C5" s="370"/>
      <c r="D5" s="398"/>
      <c r="E5" s="400"/>
      <c r="F5" s="680" t="s">
        <v>9</v>
      </c>
      <c r="G5" s="370"/>
      <c r="H5" s="398" t="s">
        <v>757</v>
      </c>
      <c r="I5" s="399"/>
      <c r="J5" s="399"/>
      <c r="K5" s="399"/>
      <c r="L5" s="400"/>
      <c r="N5" s="24" t="s">
        <v>10</v>
      </c>
      <c r="O5" s="617">
        <v>45358</v>
      </c>
      <c r="P5" s="454"/>
      <c r="R5" s="727" t="s">
        <v>11</v>
      </c>
      <c r="S5" s="372"/>
      <c r="T5" s="547" t="s">
        <v>12</v>
      </c>
      <c r="U5" s="454"/>
      <c r="Z5" s="51"/>
      <c r="AA5" s="51"/>
      <c r="AB5" s="51"/>
    </row>
    <row r="6" spans="1:29" s="345" customFormat="1" ht="24" customHeight="1" x14ac:dyDescent="0.2">
      <c r="A6" s="509" t="s">
        <v>13</v>
      </c>
      <c r="B6" s="369"/>
      <c r="C6" s="370"/>
      <c r="D6" s="651" t="s">
        <v>14</v>
      </c>
      <c r="E6" s="652"/>
      <c r="F6" s="652"/>
      <c r="G6" s="652"/>
      <c r="H6" s="652"/>
      <c r="I6" s="652"/>
      <c r="J6" s="652"/>
      <c r="K6" s="652"/>
      <c r="L6" s="454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Четверг</v>
      </c>
      <c r="P6" s="359"/>
      <c r="R6" s="424" t="s">
        <v>16</v>
      </c>
      <c r="S6" s="372"/>
      <c r="T6" s="554" t="s">
        <v>17</v>
      </c>
      <c r="U6" s="41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2" t="str">
        <f>IFERROR(VLOOKUP(DeliveryAddress,Table,3,0),1)</f>
        <v>6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7"/>
      <c r="S7" s="372"/>
      <c r="T7" s="555"/>
      <c r="U7" s="556"/>
      <c r="Z7" s="51"/>
      <c r="AA7" s="51"/>
      <c r="AB7" s="51"/>
    </row>
    <row r="8" spans="1:29" s="345" customFormat="1" ht="25.5" customHeight="1" x14ac:dyDescent="0.2">
      <c r="A8" s="716" t="s">
        <v>18</v>
      </c>
      <c r="B8" s="361"/>
      <c r="C8" s="362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3">
        <v>0.5</v>
      </c>
      <c r="P8" s="454"/>
      <c r="R8" s="357"/>
      <c r="S8" s="372"/>
      <c r="T8" s="555"/>
      <c r="U8" s="556"/>
      <c r="Z8" s="51"/>
      <c r="AA8" s="51"/>
      <c r="AB8" s="51"/>
    </row>
    <row r="9" spans="1:29" s="345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24"/>
      <c r="E9" s="376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N9" s="26" t="s">
        <v>20</v>
      </c>
      <c r="O9" s="617"/>
      <c r="P9" s="454"/>
      <c r="R9" s="357"/>
      <c r="S9" s="372"/>
      <c r="T9" s="557"/>
      <c r="U9" s="55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24"/>
      <c r="E10" s="376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5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53"/>
      <c r="P10" s="454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3" t="s">
        <v>27</v>
      </c>
      <c r="U11" s="65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40" t="s">
        <v>28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N12" s="24" t="s">
        <v>29</v>
      </c>
      <c r="O12" s="636"/>
      <c r="P12" s="574"/>
      <c r="Q12" s="23"/>
      <c r="S12" s="24"/>
      <c r="T12" s="470"/>
      <c r="U12" s="357"/>
      <c r="Z12" s="51"/>
      <c r="AA12" s="51"/>
      <c r="AB12" s="51"/>
    </row>
    <row r="13" spans="1:29" s="345" customFormat="1" ht="23.25" customHeight="1" x14ac:dyDescent="0.2">
      <c r="A13" s="640" t="s">
        <v>30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26"/>
      <c r="N13" s="26" t="s">
        <v>31</v>
      </c>
      <c r="O13" s="653"/>
      <c r="P13" s="65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40" t="s">
        <v>32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70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5" t="s">
        <v>33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70"/>
      <c r="N15" s="497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3" t="s">
        <v>35</v>
      </c>
      <c r="B17" s="403" t="s">
        <v>36</v>
      </c>
      <c r="C17" s="523" t="s">
        <v>37</v>
      </c>
      <c r="D17" s="403" t="s">
        <v>38</v>
      </c>
      <c r="E17" s="473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72"/>
      <c r="P17" s="472"/>
      <c r="Q17" s="472"/>
      <c r="R17" s="473"/>
      <c r="S17" s="708" t="s">
        <v>48</v>
      </c>
      <c r="T17" s="370"/>
      <c r="U17" s="403" t="s">
        <v>49</v>
      </c>
      <c r="V17" s="403" t="s">
        <v>50</v>
      </c>
      <c r="W17" s="413" t="s">
        <v>51</v>
      </c>
      <c r="X17" s="403" t="s">
        <v>52</v>
      </c>
      <c r="Y17" s="432" t="s">
        <v>53</v>
      </c>
      <c r="Z17" s="432" t="s">
        <v>54</v>
      </c>
      <c r="AA17" s="432" t="s">
        <v>55</v>
      </c>
      <c r="AB17" s="433"/>
      <c r="AC17" s="434"/>
      <c r="AD17" s="506"/>
      <c r="BA17" s="431" t="s">
        <v>56</v>
      </c>
    </row>
    <row r="18" spans="1:53" ht="14.25" customHeight="1" x14ac:dyDescent="0.2">
      <c r="A18" s="404"/>
      <c r="B18" s="404"/>
      <c r="C18" s="404"/>
      <c r="D18" s="474"/>
      <c r="E18" s="476"/>
      <c r="F18" s="404"/>
      <c r="G18" s="404"/>
      <c r="H18" s="404"/>
      <c r="I18" s="404"/>
      <c r="J18" s="404"/>
      <c r="K18" s="404"/>
      <c r="L18" s="404"/>
      <c r="M18" s="404"/>
      <c r="N18" s="474"/>
      <c r="O18" s="475"/>
      <c r="P18" s="475"/>
      <c r="Q18" s="475"/>
      <c r="R18" s="476"/>
      <c r="S18" s="346" t="s">
        <v>57</v>
      </c>
      <c r="T18" s="346" t="s">
        <v>58</v>
      </c>
      <c r="U18" s="404"/>
      <c r="V18" s="404"/>
      <c r="W18" s="414"/>
      <c r="X18" s="404"/>
      <c r="Y18" s="619"/>
      <c r="Z18" s="619"/>
      <c r="AA18" s="435"/>
      <c r="AB18" s="436"/>
      <c r="AC18" s="437"/>
      <c r="AD18" s="507"/>
      <c r="BA18" s="357"/>
    </row>
    <row r="19" spans="1:53" ht="27.75" hidden="1" customHeight="1" x14ac:dyDescent="0.2">
      <c r="A19" s="388" t="s">
        <v>59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48"/>
      <c r="Z19" s="48"/>
    </row>
    <row r="20" spans="1:53" ht="16.5" hidden="1" customHeight="1" x14ac:dyDescent="0.25">
      <c r="A20" s="40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7"/>
      <c r="Z20" s="347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0"/>
      <c r="N23" s="360" t="s">
        <v>66</v>
      </c>
      <c r="O23" s="361"/>
      <c r="P23" s="361"/>
      <c r="Q23" s="361"/>
      <c r="R23" s="361"/>
      <c r="S23" s="361"/>
      <c r="T23" s="362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0"/>
      <c r="N24" s="360" t="s">
        <v>66</v>
      </c>
      <c r="O24" s="361"/>
      <c r="P24" s="361"/>
      <c r="Q24" s="361"/>
      <c r="R24" s="361"/>
      <c r="S24" s="361"/>
      <c r="T24" s="362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94" t="s">
        <v>79</v>
      </c>
      <c r="O30" s="366"/>
      <c r="P30" s="366"/>
      <c r="Q30" s="366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6"/>
      <c r="P31" s="366"/>
      <c r="Q31" s="366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0"/>
      <c r="N33" s="360" t="s">
        <v>66</v>
      </c>
      <c r="O33" s="361"/>
      <c r="P33" s="361"/>
      <c r="Q33" s="361"/>
      <c r="R33" s="361"/>
      <c r="S33" s="361"/>
      <c r="T33" s="362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0"/>
      <c r="N34" s="360" t="s">
        <v>66</v>
      </c>
      <c r="O34" s="361"/>
      <c r="P34" s="361"/>
      <c r="Q34" s="361"/>
      <c r="R34" s="361"/>
      <c r="S34" s="361"/>
      <c r="T34" s="362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0"/>
      <c r="N37" s="360" t="s">
        <v>66</v>
      </c>
      <c r="O37" s="361"/>
      <c r="P37" s="361"/>
      <c r="Q37" s="361"/>
      <c r="R37" s="361"/>
      <c r="S37" s="361"/>
      <c r="T37" s="362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0"/>
      <c r="N38" s="360" t="s">
        <v>66</v>
      </c>
      <c r="O38" s="361"/>
      <c r="P38" s="361"/>
      <c r="Q38" s="361"/>
      <c r="R38" s="361"/>
      <c r="S38" s="361"/>
      <c r="T38" s="362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0"/>
      <c r="N41" s="360" t="s">
        <v>66</v>
      </c>
      <c r="O41" s="361"/>
      <c r="P41" s="361"/>
      <c r="Q41" s="361"/>
      <c r="R41" s="361"/>
      <c r="S41" s="361"/>
      <c r="T41" s="362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0"/>
      <c r="N42" s="360" t="s">
        <v>66</v>
      </c>
      <c r="O42" s="361"/>
      <c r="P42" s="361"/>
      <c r="Q42" s="361"/>
      <c r="R42" s="361"/>
      <c r="S42" s="361"/>
      <c r="T42" s="362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0"/>
      <c r="N45" s="360" t="s">
        <v>66</v>
      </c>
      <c r="O45" s="361"/>
      <c r="P45" s="361"/>
      <c r="Q45" s="361"/>
      <c r="R45" s="361"/>
      <c r="S45" s="361"/>
      <c r="T45" s="362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0"/>
      <c r="N46" s="360" t="s">
        <v>66</v>
      </c>
      <c r="O46" s="361"/>
      <c r="P46" s="361"/>
      <c r="Q46" s="361"/>
      <c r="R46" s="361"/>
      <c r="S46" s="361"/>
      <c r="T46" s="362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88" t="s">
        <v>95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48"/>
      <c r="Z47" s="48"/>
    </row>
    <row r="48" spans="1:53" ht="16.5" hidden="1" customHeight="1" x14ac:dyDescent="0.25">
      <c r="A48" s="402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7"/>
      <c r="Z48" s="347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9"/>
      <c r="S51" s="34"/>
      <c r="T51" s="34"/>
      <c r="U51" s="35" t="s">
        <v>65</v>
      </c>
      <c r="V51" s="352">
        <v>135</v>
      </c>
      <c r="W51" s="353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79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0"/>
      <c r="N52" s="360" t="s">
        <v>66</v>
      </c>
      <c r="O52" s="361"/>
      <c r="P52" s="361"/>
      <c r="Q52" s="361"/>
      <c r="R52" s="361"/>
      <c r="S52" s="361"/>
      <c r="T52" s="362"/>
      <c r="U52" s="37" t="s">
        <v>67</v>
      </c>
      <c r="V52" s="354">
        <f>IFERROR(V50/H50,"0")+IFERROR(V51/H51,"0")</f>
        <v>50</v>
      </c>
      <c r="W52" s="354">
        <f>IFERROR(W50/H50,"0")+IFERROR(W51/H51,"0")</f>
        <v>50</v>
      </c>
      <c r="X52" s="354">
        <f>IFERROR(IF(X50="",0,X50),"0")+IFERROR(IF(X51="",0,X51),"0")</f>
        <v>0.3765</v>
      </c>
      <c r="Y52" s="355"/>
      <c r="Z52" s="355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0"/>
      <c r="N53" s="360" t="s">
        <v>66</v>
      </c>
      <c r="O53" s="361"/>
      <c r="P53" s="361"/>
      <c r="Q53" s="361"/>
      <c r="R53" s="361"/>
      <c r="S53" s="361"/>
      <c r="T53" s="362"/>
      <c r="U53" s="37" t="s">
        <v>65</v>
      </c>
      <c r="V53" s="354">
        <f>IFERROR(SUM(V50:V51),"0")</f>
        <v>135</v>
      </c>
      <c r="W53" s="354">
        <f>IFERROR(SUM(W50:W51),"0")</f>
        <v>135</v>
      </c>
      <c r="X53" s="37"/>
      <c r="Y53" s="355"/>
      <c r="Z53" s="355"/>
    </row>
    <row r="54" spans="1:53" ht="16.5" hidden="1" customHeight="1" x14ac:dyDescent="0.25">
      <c r="A54" s="402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7"/>
      <c r="Z54" s="347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9"/>
      <c r="S57" s="34"/>
      <c r="T57" s="34"/>
      <c r="U57" s="35" t="s">
        <v>65</v>
      </c>
      <c r="V57" s="352">
        <v>100</v>
      </c>
      <c r="W57" s="353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9"/>
      <c r="S58" s="34"/>
      <c r="T58" s="34"/>
      <c r="U58" s="35" t="s">
        <v>65</v>
      </c>
      <c r="V58" s="352">
        <v>495</v>
      </c>
      <c r="W58" s="353">
        <f>IFERROR(IF(V58="",0,CEILING((V58/$H58),1)*$H58),"")</f>
        <v>495</v>
      </c>
      <c r="X58" s="36">
        <f>IFERROR(IF(W58=0,"",ROUNDUP(W58/H58,0)*0.00937),"")</f>
        <v>1.0306999999999999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66"/>
      <c r="P59" s="366"/>
      <c r="Q59" s="366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0"/>
      <c r="N60" s="360" t="s">
        <v>66</v>
      </c>
      <c r="O60" s="361"/>
      <c r="P60" s="361"/>
      <c r="Q60" s="361"/>
      <c r="R60" s="361"/>
      <c r="S60" s="361"/>
      <c r="T60" s="362"/>
      <c r="U60" s="37" t="s">
        <v>67</v>
      </c>
      <c r="V60" s="354">
        <f>IFERROR(V56/H56,"0")+IFERROR(V57/H57,"0")+IFERROR(V58/H58,"0")+IFERROR(V59/H59,"0")</f>
        <v>119.25925925925927</v>
      </c>
      <c r="W60" s="354">
        <f>IFERROR(W56/H56,"0")+IFERROR(W57/H57,"0")+IFERROR(W58/H58,"0")+IFERROR(W59/H59,"0")</f>
        <v>120</v>
      </c>
      <c r="X60" s="354">
        <f>IFERROR(IF(X56="",0,X56),"0")+IFERROR(IF(X57="",0,X57),"0")+IFERROR(IF(X58="",0,X58),"0")+IFERROR(IF(X59="",0,X59),"0")</f>
        <v>1.2482</v>
      </c>
      <c r="Y60" s="355"/>
      <c r="Z60" s="355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0"/>
      <c r="N61" s="360" t="s">
        <v>66</v>
      </c>
      <c r="O61" s="361"/>
      <c r="P61" s="361"/>
      <c r="Q61" s="361"/>
      <c r="R61" s="361"/>
      <c r="S61" s="361"/>
      <c r="T61" s="362"/>
      <c r="U61" s="37" t="s">
        <v>65</v>
      </c>
      <c r="V61" s="354">
        <f>IFERROR(SUM(V56:V59),"0")</f>
        <v>595</v>
      </c>
      <c r="W61" s="354">
        <f>IFERROR(SUM(W56:W59),"0")</f>
        <v>603</v>
      </c>
      <c r="X61" s="37"/>
      <c r="Y61" s="355"/>
      <c r="Z61" s="355"/>
    </row>
    <row r="62" spans="1:53" ht="16.5" hidden="1" customHeight="1" x14ac:dyDescent="0.25">
      <c r="A62" s="402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7"/>
      <c r="Z62" s="347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9"/>
      <c r="S78" s="34"/>
      <c r="T78" s="34"/>
      <c r="U78" s="35" t="s">
        <v>65</v>
      </c>
      <c r="V78" s="352">
        <v>45</v>
      </c>
      <c r="W78" s="353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0"/>
      <c r="N85" s="360" t="s">
        <v>66</v>
      </c>
      <c r="O85" s="361"/>
      <c r="P85" s="361"/>
      <c r="Q85" s="361"/>
      <c r="R85" s="361"/>
      <c r="S85" s="361"/>
      <c r="T85" s="362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9.3700000000000006E-2</v>
      </c>
      <c r="Y85" s="355"/>
      <c r="Z85" s="355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80"/>
      <c r="N86" s="360" t="s">
        <v>66</v>
      </c>
      <c r="O86" s="361"/>
      <c r="P86" s="361"/>
      <c r="Q86" s="361"/>
      <c r="R86" s="361"/>
      <c r="S86" s="361"/>
      <c r="T86" s="362"/>
      <c r="U86" s="37" t="s">
        <v>65</v>
      </c>
      <c r="V86" s="354">
        <f>IFERROR(SUM(V64:V84),"0")</f>
        <v>45</v>
      </c>
      <c r="W86" s="354">
        <f>IFERROR(SUM(W64:W84),"0")</f>
        <v>45</v>
      </c>
      <c r="X86" s="37"/>
      <c r="Y86" s="355"/>
      <c r="Z86" s="355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0"/>
      <c r="N92" s="360" t="s">
        <v>66</v>
      </c>
      <c r="O92" s="361"/>
      <c r="P92" s="361"/>
      <c r="Q92" s="361"/>
      <c r="R92" s="361"/>
      <c r="S92" s="361"/>
      <c r="T92" s="362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80"/>
      <c r="N93" s="360" t="s">
        <v>66</v>
      </c>
      <c r="O93" s="361"/>
      <c r="P93" s="361"/>
      <c r="Q93" s="361"/>
      <c r="R93" s="361"/>
      <c r="S93" s="361"/>
      <c r="T93" s="362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9"/>
      <c r="S95" s="34"/>
      <c r="T95" s="34"/>
      <c r="U95" s="35" t="s">
        <v>65</v>
      </c>
      <c r="V95" s="352">
        <v>40</v>
      </c>
      <c r="W95" s="353">
        <f t="shared" ref="W95:W102" si="5">IFERROR(IF(V95="",0,CEILING((V95/$H95),1)*$H95),"")</f>
        <v>45</v>
      </c>
      <c r="X95" s="36">
        <f>IFERROR(IF(W95=0,"",ROUNDUP(W95/H95,0)*0.02175),"")</f>
        <v>0.10874999999999999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9"/>
      <c r="S96" s="34"/>
      <c r="T96" s="34"/>
      <c r="U96" s="35" t="s">
        <v>65</v>
      </c>
      <c r="V96" s="352">
        <v>20</v>
      </c>
      <c r="W96" s="353">
        <f t="shared" si="5"/>
        <v>21</v>
      </c>
      <c r="X96" s="36">
        <f>IFERROR(IF(W96=0,"",ROUNDUP(W96/H96,0)*0.00937),"")</f>
        <v>4.6850000000000003E-2</v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9"/>
      <c r="S97" s="34"/>
      <c r="T97" s="34"/>
      <c r="U97" s="35" t="s">
        <v>65</v>
      </c>
      <c r="V97" s="352">
        <v>100</v>
      </c>
      <c r="W97" s="353">
        <f t="shared" si="5"/>
        <v>108</v>
      </c>
      <c r="X97" s="36">
        <f>IFERROR(IF(W97=0,"",ROUNDUP(W97/H97,0)*0.02175),"")</f>
        <v>0.26100000000000001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9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0"/>
      <c r="N103" s="360" t="s">
        <v>66</v>
      </c>
      <c r="O103" s="361"/>
      <c r="P103" s="361"/>
      <c r="Q103" s="361"/>
      <c r="R103" s="361"/>
      <c r="S103" s="361"/>
      <c r="T103" s="362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20.317460317460316</v>
      </c>
      <c r="W103" s="354">
        <f>IFERROR(W95/H95,"0")+IFERROR(W96/H96,"0")+IFERROR(W97/H97,"0")+IFERROR(W98/H98,"0")+IFERROR(W99/H99,"0")+IFERROR(W100/H100,"0")+IFERROR(W101/H101,"0")+IFERROR(W102/H102,"0")</f>
        <v>22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0.41659999999999997</v>
      </c>
      <c r="Y103" s="355"/>
      <c r="Z103" s="355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80"/>
      <c r="N104" s="360" t="s">
        <v>66</v>
      </c>
      <c r="O104" s="361"/>
      <c r="P104" s="361"/>
      <c r="Q104" s="361"/>
      <c r="R104" s="361"/>
      <c r="S104" s="361"/>
      <c r="T104" s="362"/>
      <c r="U104" s="37" t="s">
        <v>65</v>
      </c>
      <c r="V104" s="354">
        <f>IFERROR(SUM(V95:V102),"0")</f>
        <v>160</v>
      </c>
      <c r="W104" s="354">
        <f>IFERROR(SUM(W95:W102),"0")</f>
        <v>174</v>
      </c>
      <c r="X104" s="37"/>
      <c r="Y104" s="355"/>
      <c r="Z104" s="355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4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6"/>
      <c r="P106" s="366"/>
      <c r="Q106" s="366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6"/>
      <c r="P107" s="366"/>
      <c r="Q107" s="366"/>
      <c r="R107" s="359"/>
      <c r="S107" s="34"/>
      <c r="T107" s="34"/>
      <c r="U107" s="35" t="s">
        <v>65</v>
      </c>
      <c r="V107" s="352">
        <v>50</v>
      </c>
      <c r="W107" s="353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9"/>
      <c r="S108" s="34"/>
      <c r="T108" s="34"/>
      <c r="U108" s="35" t="s">
        <v>65</v>
      </c>
      <c r="V108" s="352">
        <v>50</v>
      </c>
      <c r="W108" s="353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187</v>
      </c>
      <c r="O109" s="366"/>
      <c r="P109" s="366"/>
      <c r="Q109" s="366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80"/>
      <c r="N118" s="360" t="s">
        <v>66</v>
      </c>
      <c r="O118" s="361"/>
      <c r="P118" s="361"/>
      <c r="Q118" s="361"/>
      <c r="R118" s="361"/>
      <c r="S118" s="361"/>
      <c r="T118" s="362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55"/>
      <c r="Z118" s="355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80"/>
      <c r="N119" s="360" t="s">
        <v>66</v>
      </c>
      <c r="O119" s="361"/>
      <c r="P119" s="361"/>
      <c r="Q119" s="361"/>
      <c r="R119" s="361"/>
      <c r="S119" s="361"/>
      <c r="T119" s="362"/>
      <c r="U119" s="37" t="s">
        <v>65</v>
      </c>
      <c r="V119" s="354">
        <f>IFERROR(SUM(V106:V117),"0")</f>
        <v>100</v>
      </c>
      <c r="W119" s="354">
        <f>IFERROR(SUM(W106:W117),"0")</f>
        <v>100.80000000000001</v>
      </c>
      <c r="X119" s="37"/>
      <c r="Y119" s="355"/>
      <c r="Z119" s="355"/>
    </row>
    <row r="120" spans="1:53" ht="14.25" hidden="1" customHeight="1" x14ac:dyDescent="0.25">
      <c r="A120" s="356" t="s">
        <v>203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6"/>
      <c r="P122" s="366"/>
      <c r="Q122" s="366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60" t="s">
        <v>209</v>
      </c>
      <c r="O123" s="366"/>
      <c r="P123" s="366"/>
      <c r="Q123" s="366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6"/>
      <c r="P124" s="366"/>
      <c r="Q124" s="366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80"/>
      <c r="N128" s="360" t="s">
        <v>66</v>
      </c>
      <c r="O128" s="361"/>
      <c r="P128" s="361"/>
      <c r="Q128" s="361"/>
      <c r="R128" s="361"/>
      <c r="S128" s="361"/>
      <c r="T128" s="362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80"/>
      <c r="N129" s="360" t="s">
        <v>66</v>
      </c>
      <c r="O129" s="361"/>
      <c r="P129" s="361"/>
      <c r="Q129" s="361"/>
      <c r="R129" s="361"/>
      <c r="S129" s="361"/>
      <c r="T129" s="362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2" t="s">
        <v>217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7"/>
      <c r="Z130" s="347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6"/>
      <c r="P132" s="366"/>
      <c r="Q132" s="366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6"/>
      <c r="P133" s="366"/>
      <c r="Q133" s="366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79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80"/>
      <c r="N136" s="360" t="s">
        <v>66</v>
      </c>
      <c r="O136" s="361"/>
      <c r="P136" s="361"/>
      <c r="Q136" s="361"/>
      <c r="R136" s="361"/>
      <c r="S136" s="361"/>
      <c r="T136" s="362"/>
      <c r="U136" s="37" t="s">
        <v>67</v>
      </c>
      <c r="V136" s="354">
        <f>IFERROR(V132/H132,"0")+IFERROR(V133/H133,"0")+IFERROR(V134/H134,"0")+IFERROR(V135/H135,"0")</f>
        <v>0</v>
      </c>
      <c r="W136" s="354">
        <f>IFERROR(W132/H132,"0")+IFERROR(W133/H133,"0")+IFERROR(W134/H134,"0")+IFERROR(W135/H135,"0")</f>
        <v>0</v>
      </c>
      <c r="X136" s="354">
        <f>IFERROR(IF(X132="",0,X132),"0")+IFERROR(IF(X133="",0,X133),"0")+IFERROR(IF(X134="",0,X134),"0")+IFERROR(IF(X135="",0,X135),"0")</f>
        <v>0</v>
      </c>
      <c r="Y136" s="355"/>
      <c r="Z136" s="355"/>
    </row>
    <row r="137" spans="1:53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80"/>
      <c r="N137" s="360" t="s">
        <v>66</v>
      </c>
      <c r="O137" s="361"/>
      <c r="P137" s="361"/>
      <c r="Q137" s="361"/>
      <c r="R137" s="361"/>
      <c r="S137" s="361"/>
      <c r="T137" s="362"/>
      <c r="U137" s="37" t="s">
        <v>65</v>
      </c>
      <c r="V137" s="354">
        <f>IFERROR(SUM(V132:V135),"0")</f>
        <v>0</v>
      </c>
      <c r="W137" s="354">
        <f>IFERROR(SUM(W132:W135),"0")</f>
        <v>0</v>
      </c>
      <c r="X137" s="37"/>
      <c r="Y137" s="355"/>
      <c r="Z137" s="355"/>
    </row>
    <row r="138" spans="1:53" ht="27.75" hidden="1" customHeight="1" x14ac:dyDescent="0.2">
      <c r="A138" s="388" t="s">
        <v>225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48"/>
      <c r="Z138" s="48"/>
    </row>
    <row r="139" spans="1:53" ht="16.5" hidden="1" customHeight="1" x14ac:dyDescent="0.25">
      <c r="A139" s="402" t="s">
        <v>226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7"/>
      <c r="Z139" s="347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80"/>
      <c r="N144" s="360" t="s">
        <v>66</v>
      </c>
      <c r="O144" s="361"/>
      <c r="P144" s="361"/>
      <c r="Q144" s="361"/>
      <c r="R144" s="361"/>
      <c r="S144" s="361"/>
      <c r="T144" s="362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80"/>
      <c r="N145" s="360" t="s">
        <v>66</v>
      </c>
      <c r="O145" s="361"/>
      <c r="P145" s="361"/>
      <c r="Q145" s="361"/>
      <c r="R145" s="361"/>
      <c r="S145" s="361"/>
      <c r="T145" s="362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2" t="s">
        <v>233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7"/>
      <c r="Z146" s="347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9"/>
      <c r="S150" s="34"/>
      <c r="T150" s="34"/>
      <c r="U150" s="35" t="s">
        <v>65</v>
      </c>
      <c r="V150" s="352">
        <v>100</v>
      </c>
      <c r="W150" s="353">
        <f t="shared" si="8"/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9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80"/>
      <c r="N157" s="360" t="s">
        <v>66</v>
      </c>
      <c r="O157" s="361"/>
      <c r="P157" s="361"/>
      <c r="Q157" s="361"/>
      <c r="R157" s="361"/>
      <c r="S157" s="361"/>
      <c r="T157" s="362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23.80952380952381</v>
      </c>
      <c r="W157" s="354">
        <f>IFERROR(W148/H148,"0")+IFERROR(W149/H149,"0")+IFERROR(W150/H150,"0")+IFERROR(W151/H151,"0")+IFERROR(W152/H152,"0")+IFERROR(W153/H153,"0")+IFERROR(W154/H154,"0")+IFERROR(W155/H155,"0")+IFERROR(W156/H156,"0")</f>
        <v>24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0.18071999999999999</v>
      </c>
      <c r="Y157" s="355"/>
      <c r="Z157" s="355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80"/>
      <c r="N158" s="360" t="s">
        <v>66</v>
      </c>
      <c r="O158" s="361"/>
      <c r="P158" s="361"/>
      <c r="Q158" s="361"/>
      <c r="R158" s="361"/>
      <c r="S158" s="361"/>
      <c r="T158" s="362"/>
      <c r="U158" s="37" t="s">
        <v>65</v>
      </c>
      <c r="V158" s="354">
        <f>IFERROR(SUM(V148:V156),"0")</f>
        <v>100</v>
      </c>
      <c r="W158" s="354">
        <f>IFERROR(SUM(W148:W156),"0")</f>
        <v>100.80000000000001</v>
      </c>
      <c r="X158" s="37"/>
      <c r="Y158" s="355"/>
      <c r="Z158" s="355"/>
    </row>
    <row r="159" spans="1:53" ht="16.5" hidden="1" customHeight="1" x14ac:dyDescent="0.25">
      <c r="A159" s="402" t="s">
        <v>252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7"/>
      <c r="Z159" s="347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80"/>
      <c r="N163" s="360" t="s">
        <v>66</v>
      </c>
      <c r="O163" s="361"/>
      <c r="P163" s="361"/>
      <c r="Q163" s="361"/>
      <c r="R163" s="361"/>
      <c r="S163" s="361"/>
      <c r="T163" s="362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80"/>
      <c r="N164" s="360" t="s">
        <v>66</v>
      </c>
      <c r="O164" s="361"/>
      <c r="P164" s="361"/>
      <c r="Q164" s="361"/>
      <c r="R164" s="361"/>
      <c r="S164" s="361"/>
      <c r="T164" s="362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80"/>
      <c r="N168" s="360" t="s">
        <v>66</v>
      </c>
      <c r="O168" s="361"/>
      <c r="P168" s="361"/>
      <c r="Q168" s="361"/>
      <c r="R168" s="361"/>
      <c r="S168" s="361"/>
      <c r="T168" s="362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80"/>
      <c r="N169" s="360" t="s">
        <v>66</v>
      </c>
      <c r="O169" s="361"/>
      <c r="P169" s="361"/>
      <c r="Q169" s="361"/>
      <c r="R169" s="361"/>
      <c r="S169" s="361"/>
      <c r="T169" s="362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9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80"/>
      <c r="N175" s="360" t="s">
        <v>66</v>
      </c>
      <c r="O175" s="361"/>
      <c r="P175" s="361"/>
      <c r="Q175" s="361"/>
      <c r="R175" s="361"/>
      <c r="S175" s="361"/>
      <c r="T175" s="362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80"/>
      <c r="N176" s="360" t="s">
        <v>66</v>
      </c>
      <c r="O176" s="361"/>
      <c r="P176" s="361"/>
      <c r="Q176" s="361"/>
      <c r="R176" s="361"/>
      <c r="S176" s="361"/>
      <c r="T176" s="362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9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80"/>
      <c r="N195" s="360" t="s">
        <v>66</v>
      </c>
      <c r="O195" s="361"/>
      <c r="P195" s="361"/>
      <c r="Q195" s="361"/>
      <c r="R195" s="361"/>
      <c r="S195" s="361"/>
      <c r="T195" s="362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80"/>
      <c r="N196" s="360" t="s">
        <v>66</v>
      </c>
      <c r="O196" s="361"/>
      <c r="P196" s="361"/>
      <c r="Q196" s="361"/>
      <c r="R196" s="361"/>
      <c r="S196" s="361"/>
      <c r="T196" s="362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hidden="1" customHeight="1" x14ac:dyDescent="0.25">
      <c r="A197" s="356" t="s">
        <v>203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80"/>
      <c r="N202" s="360" t="s">
        <v>66</v>
      </c>
      <c r="O202" s="361"/>
      <c r="P202" s="361"/>
      <c r="Q202" s="361"/>
      <c r="R202" s="361"/>
      <c r="S202" s="361"/>
      <c r="T202" s="362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80"/>
      <c r="N203" s="360" t="s">
        <v>66</v>
      </c>
      <c r="O203" s="361"/>
      <c r="P203" s="361"/>
      <c r="Q203" s="361"/>
      <c r="R203" s="361"/>
      <c r="S203" s="361"/>
      <c r="T203" s="362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2" t="s">
        <v>311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7"/>
      <c r="Z204" s="347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7" t="s">
        <v>314</v>
      </c>
      <c r="O206" s="366"/>
      <c r="P206" s="366"/>
      <c r="Q206" s="366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5" t="s">
        <v>317</v>
      </c>
      <c r="O207" s="366"/>
      <c r="P207" s="366"/>
      <c r="Q207" s="366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8" t="s">
        <v>320</v>
      </c>
      <c r="O208" s="366"/>
      <c r="P208" s="366"/>
      <c r="Q208" s="366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323</v>
      </c>
      <c r="O209" s="366"/>
      <c r="P209" s="366"/>
      <c r="Q209" s="366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1" t="s">
        <v>326</v>
      </c>
      <c r="O210" s="366"/>
      <c r="P210" s="366"/>
      <c r="Q210" s="366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6"/>
      <c r="P211" s="366"/>
      <c r="Q211" s="366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80"/>
      <c r="N212" s="360" t="s">
        <v>66</v>
      </c>
      <c r="O212" s="361"/>
      <c r="P212" s="361"/>
      <c r="Q212" s="361"/>
      <c r="R212" s="361"/>
      <c r="S212" s="361"/>
      <c r="T212" s="362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0"/>
      <c r="N213" s="360" t="s">
        <v>66</v>
      </c>
      <c r="O213" s="361"/>
      <c r="P213" s="361"/>
      <c r="Q213" s="361"/>
      <c r="R213" s="361"/>
      <c r="S213" s="361"/>
      <c r="T213" s="362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8"/>
      <c r="Z214" s="348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9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80"/>
      <c r="N216" s="360" t="s">
        <v>66</v>
      </c>
      <c r="O216" s="361"/>
      <c r="P216" s="361"/>
      <c r="Q216" s="361"/>
      <c r="R216" s="361"/>
      <c r="S216" s="361"/>
      <c r="T216" s="362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80"/>
      <c r="N217" s="360" t="s">
        <v>66</v>
      </c>
      <c r="O217" s="361"/>
      <c r="P217" s="361"/>
      <c r="Q217" s="361"/>
      <c r="R217" s="361"/>
      <c r="S217" s="361"/>
      <c r="T217" s="362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402" t="s">
        <v>332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7"/>
      <c r="Z218" s="347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22" t="s">
        <v>335</v>
      </c>
      <c r="O220" s="366"/>
      <c r="P220" s="366"/>
      <c r="Q220" s="366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6"/>
      <c r="P221" s="366"/>
      <c r="Q221" s="366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341</v>
      </c>
      <c r="O222" s="366"/>
      <c r="P222" s="366"/>
      <c r="Q222" s="366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9" t="s">
        <v>344</v>
      </c>
      <c r="O223" s="366"/>
      <c r="P223" s="366"/>
      <c r="Q223" s="366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1" t="s">
        <v>347</v>
      </c>
      <c r="O224" s="366"/>
      <c r="P224" s="366"/>
      <c r="Q224" s="366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6"/>
      <c r="P225" s="366"/>
      <c r="Q225" s="366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80"/>
      <c r="N226" s="360" t="s">
        <v>66</v>
      </c>
      <c r="O226" s="361"/>
      <c r="P226" s="361"/>
      <c r="Q226" s="361"/>
      <c r="R226" s="361"/>
      <c r="S226" s="361"/>
      <c r="T226" s="362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80"/>
      <c r="N227" s="360" t="s">
        <v>66</v>
      </c>
      <c r="O227" s="361"/>
      <c r="P227" s="361"/>
      <c r="Q227" s="361"/>
      <c r="R227" s="361"/>
      <c r="S227" s="361"/>
      <c r="T227" s="362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2" t="s">
        <v>351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7"/>
      <c r="Z228" s="347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9"/>
      <c r="S232" s="34"/>
      <c r="T232" s="34"/>
      <c r="U232" s="35" t="s">
        <v>65</v>
      </c>
      <c r="V232" s="352">
        <v>100</v>
      </c>
      <c r="W232" s="353">
        <f t="shared" si="13"/>
        <v>108</v>
      </c>
      <c r="X232" s="36">
        <f>IFERROR(IF(W232=0,"",ROUNDUP(W232/H232,0)*0.02175),"")</f>
        <v>0.21749999999999997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9"/>
      <c r="S234" s="34"/>
      <c r="T234" s="34"/>
      <c r="U234" s="35" t="s">
        <v>65</v>
      </c>
      <c r="V234" s="352">
        <v>150</v>
      </c>
      <c r="W234" s="353">
        <f t="shared" si="13"/>
        <v>151.20000000000002</v>
      </c>
      <c r="X234" s="36">
        <f>IFERROR(IF(W234=0,"",ROUNDUP(W234/H234,0)*0.02175),"")</f>
        <v>0.30449999999999999</v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9"/>
      <c r="S236" s="34"/>
      <c r="T236" s="34"/>
      <c r="U236" s="35" t="s">
        <v>65</v>
      </c>
      <c r="V236" s="352">
        <v>150</v>
      </c>
      <c r="W236" s="353">
        <f t="shared" si="13"/>
        <v>151.20000000000002</v>
      </c>
      <c r="X236" s="36">
        <f>IFERROR(IF(W236=0,"",ROUNDUP(W236/H236,0)*0.02175),"")</f>
        <v>0.30449999999999999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9"/>
      <c r="S237" s="34"/>
      <c r="T237" s="34"/>
      <c r="U237" s="35" t="s">
        <v>65</v>
      </c>
      <c r="V237" s="352">
        <v>100</v>
      </c>
      <c r="W237" s="353">
        <f t="shared" si="13"/>
        <v>108</v>
      </c>
      <c r="X237" s="36">
        <f>IFERROR(IF(W237=0,"",ROUNDUP(W237/H237,0)*0.02175),"")</f>
        <v>0.21749999999999997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9"/>
      <c r="S238" s="34"/>
      <c r="T238" s="34"/>
      <c r="U238" s="35" t="s">
        <v>65</v>
      </c>
      <c r="V238" s="352">
        <v>25</v>
      </c>
      <c r="W238" s="353">
        <f t="shared" si="13"/>
        <v>25</v>
      </c>
      <c r="X238" s="36">
        <f t="shared" ref="X238:X244" si="14">IFERROR(IF(W238=0,"",ROUNDUP(W238/H238,0)*0.00937),"")</f>
        <v>4.6850000000000003E-2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9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80"/>
      <c r="N245" s="360" t="s">
        <v>66</v>
      </c>
      <c r="O245" s="361"/>
      <c r="P245" s="361"/>
      <c r="Q245" s="361"/>
      <c r="R245" s="361"/>
      <c r="S245" s="361"/>
      <c r="T245" s="362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51.296296296296291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53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1.0908500000000001</v>
      </c>
      <c r="Y245" s="355"/>
      <c r="Z245" s="355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0"/>
      <c r="N246" s="360" t="s">
        <v>66</v>
      </c>
      <c r="O246" s="361"/>
      <c r="P246" s="361"/>
      <c r="Q246" s="361"/>
      <c r="R246" s="361"/>
      <c r="S246" s="361"/>
      <c r="T246" s="362"/>
      <c r="U246" s="37" t="s">
        <v>65</v>
      </c>
      <c r="V246" s="354">
        <f>IFERROR(SUM(V230:V244),"0")</f>
        <v>525</v>
      </c>
      <c r="W246" s="354">
        <f>IFERROR(SUM(W230:W244),"0")</f>
        <v>543.40000000000009</v>
      </c>
      <c r="X246" s="37"/>
      <c r="Y246" s="355"/>
      <c r="Z246" s="355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80"/>
      <c r="N249" s="360" t="s">
        <v>66</v>
      </c>
      <c r="O249" s="361"/>
      <c r="P249" s="361"/>
      <c r="Q249" s="361"/>
      <c r="R249" s="361"/>
      <c r="S249" s="361"/>
      <c r="T249" s="362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80"/>
      <c r="N250" s="360" t="s">
        <v>66</v>
      </c>
      <c r="O250" s="361"/>
      <c r="P250" s="361"/>
      <c r="Q250" s="361"/>
      <c r="R250" s="361"/>
      <c r="S250" s="361"/>
      <c r="T250" s="362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9"/>
      <c r="S252" s="34"/>
      <c r="T252" s="34"/>
      <c r="U252" s="35" t="s">
        <v>65</v>
      </c>
      <c r="V252" s="352">
        <v>130</v>
      </c>
      <c r="W252" s="353">
        <f>IFERROR(IF(V252="",0,CEILING((V252/$H252),1)*$H252),"")</f>
        <v>130.20000000000002</v>
      </c>
      <c r="X252" s="36">
        <f>IFERROR(IF(W252=0,"",ROUNDUP(W252/H252,0)*0.00753),"")</f>
        <v>0.23343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9"/>
      <c r="S253" s="34"/>
      <c r="T253" s="34"/>
      <c r="U253" s="35" t="s">
        <v>65</v>
      </c>
      <c r="V253" s="352">
        <v>20</v>
      </c>
      <c r="W253" s="353">
        <f>IFERROR(IF(V253="",0,CEILING((V253/$H253),1)*$H253),"")</f>
        <v>21</v>
      </c>
      <c r="X253" s="36">
        <f>IFERROR(IF(W253=0,"",ROUNDUP(W253/H253,0)*0.00753),"")</f>
        <v>3.7650000000000003E-2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80"/>
      <c r="N256" s="360" t="s">
        <v>66</v>
      </c>
      <c r="O256" s="361"/>
      <c r="P256" s="361"/>
      <c r="Q256" s="361"/>
      <c r="R256" s="361"/>
      <c r="S256" s="361"/>
      <c r="T256" s="362"/>
      <c r="U256" s="37" t="s">
        <v>67</v>
      </c>
      <c r="V256" s="354">
        <f>IFERROR(V252/H252,"0")+IFERROR(V253/H253,"0")+IFERROR(V254/H254,"0")+IFERROR(V255/H255,"0")</f>
        <v>35.714285714285715</v>
      </c>
      <c r="W256" s="354">
        <f>IFERROR(W252/H252,"0")+IFERROR(W253/H253,"0")+IFERROR(W254/H254,"0")+IFERROR(W255/H255,"0")</f>
        <v>36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80"/>
      <c r="N257" s="360" t="s">
        <v>66</v>
      </c>
      <c r="O257" s="361"/>
      <c r="P257" s="361"/>
      <c r="Q257" s="361"/>
      <c r="R257" s="361"/>
      <c r="S257" s="361"/>
      <c r="T257" s="362"/>
      <c r="U257" s="37" t="s">
        <v>65</v>
      </c>
      <c r="V257" s="354">
        <f>IFERROR(SUM(V252:V255),"0")</f>
        <v>150</v>
      </c>
      <c r="W257" s="354">
        <f>IFERROR(SUM(W252:W255),"0")</f>
        <v>151.20000000000002</v>
      </c>
      <c r="X257" s="37"/>
      <c r="Y257" s="355"/>
      <c r="Z257" s="355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9"/>
      <c r="S259" s="34"/>
      <c r="T259" s="34"/>
      <c r="U259" s="35" t="s">
        <v>65</v>
      </c>
      <c r="V259" s="352">
        <v>450</v>
      </c>
      <c r="W259" s="353">
        <f t="shared" ref="W259:W267" si="15">IFERROR(IF(V259="",0,CEILING((V259/$H259),1)*$H259),"")</f>
        <v>452.4</v>
      </c>
      <c r="X259" s="36">
        <f>IFERROR(IF(W259=0,"",ROUNDUP(W259/H259,0)*0.02175),"")</f>
        <v>1.2614999999999998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9"/>
      <c r="S261" s="34"/>
      <c r="T261" s="34"/>
      <c r="U261" s="35" t="s">
        <v>65</v>
      </c>
      <c r="V261" s="352">
        <v>60</v>
      </c>
      <c r="W261" s="353">
        <f t="shared" si="15"/>
        <v>64.8</v>
      </c>
      <c r="X261" s="36">
        <f>IFERROR(IF(W261=0,"",ROUNDUP(W261/H261,0)*0.02175),"")</f>
        <v>0.17399999999999999</v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6"/>
      <c r="P262" s="366"/>
      <c r="Q262" s="366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6"/>
      <c r="P263" s="366"/>
      <c r="Q263" s="366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6"/>
      <c r="P264" s="366"/>
      <c r="Q264" s="366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6"/>
      <c r="P265" s="366"/>
      <c r="Q265" s="366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6"/>
      <c r="P266" s="366"/>
      <c r="Q266" s="366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6"/>
      <c r="P267" s="366"/>
      <c r="Q267" s="366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80"/>
      <c r="N268" s="360" t="s">
        <v>66</v>
      </c>
      <c r="O268" s="361"/>
      <c r="P268" s="361"/>
      <c r="Q268" s="361"/>
      <c r="R268" s="361"/>
      <c r="S268" s="361"/>
      <c r="T268" s="362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65.099715099715098</v>
      </c>
      <c r="W268" s="354">
        <f>IFERROR(W259/H259,"0")+IFERROR(W260/H260,"0")+IFERROR(W261/H261,"0")+IFERROR(W262/H262,"0")+IFERROR(W263/H263,"0")+IFERROR(W264/H264,"0")+IFERROR(W265/H265,"0")+IFERROR(W266/H266,"0")+IFERROR(W267/H267,"0")</f>
        <v>66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1.4354999999999998</v>
      </c>
      <c r="Y268" s="355"/>
      <c r="Z268" s="355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80"/>
      <c r="N269" s="360" t="s">
        <v>66</v>
      </c>
      <c r="O269" s="361"/>
      <c r="P269" s="361"/>
      <c r="Q269" s="361"/>
      <c r="R269" s="361"/>
      <c r="S269" s="361"/>
      <c r="T269" s="362"/>
      <c r="U269" s="37" t="s">
        <v>65</v>
      </c>
      <c r="V269" s="354">
        <f>IFERROR(SUM(V259:V267),"0")</f>
        <v>510</v>
      </c>
      <c r="W269" s="354">
        <f>IFERROR(SUM(W259:W267),"0")</f>
        <v>517.19999999999993</v>
      </c>
      <c r="X269" s="37"/>
      <c r="Y269" s="355"/>
      <c r="Z269" s="355"/>
    </row>
    <row r="270" spans="1:53" ht="14.25" hidden="1" customHeight="1" x14ac:dyDescent="0.25">
      <c r="A270" s="356" t="s">
        <v>203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8"/>
      <c r="Z270" s="348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6"/>
      <c r="P271" s="366"/>
      <c r="Q271" s="366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6"/>
      <c r="P272" s="366"/>
      <c r="Q272" s="366"/>
      <c r="R272" s="359"/>
      <c r="S272" s="34"/>
      <c r="T272" s="34"/>
      <c r="U272" s="35" t="s">
        <v>65</v>
      </c>
      <c r="V272" s="352">
        <v>70</v>
      </c>
      <c r="W272" s="353">
        <f>IFERROR(IF(V272="",0,CEILING((V272/$H272),1)*$H272),"")</f>
        <v>70.2</v>
      </c>
      <c r="X272" s="36">
        <f>IFERROR(IF(W272=0,"",ROUNDUP(W272/H272,0)*0.02175),"")</f>
        <v>0.19574999999999998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6"/>
      <c r="P273" s="366"/>
      <c r="Q273" s="366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9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80"/>
      <c r="N274" s="360" t="s">
        <v>66</v>
      </c>
      <c r="O274" s="361"/>
      <c r="P274" s="361"/>
      <c r="Q274" s="361"/>
      <c r="R274" s="361"/>
      <c r="S274" s="361"/>
      <c r="T274" s="362"/>
      <c r="U274" s="37" t="s">
        <v>67</v>
      </c>
      <c r="V274" s="354">
        <f>IFERROR(V271/H271,"0")+IFERROR(V272/H272,"0")+IFERROR(V273/H273,"0")</f>
        <v>8.9743589743589745</v>
      </c>
      <c r="W274" s="354">
        <f>IFERROR(W271/H271,"0")+IFERROR(W272/H272,"0")+IFERROR(W273/H273,"0")</f>
        <v>9</v>
      </c>
      <c r="X274" s="354">
        <f>IFERROR(IF(X271="",0,X271),"0")+IFERROR(IF(X272="",0,X272),"0")+IFERROR(IF(X273="",0,X273),"0")</f>
        <v>0.19574999999999998</v>
      </c>
      <c r="Y274" s="355"/>
      <c r="Z274" s="355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80"/>
      <c r="N275" s="360" t="s">
        <v>66</v>
      </c>
      <c r="O275" s="361"/>
      <c r="P275" s="361"/>
      <c r="Q275" s="361"/>
      <c r="R275" s="361"/>
      <c r="S275" s="361"/>
      <c r="T275" s="362"/>
      <c r="U275" s="37" t="s">
        <v>65</v>
      </c>
      <c r="V275" s="354">
        <f>IFERROR(SUM(V271:V273),"0")</f>
        <v>70</v>
      </c>
      <c r="W275" s="354">
        <f>IFERROR(SUM(W271:W273),"0")</f>
        <v>70.2</v>
      </c>
      <c r="X275" s="37"/>
      <c r="Y275" s="355"/>
      <c r="Z275" s="355"/>
    </row>
    <row r="276" spans="1:53" ht="14.25" hidden="1" customHeight="1" x14ac:dyDescent="0.25">
      <c r="A276" s="356" t="s">
        <v>83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8"/>
      <c r="Z276" s="348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">
        <v>416</v>
      </c>
      <c r="O277" s="366"/>
      <c r="P277" s="366"/>
      <c r="Q277" s="366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9" t="s">
        <v>419</v>
      </c>
      <c r="O278" s="366"/>
      <c r="P278" s="366"/>
      <c r="Q278" s="366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6"/>
      <c r="P279" s="366"/>
      <c r="Q279" s="366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79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80"/>
      <c r="N280" s="360" t="s">
        <v>66</v>
      </c>
      <c r="O280" s="361"/>
      <c r="P280" s="361"/>
      <c r="Q280" s="361"/>
      <c r="R280" s="361"/>
      <c r="S280" s="361"/>
      <c r="T280" s="362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80"/>
      <c r="N281" s="360" t="s">
        <v>66</v>
      </c>
      <c r="O281" s="361"/>
      <c r="P281" s="361"/>
      <c r="Q281" s="361"/>
      <c r="R281" s="361"/>
      <c r="S281" s="361"/>
      <c r="T281" s="362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6"/>
      <c r="P283" s="366"/>
      <c r="Q283" s="366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6"/>
      <c r="P284" s="366"/>
      <c r="Q284" s="366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6"/>
      <c r="P285" s="366"/>
      <c r="Q285" s="366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80"/>
      <c r="N286" s="360" t="s">
        <v>66</v>
      </c>
      <c r="O286" s="361"/>
      <c r="P286" s="361"/>
      <c r="Q286" s="361"/>
      <c r="R286" s="361"/>
      <c r="S286" s="361"/>
      <c r="T286" s="362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80"/>
      <c r="N287" s="360" t="s">
        <v>66</v>
      </c>
      <c r="O287" s="361"/>
      <c r="P287" s="361"/>
      <c r="Q287" s="361"/>
      <c r="R287" s="361"/>
      <c r="S287" s="361"/>
      <c r="T287" s="362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2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7"/>
      <c r="Z288" s="347"/>
    </row>
    <row r="289" spans="1:53" ht="14.25" hidden="1" customHeight="1" x14ac:dyDescent="0.25">
      <c r="A289" s="356" t="s">
        <v>105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9"/>
      <c r="S290" s="34"/>
      <c r="T290" s="34"/>
      <c r="U290" s="35" t="s">
        <v>65</v>
      </c>
      <c r="V290" s="352">
        <v>250</v>
      </c>
      <c r="W290" s="353">
        <f t="shared" ref="W290:W297" si="16">IFERROR(IF(V290="",0,CEILING((V290/$H290),1)*$H290),"")</f>
        <v>259.20000000000005</v>
      </c>
      <c r="X290" s="36">
        <f>IFERROR(IF(W290=0,"",ROUNDUP(W290/H290,0)*0.02175),"")</f>
        <v>0.52200000000000002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9"/>
      <c r="S292" s="34"/>
      <c r="T292" s="34"/>
      <c r="U292" s="35" t="s">
        <v>65</v>
      </c>
      <c r="V292" s="352">
        <v>100</v>
      </c>
      <c r="W292" s="353">
        <f t="shared" si="16"/>
        <v>104.39999999999999</v>
      </c>
      <c r="X292" s="36">
        <f>IFERROR(IF(W292=0,"",ROUNDUP(W292/H292,0)*0.02175),"")</f>
        <v>0.19574999999999998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6"/>
      <c r="P295" s="366"/>
      <c r="Q295" s="366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6"/>
      <c r="P296" s="366"/>
      <c r="Q296" s="366"/>
      <c r="R296" s="359"/>
      <c r="S296" s="34"/>
      <c r="T296" s="34"/>
      <c r="U296" s="35" t="s">
        <v>65</v>
      </c>
      <c r="V296" s="352">
        <v>25</v>
      </c>
      <c r="W296" s="353">
        <f t="shared" si="16"/>
        <v>25</v>
      </c>
      <c r="X296" s="36">
        <f>IFERROR(IF(W296=0,"",ROUNDUP(W296/H296,0)*0.00937),"")</f>
        <v>4.6850000000000003E-2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6"/>
      <c r="P297" s="366"/>
      <c r="Q297" s="366"/>
      <c r="R297" s="359"/>
      <c r="S297" s="34"/>
      <c r="T297" s="34"/>
      <c r="U297" s="35" t="s">
        <v>65</v>
      </c>
      <c r="V297" s="352">
        <v>50</v>
      </c>
      <c r="W297" s="353">
        <f t="shared" si="16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31" t="s">
        <v>1</v>
      </c>
    </row>
    <row r="298" spans="1:53" x14ac:dyDescent="0.2">
      <c r="A298" s="379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80"/>
      <c r="N298" s="360" t="s">
        <v>66</v>
      </c>
      <c r="O298" s="361"/>
      <c r="P298" s="361"/>
      <c r="Q298" s="361"/>
      <c r="R298" s="361"/>
      <c r="S298" s="361"/>
      <c r="T298" s="362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46.768837803320558</v>
      </c>
      <c r="W298" s="354">
        <f>IFERROR(W290/H290,"0")+IFERROR(W291/H291,"0")+IFERROR(W292/H292,"0")+IFERROR(W293/H293,"0")+IFERROR(W294/H294,"0")+IFERROR(W295/H295,"0")+IFERROR(W296/H296,"0")+IFERROR(W297/H297,"0")</f>
        <v>48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0.85829999999999995</v>
      </c>
      <c r="Y298" s="355"/>
      <c r="Z298" s="355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80"/>
      <c r="N299" s="360" t="s">
        <v>66</v>
      </c>
      <c r="O299" s="361"/>
      <c r="P299" s="361"/>
      <c r="Q299" s="361"/>
      <c r="R299" s="361"/>
      <c r="S299" s="361"/>
      <c r="T299" s="362"/>
      <c r="U299" s="37" t="s">
        <v>65</v>
      </c>
      <c r="V299" s="354">
        <f>IFERROR(SUM(V290:V297),"0")</f>
        <v>425</v>
      </c>
      <c r="W299" s="354">
        <f>IFERROR(SUM(W290:W297),"0")</f>
        <v>438.6</v>
      </c>
      <c r="X299" s="37"/>
      <c r="Y299" s="355"/>
      <c r="Z299" s="355"/>
    </row>
    <row r="300" spans="1:53" ht="14.25" hidden="1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6"/>
      <c r="P301" s="366"/>
      <c r="Q301" s="366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6"/>
      <c r="P302" s="366"/>
      <c r="Q302" s="366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80"/>
      <c r="N303" s="360" t="s">
        <v>66</v>
      </c>
      <c r="O303" s="361"/>
      <c r="P303" s="361"/>
      <c r="Q303" s="361"/>
      <c r="R303" s="361"/>
      <c r="S303" s="361"/>
      <c r="T303" s="362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80"/>
      <c r="N304" s="360" t="s">
        <v>66</v>
      </c>
      <c r="O304" s="361"/>
      <c r="P304" s="361"/>
      <c r="Q304" s="361"/>
      <c r="R304" s="361"/>
      <c r="S304" s="361"/>
      <c r="T304" s="362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2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7"/>
      <c r="Z305" s="347"/>
    </row>
    <row r="306" spans="1:53" ht="14.25" hidden="1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6"/>
      <c r="P307" s="366"/>
      <c r="Q307" s="366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80"/>
      <c r="N308" s="360" t="s">
        <v>66</v>
      </c>
      <c r="O308" s="361"/>
      <c r="P308" s="361"/>
      <c r="Q308" s="361"/>
      <c r="R308" s="361"/>
      <c r="S308" s="361"/>
      <c r="T308" s="362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80"/>
      <c r="N309" s="360" t="s">
        <v>66</v>
      </c>
      <c r="O309" s="361"/>
      <c r="P309" s="361"/>
      <c r="Q309" s="361"/>
      <c r="R309" s="361"/>
      <c r="S309" s="361"/>
      <c r="T309" s="362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6"/>
      <c r="P311" s="366"/>
      <c r="Q311" s="366"/>
      <c r="R311" s="359"/>
      <c r="S311" s="34"/>
      <c r="T311" s="34"/>
      <c r="U311" s="35" t="s">
        <v>65</v>
      </c>
      <c r="V311" s="352">
        <v>30</v>
      </c>
      <c r="W311" s="353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6"/>
      <c r="P312" s="366"/>
      <c r="Q312" s="366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79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80"/>
      <c r="N313" s="360" t="s">
        <v>66</v>
      </c>
      <c r="O313" s="361"/>
      <c r="P313" s="361"/>
      <c r="Q313" s="361"/>
      <c r="R313" s="361"/>
      <c r="S313" s="361"/>
      <c r="T313" s="362"/>
      <c r="U313" s="37" t="s">
        <v>67</v>
      </c>
      <c r="V313" s="354">
        <f>IFERROR(V311/H311,"0")+IFERROR(V312/H312,"0")</f>
        <v>3.7037037037037037</v>
      </c>
      <c r="W313" s="354">
        <f>IFERROR(W311/H311,"0")+IFERROR(W312/H312,"0")</f>
        <v>4</v>
      </c>
      <c r="X313" s="354">
        <f>IFERROR(IF(X311="",0,X311),"0")+IFERROR(IF(X312="",0,X312),"0")</f>
        <v>8.6999999999999994E-2</v>
      </c>
      <c r="Y313" s="355"/>
      <c r="Z313" s="355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0"/>
      <c r="N314" s="360" t="s">
        <v>66</v>
      </c>
      <c r="O314" s="361"/>
      <c r="P314" s="361"/>
      <c r="Q314" s="361"/>
      <c r="R314" s="361"/>
      <c r="S314" s="361"/>
      <c r="T314" s="362"/>
      <c r="U314" s="37" t="s">
        <v>65</v>
      </c>
      <c r="V314" s="354">
        <f>IFERROR(SUM(V311:V312),"0")</f>
        <v>30</v>
      </c>
      <c r="W314" s="354">
        <f>IFERROR(SUM(W311:W312),"0")</f>
        <v>32.4</v>
      </c>
      <c r="X314" s="37"/>
      <c r="Y314" s="355"/>
      <c r="Z314" s="355"/>
    </row>
    <row r="315" spans="1:53" ht="14.25" hidden="1" customHeight="1" x14ac:dyDescent="0.25">
      <c r="A315" s="356" t="s">
        <v>203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80"/>
      <c r="N317" s="360" t="s">
        <v>66</v>
      </c>
      <c r="O317" s="361"/>
      <c r="P317" s="361"/>
      <c r="Q317" s="361"/>
      <c r="R317" s="361"/>
      <c r="S317" s="361"/>
      <c r="T317" s="362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0"/>
      <c r="N318" s="360" t="s">
        <v>66</v>
      </c>
      <c r="O318" s="361"/>
      <c r="P318" s="361"/>
      <c r="Q318" s="361"/>
      <c r="R318" s="361"/>
      <c r="S318" s="361"/>
      <c r="T318" s="362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80"/>
      <c r="N321" s="360" t="s">
        <v>66</v>
      </c>
      <c r="O321" s="361"/>
      <c r="P321" s="361"/>
      <c r="Q321" s="361"/>
      <c r="R321" s="361"/>
      <c r="S321" s="361"/>
      <c r="T321" s="362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80"/>
      <c r="N322" s="360" t="s">
        <v>66</v>
      </c>
      <c r="O322" s="361"/>
      <c r="P322" s="361"/>
      <c r="Q322" s="361"/>
      <c r="R322" s="361"/>
      <c r="S322" s="361"/>
      <c r="T322" s="362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88" t="s">
        <v>460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48"/>
      <c r="Z323" s="48"/>
    </row>
    <row r="324" spans="1:53" ht="16.5" hidden="1" customHeight="1" x14ac:dyDescent="0.25">
      <c r="A324" s="402" t="s">
        <v>461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7"/>
      <c r="Z324" s="347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80"/>
      <c r="N327" s="360" t="s">
        <v>66</v>
      </c>
      <c r="O327" s="361"/>
      <c r="P327" s="361"/>
      <c r="Q327" s="361"/>
      <c r="R327" s="361"/>
      <c r="S327" s="361"/>
      <c r="T327" s="362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80"/>
      <c r="N328" s="360" t="s">
        <v>66</v>
      </c>
      <c r="O328" s="361"/>
      <c r="P328" s="361"/>
      <c r="Q328" s="361"/>
      <c r="R328" s="361"/>
      <c r="S328" s="361"/>
      <c r="T328" s="362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88" t="s">
        <v>464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48"/>
      <c r="Z329" s="48"/>
    </row>
    <row r="330" spans="1:53" ht="16.5" hidden="1" customHeight="1" x14ac:dyDescent="0.25">
      <c r="A330" s="402" t="s">
        <v>465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7"/>
      <c r="Z330" s="347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9"/>
      <c r="S333" s="34"/>
      <c r="T333" s="34"/>
      <c r="U333" s="35" t="s">
        <v>65</v>
      </c>
      <c r="V333" s="352">
        <v>500</v>
      </c>
      <c r="W333" s="353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4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9"/>
      <c r="S337" s="34"/>
      <c r="T337" s="34"/>
      <c r="U337" s="35" t="s">
        <v>65</v>
      </c>
      <c r="V337" s="352">
        <v>450</v>
      </c>
      <c r="W337" s="353">
        <f t="shared" si="17"/>
        <v>450</v>
      </c>
      <c r="X337" s="36">
        <f>IFERROR(IF(W337=0,"",ROUNDUP(W337/H337,0)*0.02175),"")</f>
        <v>0.65249999999999997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80"/>
      <c r="N340" s="360" t="s">
        <v>66</v>
      </c>
      <c r="O340" s="361"/>
      <c r="P340" s="361"/>
      <c r="Q340" s="361"/>
      <c r="R340" s="361"/>
      <c r="S340" s="361"/>
      <c r="T340" s="362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63.333333333333336</v>
      </c>
      <c r="W340" s="354">
        <f>IFERROR(W332/H332,"0")+IFERROR(W333/H333,"0")+IFERROR(W334/H334,"0")+IFERROR(W335/H335,"0")+IFERROR(W336/H336,"0")+IFERROR(W337/H337,"0")+IFERROR(W338/H338,"0")+IFERROR(W339/H339,"0")</f>
        <v>64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1.3919999999999999</v>
      </c>
      <c r="Y340" s="355"/>
      <c r="Z340" s="355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80"/>
      <c r="N341" s="360" t="s">
        <v>66</v>
      </c>
      <c r="O341" s="361"/>
      <c r="P341" s="361"/>
      <c r="Q341" s="361"/>
      <c r="R341" s="361"/>
      <c r="S341" s="361"/>
      <c r="T341" s="362"/>
      <c r="U341" s="37" t="s">
        <v>65</v>
      </c>
      <c r="V341" s="354">
        <f>IFERROR(SUM(V332:V339),"0")</f>
        <v>950</v>
      </c>
      <c r="W341" s="354">
        <f>IFERROR(SUM(W332:W339),"0")</f>
        <v>960</v>
      </c>
      <c r="X341" s="37"/>
      <c r="Y341" s="355"/>
      <c r="Z341" s="355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9"/>
      <c r="S343" s="34"/>
      <c r="T343" s="34"/>
      <c r="U343" s="35" t="s">
        <v>65</v>
      </c>
      <c r="V343" s="352">
        <v>1050</v>
      </c>
      <c r="W343" s="353">
        <f>IFERROR(IF(V343="",0,CEILING((V343/$H343),1)*$H343),"")</f>
        <v>1050</v>
      </c>
      <c r="X343" s="36">
        <f>IFERROR(IF(W343=0,"",ROUNDUP(W343/H343,0)*0.02175),"")</f>
        <v>1.5225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7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80"/>
      <c r="N346" s="360" t="s">
        <v>66</v>
      </c>
      <c r="O346" s="361"/>
      <c r="P346" s="361"/>
      <c r="Q346" s="361"/>
      <c r="R346" s="361"/>
      <c r="S346" s="361"/>
      <c r="T346" s="362"/>
      <c r="U346" s="37" t="s">
        <v>67</v>
      </c>
      <c r="V346" s="354">
        <f>IFERROR(V343/H343,"0")+IFERROR(V344/H344,"0")+IFERROR(V345/H345,"0")</f>
        <v>70</v>
      </c>
      <c r="W346" s="354">
        <f>IFERROR(W343/H343,"0")+IFERROR(W344/H344,"0")+IFERROR(W345/H345,"0")</f>
        <v>70</v>
      </c>
      <c r="X346" s="354">
        <f>IFERROR(IF(X343="",0,X343),"0")+IFERROR(IF(X344="",0,X344),"0")+IFERROR(IF(X345="",0,X345),"0")</f>
        <v>1.5225</v>
      </c>
      <c r="Y346" s="355"/>
      <c r="Z346" s="355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80"/>
      <c r="N347" s="360" t="s">
        <v>66</v>
      </c>
      <c r="O347" s="361"/>
      <c r="P347" s="361"/>
      <c r="Q347" s="361"/>
      <c r="R347" s="361"/>
      <c r="S347" s="361"/>
      <c r="T347" s="362"/>
      <c r="U347" s="37" t="s">
        <v>65</v>
      </c>
      <c r="V347" s="354">
        <f>IFERROR(SUM(V343:V345),"0")</f>
        <v>1050</v>
      </c>
      <c r="W347" s="354">
        <f>IFERROR(SUM(W343:W345),"0")</f>
        <v>1050</v>
      </c>
      <c r="X347" s="37"/>
      <c r="Y347" s="355"/>
      <c r="Z347" s="355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2" t="s">
        <v>487</v>
      </c>
      <c r="O349" s="366"/>
      <c r="P349" s="366"/>
      <c r="Q349" s="366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80"/>
      <c r="N351" s="360" t="s">
        <v>66</v>
      </c>
      <c r="O351" s="361"/>
      <c r="P351" s="361"/>
      <c r="Q351" s="361"/>
      <c r="R351" s="361"/>
      <c r="S351" s="361"/>
      <c r="T351" s="362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0"/>
      <c r="N352" s="360" t="s">
        <v>66</v>
      </c>
      <c r="O352" s="361"/>
      <c r="P352" s="361"/>
      <c r="Q352" s="361"/>
      <c r="R352" s="361"/>
      <c r="S352" s="361"/>
      <c r="T352" s="362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56" t="s">
        <v>203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9"/>
      <c r="S354" s="34"/>
      <c r="T354" s="34"/>
      <c r="U354" s="35" t="s">
        <v>65</v>
      </c>
      <c r="V354" s="352">
        <v>200</v>
      </c>
      <c r="W354" s="353">
        <f>IFERROR(IF(V354="",0,CEILING((V354/$H354),1)*$H354),"")</f>
        <v>202.79999999999998</v>
      </c>
      <c r="X354" s="36">
        <f>IFERROR(IF(W354=0,"",ROUNDUP(W354/H354,0)*0.02175),"")</f>
        <v>0.5655</v>
      </c>
      <c r="Y354" s="56"/>
      <c r="Z354" s="57"/>
      <c r="AD354" s="58"/>
      <c r="BA354" s="253" t="s">
        <v>1</v>
      </c>
    </row>
    <row r="355" spans="1:53" x14ac:dyDescent="0.2">
      <c r="A355" s="379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80"/>
      <c r="N355" s="360" t="s">
        <v>66</v>
      </c>
      <c r="O355" s="361"/>
      <c r="P355" s="361"/>
      <c r="Q355" s="361"/>
      <c r="R355" s="361"/>
      <c r="S355" s="361"/>
      <c r="T355" s="362"/>
      <c r="U355" s="37" t="s">
        <v>67</v>
      </c>
      <c r="V355" s="354">
        <f>IFERROR(V354/H354,"0")</f>
        <v>25.641025641025642</v>
      </c>
      <c r="W355" s="354">
        <f>IFERROR(W354/H354,"0")</f>
        <v>26</v>
      </c>
      <c r="X355" s="354">
        <f>IFERROR(IF(X354="",0,X354),"0")</f>
        <v>0.5655</v>
      </c>
      <c r="Y355" s="355"/>
      <c r="Z355" s="355"/>
    </row>
    <row r="356" spans="1:53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80"/>
      <c r="N356" s="360" t="s">
        <v>66</v>
      </c>
      <c r="O356" s="361"/>
      <c r="P356" s="361"/>
      <c r="Q356" s="361"/>
      <c r="R356" s="361"/>
      <c r="S356" s="361"/>
      <c r="T356" s="362"/>
      <c r="U356" s="37" t="s">
        <v>65</v>
      </c>
      <c r="V356" s="354">
        <f>IFERROR(SUM(V354:V354),"0")</f>
        <v>200</v>
      </c>
      <c r="W356" s="354">
        <f>IFERROR(SUM(W354:W354),"0")</f>
        <v>202.79999999999998</v>
      </c>
      <c r="X356" s="37"/>
      <c r="Y356" s="355"/>
      <c r="Z356" s="355"/>
    </row>
    <row r="357" spans="1:53" ht="16.5" hidden="1" customHeight="1" x14ac:dyDescent="0.25">
      <c r="A357" s="402" t="s">
        <v>492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7"/>
      <c r="Z357" s="347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80"/>
      <c r="N364" s="360" t="s">
        <v>66</v>
      </c>
      <c r="O364" s="361"/>
      <c r="P364" s="361"/>
      <c r="Q364" s="361"/>
      <c r="R364" s="361"/>
      <c r="S364" s="361"/>
      <c r="T364" s="362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80"/>
      <c r="N365" s="360" t="s">
        <v>66</v>
      </c>
      <c r="O365" s="361"/>
      <c r="P365" s="361"/>
      <c r="Q365" s="361"/>
      <c r="R365" s="361"/>
      <c r="S365" s="361"/>
      <c r="T365" s="362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8"/>
      <c r="Z366" s="348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9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80"/>
      <c r="N369" s="360" t="s">
        <v>66</v>
      </c>
      <c r="O369" s="361"/>
      <c r="P369" s="361"/>
      <c r="Q369" s="361"/>
      <c r="R369" s="361"/>
      <c r="S369" s="361"/>
      <c r="T369" s="362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80"/>
      <c r="N370" s="360" t="s">
        <v>66</v>
      </c>
      <c r="O370" s="361"/>
      <c r="P370" s="361"/>
      <c r="Q370" s="361"/>
      <c r="R370" s="361"/>
      <c r="S370" s="361"/>
      <c r="T370" s="362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8"/>
      <c r="Z371" s="348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79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80"/>
      <c r="N376" s="360" t="s">
        <v>66</v>
      </c>
      <c r="O376" s="361"/>
      <c r="P376" s="361"/>
      <c r="Q376" s="361"/>
      <c r="R376" s="361"/>
      <c r="S376" s="361"/>
      <c r="T376" s="362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0"/>
      <c r="N377" s="360" t="s">
        <v>66</v>
      </c>
      <c r="O377" s="361"/>
      <c r="P377" s="361"/>
      <c r="Q377" s="361"/>
      <c r="R377" s="361"/>
      <c r="S377" s="361"/>
      <c r="T377" s="362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56" t="s">
        <v>203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80"/>
      <c r="N380" s="360" t="s">
        <v>66</v>
      </c>
      <c r="O380" s="361"/>
      <c r="P380" s="361"/>
      <c r="Q380" s="361"/>
      <c r="R380" s="361"/>
      <c r="S380" s="361"/>
      <c r="T380" s="362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80"/>
      <c r="N381" s="360" t="s">
        <v>66</v>
      </c>
      <c r="O381" s="361"/>
      <c r="P381" s="361"/>
      <c r="Q381" s="361"/>
      <c r="R381" s="361"/>
      <c r="S381" s="361"/>
      <c r="T381" s="362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88" t="s">
        <v>517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48"/>
      <c r="Z382" s="48"/>
    </row>
    <row r="383" spans="1:53" ht="16.5" hidden="1" customHeight="1" x14ac:dyDescent="0.25">
      <c r="A383" s="402" t="s">
        <v>518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7"/>
      <c r="Z383" s="347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80"/>
      <c r="N387" s="360" t="s">
        <v>66</v>
      </c>
      <c r="O387" s="361"/>
      <c r="P387" s="361"/>
      <c r="Q387" s="361"/>
      <c r="R387" s="361"/>
      <c r="S387" s="361"/>
      <c r="T387" s="362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80"/>
      <c r="N388" s="360" t="s">
        <v>66</v>
      </c>
      <c r="O388" s="361"/>
      <c r="P388" s="361"/>
      <c r="Q388" s="361"/>
      <c r="R388" s="361"/>
      <c r="S388" s="361"/>
      <c r="T388" s="362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8"/>
      <c r="Z389" s="348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9"/>
      <c r="S391" s="34"/>
      <c r="T391" s="34"/>
      <c r="U391" s="35" t="s">
        <v>65</v>
      </c>
      <c r="V391" s="352">
        <v>20</v>
      </c>
      <c r="W391" s="353">
        <f t="shared" si="18"/>
        <v>21</v>
      </c>
      <c r="X391" s="36">
        <f>IFERROR(IF(W391=0,"",ROUNDUP(W391/H391,0)*0.00753),"")</f>
        <v>3.7650000000000003E-2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80"/>
      <c r="N403" s="360" t="s">
        <v>66</v>
      </c>
      <c r="O403" s="361"/>
      <c r="P403" s="361"/>
      <c r="Q403" s="361"/>
      <c r="R403" s="361"/>
      <c r="S403" s="361"/>
      <c r="T403" s="362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4.7619047619047619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3.7650000000000003E-2</v>
      </c>
      <c r="Y403" s="355"/>
      <c r="Z403" s="355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80"/>
      <c r="N404" s="360" t="s">
        <v>66</v>
      </c>
      <c r="O404" s="361"/>
      <c r="P404" s="361"/>
      <c r="Q404" s="361"/>
      <c r="R404" s="361"/>
      <c r="S404" s="361"/>
      <c r="T404" s="362"/>
      <c r="U404" s="37" t="s">
        <v>65</v>
      </c>
      <c r="V404" s="354">
        <f>IFERROR(SUM(V390:V402),"0")</f>
        <v>20</v>
      </c>
      <c r="W404" s="354">
        <f>IFERROR(SUM(W390:W402),"0")</f>
        <v>21</v>
      </c>
      <c r="X404" s="37"/>
      <c r="Y404" s="355"/>
      <c r="Z404" s="355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80"/>
      <c r="N410" s="360" t="s">
        <v>66</v>
      </c>
      <c r="O410" s="361"/>
      <c r="P410" s="361"/>
      <c r="Q410" s="361"/>
      <c r="R410" s="361"/>
      <c r="S410" s="361"/>
      <c r="T410" s="362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0"/>
      <c r="N411" s="360" t="s">
        <v>66</v>
      </c>
      <c r="O411" s="361"/>
      <c r="P411" s="361"/>
      <c r="Q411" s="361"/>
      <c r="R411" s="361"/>
      <c r="S411" s="361"/>
      <c r="T411" s="362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56" t="s">
        <v>203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80"/>
      <c r="N414" s="360" t="s">
        <v>66</v>
      </c>
      <c r="O414" s="361"/>
      <c r="P414" s="361"/>
      <c r="Q414" s="361"/>
      <c r="R414" s="361"/>
      <c r="S414" s="361"/>
      <c r="T414" s="362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80"/>
      <c r="N415" s="360" t="s">
        <v>66</v>
      </c>
      <c r="O415" s="361"/>
      <c r="P415" s="361"/>
      <c r="Q415" s="361"/>
      <c r="R415" s="361"/>
      <c r="S415" s="361"/>
      <c r="T415" s="362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80"/>
      <c r="N420" s="360" t="s">
        <v>66</v>
      </c>
      <c r="O420" s="361"/>
      <c r="P420" s="361"/>
      <c r="Q420" s="361"/>
      <c r="R420" s="361"/>
      <c r="S420" s="361"/>
      <c r="T420" s="362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80"/>
      <c r="N421" s="360" t="s">
        <v>66</v>
      </c>
      <c r="O421" s="361"/>
      <c r="P421" s="361"/>
      <c r="Q421" s="361"/>
      <c r="R421" s="361"/>
      <c r="S421" s="361"/>
      <c r="T421" s="362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2" t="s">
        <v>567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7"/>
      <c r="Z422" s="347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80"/>
      <c r="N426" s="360" t="s">
        <v>66</v>
      </c>
      <c r="O426" s="361"/>
      <c r="P426" s="361"/>
      <c r="Q426" s="361"/>
      <c r="R426" s="361"/>
      <c r="S426" s="361"/>
      <c r="T426" s="362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80"/>
      <c r="N427" s="360" t="s">
        <v>66</v>
      </c>
      <c r="O427" s="361"/>
      <c r="P427" s="361"/>
      <c r="Q427" s="361"/>
      <c r="R427" s="361"/>
      <c r="S427" s="361"/>
      <c r="T427" s="362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8"/>
      <c r="Z428" s="348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9"/>
      <c r="S433" s="34"/>
      <c r="T433" s="34"/>
      <c r="U433" s="35" t="s">
        <v>65</v>
      </c>
      <c r="V433" s="352">
        <v>5.6000000000000014</v>
      </c>
      <c r="W433" s="353">
        <f t="shared" si="20"/>
        <v>6.72</v>
      </c>
      <c r="X433" s="36">
        <f>IFERROR(IF(W433=0,"",ROUNDUP(W433/H433,0)*0.00502),"")</f>
        <v>2.0080000000000001E-2</v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9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80"/>
      <c r="N436" s="360" t="s">
        <v>66</v>
      </c>
      <c r="O436" s="361"/>
      <c r="P436" s="361"/>
      <c r="Q436" s="361"/>
      <c r="R436" s="361"/>
      <c r="S436" s="361"/>
      <c r="T436" s="362"/>
      <c r="U436" s="37" t="s">
        <v>67</v>
      </c>
      <c r="V436" s="354">
        <f>IFERROR(V429/H429,"0")+IFERROR(V430/H430,"0")+IFERROR(V431/H431,"0")+IFERROR(V432/H432,"0")+IFERROR(V433/H433,"0")+IFERROR(V434/H434,"0")+IFERROR(V435/H435,"0")</f>
        <v>3.3333333333333344</v>
      </c>
      <c r="W436" s="354">
        <f>IFERROR(W429/H429,"0")+IFERROR(W430/H430,"0")+IFERROR(W431/H431,"0")+IFERROR(W432/H432,"0")+IFERROR(W433/H433,"0")+IFERROR(W434/H434,"0")+IFERROR(W435/H435,"0")</f>
        <v>4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2.0080000000000001E-2</v>
      </c>
      <c r="Y436" s="355"/>
      <c r="Z436" s="355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0"/>
      <c r="N437" s="360" t="s">
        <v>66</v>
      </c>
      <c r="O437" s="361"/>
      <c r="P437" s="361"/>
      <c r="Q437" s="361"/>
      <c r="R437" s="361"/>
      <c r="S437" s="361"/>
      <c r="T437" s="362"/>
      <c r="U437" s="37" t="s">
        <v>65</v>
      </c>
      <c r="V437" s="354">
        <f>IFERROR(SUM(V429:V435),"0")</f>
        <v>5.6000000000000014</v>
      </c>
      <c r="W437" s="354">
        <f>IFERROR(SUM(W429:W435),"0")</f>
        <v>6.72</v>
      </c>
      <c r="X437" s="37"/>
      <c r="Y437" s="355"/>
      <c r="Z437" s="355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80"/>
      <c r="N440" s="360" t="s">
        <v>66</v>
      </c>
      <c r="O440" s="361"/>
      <c r="P440" s="361"/>
      <c r="Q440" s="361"/>
      <c r="R440" s="361"/>
      <c r="S440" s="361"/>
      <c r="T440" s="362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0"/>
      <c r="N441" s="360" t="s">
        <v>66</v>
      </c>
      <c r="O441" s="361"/>
      <c r="P441" s="361"/>
      <c r="Q441" s="361"/>
      <c r="R441" s="361"/>
      <c r="S441" s="361"/>
      <c r="T441" s="362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56" t="s">
        <v>588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80"/>
      <c r="N444" s="360" t="s">
        <v>66</v>
      </c>
      <c r="O444" s="361"/>
      <c r="P444" s="361"/>
      <c r="Q444" s="361"/>
      <c r="R444" s="361"/>
      <c r="S444" s="361"/>
      <c r="T444" s="362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80"/>
      <c r="N445" s="360" t="s">
        <v>66</v>
      </c>
      <c r="O445" s="361"/>
      <c r="P445" s="361"/>
      <c r="Q445" s="361"/>
      <c r="R445" s="361"/>
      <c r="S445" s="361"/>
      <c r="T445" s="362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88" t="s">
        <v>591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48"/>
      <c r="Z446" s="48"/>
    </row>
    <row r="447" spans="1:53" ht="16.5" hidden="1" customHeight="1" x14ac:dyDescent="0.25">
      <c r="A447" s="402" t="s">
        <v>591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7"/>
      <c r="Z447" s="347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7" t="s">
        <v>594</v>
      </c>
      <c r="O449" s="366"/>
      <c r="P449" s="366"/>
      <c r="Q449" s="366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4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6"/>
      <c r="P450" s="366"/>
      <c r="Q450" s="366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598</v>
      </c>
      <c r="O451" s="366"/>
      <c r="P451" s="366"/>
      <c r="Q451" s="366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6"/>
      <c r="P452" s="366"/>
      <c r="Q452" s="366"/>
      <c r="R452" s="359"/>
      <c r="S452" s="34"/>
      <c r="T452" s="34"/>
      <c r="U452" s="35" t="s">
        <v>65</v>
      </c>
      <c r="V452" s="352">
        <v>50</v>
      </c>
      <c r="W452" s="353">
        <f t="shared" si="21"/>
        <v>52.800000000000004</v>
      </c>
      <c r="X452" s="36">
        <f t="shared" si="22"/>
        <v>0.1196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602</v>
      </c>
      <c r="O453" s="366"/>
      <c r="P453" s="366"/>
      <c r="Q453" s="366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3" t="s">
        <v>605</v>
      </c>
      <c r="O454" s="366"/>
      <c r="P454" s="366"/>
      <c r="Q454" s="366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6" t="s">
        <v>608</v>
      </c>
      <c r="O455" s="366"/>
      <c r="P455" s="366"/>
      <c r="Q455" s="366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6"/>
      <c r="P456" s="366"/>
      <c r="Q456" s="366"/>
      <c r="R456" s="359"/>
      <c r="S456" s="34"/>
      <c r="T456" s="34"/>
      <c r="U456" s="35" t="s">
        <v>65</v>
      </c>
      <c r="V456" s="352">
        <v>170</v>
      </c>
      <c r="W456" s="353">
        <f t="shared" si="21"/>
        <v>174.24</v>
      </c>
      <c r="X456" s="36">
        <f t="shared" si="22"/>
        <v>0.39468000000000003</v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93" t="s">
        <v>612</v>
      </c>
      <c r="O457" s="366"/>
      <c r="P457" s="366"/>
      <c r="Q457" s="366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99" t="s">
        <v>615</v>
      </c>
      <c r="O458" s="366"/>
      <c r="P458" s="366"/>
      <c r="Q458" s="366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6"/>
      <c r="P459" s="366"/>
      <c r="Q459" s="366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8" t="s">
        <v>619</v>
      </c>
      <c r="O460" s="366"/>
      <c r="P460" s="366"/>
      <c r="Q460" s="366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6"/>
      <c r="P461" s="366"/>
      <c r="Q461" s="366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623</v>
      </c>
      <c r="O462" s="366"/>
      <c r="P462" s="366"/>
      <c r="Q462" s="366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6"/>
      <c r="P463" s="366"/>
      <c r="Q463" s="366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7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6"/>
      <c r="P464" s="366"/>
      <c r="Q464" s="366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7" t="s">
        <v>629</v>
      </c>
      <c r="O465" s="366"/>
      <c r="P465" s="366"/>
      <c r="Q465" s="366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6"/>
      <c r="P466" s="366"/>
      <c r="Q466" s="366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80"/>
      <c r="N467" s="360" t="s">
        <v>66</v>
      </c>
      <c r="O467" s="361"/>
      <c r="P467" s="361"/>
      <c r="Q467" s="361"/>
      <c r="R467" s="361"/>
      <c r="S467" s="361"/>
      <c r="T467" s="362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41.666666666666664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43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0.51428000000000007</v>
      </c>
      <c r="Y467" s="355"/>
      <c r="Z467" s="355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80"/>
      <c r="N468" s="360" t="s">
        <v>66</v>
      </c>
      <c r="O468" s="361"/>
      <c r="P468" s="361"/>
      <c r="Q468" s="361"/>
      <c r="R468" s="361"/>
      <c r="S468" s="361"/>
      <c r="T468" s="362"/>
      <c r="U468" s="37" t="s">
        <v>65</v>
      </c>
      <c r="V468" s="354">
        <f>IFERROR(SUM(V449:V466),"0")</f>
        <v>220</v>
      </c>
      <c r="W468" s="354">
        <f>IFERROR(SUM(W449:W466),"0")</f>
        <v>227.04000000000002</v>
      </c>
      <c r="X468" s="37"/>
      <c r="Y468" s="355"/>
      <c r="Z468" s="355"/>
    </row>
    <row r="469" spans="1:53" ht="14.25" hidden="1" customHeight="1" x14ac:dyDescent="0.25">
      <c r="A469" s="356" t="s">
        <v>97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6"/>
      <c r="P470" s="366"/>
      <c r="Q470" s="366"/>
      <c r="R470" s="359"/>
      <c r="S470" s="34"/>
      <c r="T470" s="34"/>
      <c r="U470" s="35" t="s">
        <v>65</v>
      </c>
      <c r="V470" s="352">
        <v>50</v>
      </c>
      <c r="W470" s="353">
        <f>IFERROR(IF(V470="",0,CEILING((V470/$H470),1)*$H470),"")</f>
        <v>52.800000000000004</v>
      </c>
      <c r="X470" s="36">
        <f>IFERROR(IF(W470=0,"",ROUNDUP(W470/H470,0)*0.01196),"")</f>
        <v>0.1196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6"/>
      <c r="P471" s="366"/>
      <c r="Q471" s="366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9"/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80"/>
      <c r="N472" s="360" t="s">
        <v>66</v>
      </c>
      <c r="O472" s="361"/>
      <c r="P472" s="361"/>
      <c r="Q472" s="361"/>
      <c r="R472" s="361"/>
      <c r="S472" s="361"/>
      <c r="T472" s="362"/>
      <c r="U472" s="37" t="s">
        <v>67</v>
      </c>
      <c r="V472" s="354">
        <f>IFERROR(V470/H470,"0")+IFERROR(V471/H471,"0")</f>
        <v>9.4696969696969688</v>
      </c>
      <c r="W472" s="354">
        <f>IFERROR(W470/H470,"0")+IFERROR(W471/H471,"0")</f>
        <v>10</v>
      </c>
      <c r="X472" s="354">
        <f>IFERROR(IF(X470="",0,X470),"0")+IFERROR(IF(X471="",0,X471),"0")</f>
        <v>0.1196</v>
      </c>
      <c r="Y472" s="355"/>
      <c r="Z472" s="355"/>
    </row>
    <row r="473" spans="1:53" x14ac:dyDescent="0.2">
      <c r="A473" s="357"/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80"/>
      <c r="N473" s="360" t="s">
        <v>66</v>
      </c>
      <c r="O473" s="361"/>
      <c r="P473" s="361"/>
      <c r="Q473" s="361"/>
      <c r="R473" s="361"/>
      <c r="S473" s="361"/>
      <c r="T473" s="362"/>
      <c r="U473" s="37" t="s">
        <v>65</v>
      </c>
      <c r="V473" s="354">
        <f>IFERROR(SUM(V470:V471),"0")</f>
        <v>50</v>
      </c>
      <c r="W473" s="354">
        <f>IFERROR(SUM(W470:W471),"0")</f>
        <v>52.800000000000004</v>
      </c>
      <c r="X473" s="37"/>
      <c r="Y473" s="355"/>
      <c r="Z473" s="355"/>
    </row>
    <row r="474" spans="1:53" ht="14.25" hidden="1" customHeight="1" x14ac:dyDescent="0.25">
      <c r="A474" s="356" t="s">
        <v>60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48"/>
      <c r="Z474" s="348"/>
    </row>
    <row r="475" spans="1:53" ht="27" hidden="1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6"/>
      <c r="P475" s="366"/>
      <c r="Q475" s="366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6"/>
      <c r="P476" s="366"/>
      <c r="Q476" s="366"/>
      <c r="R476" s="359"/>
      <c r="S476" s="34"/>
      <c r="T476" s="34"/>
      <c r="U476" s="35" t="s">
        <v>65</v>
      </c>
      <c r="V476" s="352">
        <v>80</v>
      </c>
      <c r="W476" s="353">
        <f t="shared" si="24"/>
        <v>84.48</v>
      </c>
      <c r="X476" s="36">
        <f>IFERROR(IF(W476=0,"",ROUNDUP(W476/H476,0)*0.01196),"")</f>
        <v>0.19136</v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6"/>
      <c r="P477" s="366"/>
      <c r="Q477" s="366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6"/>
      <c r="P478" s="366"/>
      <c r="Q478" s="366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6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6"/>
      <c r="P479" s="366"/>
      <c r="Q479" s="366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6"/>
      <c r="P480" s="366"/>
      <c r="Q480" s="366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80"/>
      <c r="N481" s="360" t="s">
        <v>66</v>
      </c>
      <c r="O481" s="361"/>
      <c r="P481" s="361"/>
      <c r="Q481" s="361"/>
      <c r="R481" s="361"/>
      <c r="S481" s="361"/>
      <c r="T481" s="362"/>
      <c r="U481" s="37" t="s">
        <v>67</v>
      </c>
      <c r="V481" s="354">
        <f>IFERROR(V475/H475,"0")+IFERROR(V476/H476,"0")+IFERROR(V477/H477,"0")+IFERROR(V478/H478,"0")+IFERROR(V479/H479,"0")+IFERROR(V480/H480,"0")</f>
        <v>15.15151515151515</v>
      </c>
      <c r="W481" s="354">
        <f>IFERROR(W475/H475,"0")+IFERROR(W476/H476,"0")+IFERROR(W477/H477,"0")+IFERROR(W478/H478,"0")+IFERROR(W479/H479,"0")+IFERROR(W480/H480,"0")</f>
        <v>16</v>
      </c>
      <c r="X481" s="354">
        <f>IFERROR(IF(X475="",0,X475),"0")+IFERROR(IF(X476="",0,X476),"0")+IFERROR(IF(X477="",0,X477),"0")+IFERROR(IF(X478="",0,X478),"0")+IFERROR(IF(X479="",0,X479),"0")+IFERROR(IF(X480="",0,X480),"0")</f>
        <v>0.19136</v>
      </c>
      <c r="Y481" s="355"/>
      <c r="Z481" s="355"/>
    </row>
    <row r="482" spans="1:53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80"/>
      <c r="N482" s="360" t="s">
        <v>66</v>
      </c>
      <c r="O482" s="361"/>
      <c r="P482" s="361"/>
      <c r="Q482" s="361"/>
      <c r="R482" s="361"/>
      <c r="S482" s="361"/>
      <c r="T482" s="362"/>
      <c r="U482" s="37" t="s">
        <v>65</v>
      </c>
      <c r="V482" s="354">
        <f>IFERROR(SUM(V475:V480),"0")</f>
        <v>80</v>
      </c>
      <c r="W482" s="354">
        <f>IFERROR(SUM(W475:W480),"0")</f>
        <v>84.48</v>
      </c>
      <c r="X482" s="37"/>
      <c r="Y482" s="355"/>
      <c r="Z482" s="355"/>
    </row>
    <row r="483" spans="1:53" ht="14.25" hidden="1" customHeight="1" x14ac:dyDescent="0.25">
      <c r="A483" s="356" t="s">
        <v>68</v>
      </c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6"/>
      <c r="P484" s="366"/>
      <c r="Q484" s="366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6"/>
      <c r="P485" s="366"/>
      <c r="Q485" s="366"/>
      <c r="R485" s="359"/>
      <c r="S485" s="34"/>
      <c r="T485" s="34"/>
      <c r="U485" s="35" t="s">
        <v>65</v>
      </c>
      <c r="V485" s="352">
        <v>30</v>
      </c>
      <c r="W485" s="353">
        <f>IFERROR(IF(V485="",0,CEILING((V485/$H485),1)*$H485),"")</f>
        <v>31.2</v>
      </c>
      <c r="X485" s="36">
        <f>IFERROR(IF(W485=0,"",ROUNDUP(W485/H485,0)*0.02175),"")</f>
        <v>8.6999999999999994E-2</v>
      </c>
      <c r="Y485" s="56"/>
      <c r="Z485" s="57"/>
      <c r="AD485" s="58"/>
      <c r="BA485" s="327" t="s">
        <v>1</v>
      </c>
    </row>
    <row r="486" spans="1:53" x14ac:dyDescent="0.2">
      <c r="A486" s="379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80"/>
      <c r="N486" s="360" t="s">
        <v>66</v>
      </c>
      <c r="O486" s="361"/>
      <c r="P486" s="361"/>
      <c r="Q486" s="361"/>
      <c r="R486" s="361"/>
      <c r="S486" s="361"/>
      <c r="T486" s="362"/>
      <c r="U486" s="37" t="s">
        <v>67</v>
      </c>
      <c r="V486" s="354">
        <f>IFERROR(V484/H484,"0")+IFERROR(V485/H485,"0")</f>
        <v>3.8461538461538463</v>
      </c>
      <c r="W486" s="354">
        <f>IFERROR(W484/H484,"0")+IFERROR(W485/H485,"0")</f>
        <v>4</v>
      </c>
      <c r="X486" s="354">
        <f>IFERROR(IF(X484="",0,X484),"0")+IFERROR(IF(X485="",0,X485),"0")</f>
        <v>8.6999999999999994E-2</v>
      </c>
      <c r="Y486" s="355"/>
      <c r="Z486" s="355"/>
    </row>
    <row r="487" spans="1:53" x14ac:dyDescent="0.2">
      <c r="A487" s="357"/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80"/>
      <c r="N487" s="360" t="s">
        <v>66</v>
      </c>
      <c r="O487" s="361"/>
      <c r="P487" s="361"/>
      <c r="Q487" s="361"/>
      <c r="R487" s="361"/>
      <c r="S487" s="361"/>
      <c r="T487" s="362"/>
      <c r="U487" s="37" t="s">
        <v>65</v>
      </c>
      <c r="V487" s="354">
        <f>IFERROR(SUM(V484:V485),"0")</f>
        <v>30</v>
      </c>
      <c r="W487" s="354">
        <f>IFERROR(SUM(W484:W485),"0")</f>
        <v>31.2</v>
      </c>
      <c r="X487" s="37"/>
      <c r="Y487" s="355"/>
      <c r="Z487" s="355"/>
    </row>
    <row r="488" spans="1:53" ht="27.75" hidden="1" customHeight="1" x14ac:dyDescent="0.2">
      <c r="A488" s="388" t="s">
        <v>651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48"/>
      <c r="Z488" s="48"/>
    </row>
    <row r="489" spans="1:53" ht="16.5" hidden="1" customHeight="1" x14ac:dyDescent="0.25">
      <c r="A489" s="402" t="s">
        <v>652</v>
      </c>
      <c r="B489" s="357"/>
      <c r="C489" s="357"/>
      <c r="D489" s="357"/>
      <c r="E489" s="357"/>
      <c r="F489" s="357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47"/>
      <c r="Z489" s="347"/>
    </row>
    <row r="490" spans="1:53" ht="14.25" hidden="1" customHeight="1" x14ac:dyDescent="0.25">
      <c r="A490" s="356" t="s">
        <v>105</v>
      </c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465" t="s">
        <v>655</v>
      </c>
      <c r="O491" s="366"/>
      <c r="P491" s="366"/>
      <c r="Q491" s="366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0" t="s">
        <v>658</v>
      </c>
      <c r="O492" s="366"/>
      <c r="P492" s="366"/>
      <c r="Q492" s="366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8" t="s">
        <v>661</v>
      </c>
      <c r="O493" s="366"/>
      <c r="P493" s="366"/>
      <c r="Q493" s="366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63" t="s">
        <v>664</v>
      </c>
      <c r="O494" s="366"/>
      <c r="P494" s="366"/>
      <c r="Q494" s="366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9" t="s">
        <v>667</v>
      </c>
      <c r="O495" s="366"/>
      <c r="P495" s="366"/>
      <c r="Q495" s="366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57"/>
      <c r="C496" s="357"/>
      <c r="D496" s="357"/>
      <c r="E496" s="357"/>
      <c r="F496" s="357"/>
      <c r="G496" s="357"/>
      <c r="H496" s="357"/>
      <c r="I496" s="357"/>
      <c r="J496" s="357"/>
      <c r="K496" s="357"/>
      <c r="L496" s="357"/>
      <c r="M496" s="380"/>
      <c r="N496" s="360" t="s">
        <v>66</v>
      </c>
      <c r="O496" s="361"/>
      <c r="P496" s="361"/>
      <c r="Q496" s="361"/>
      <c r="R496" s="361"/>
      <c r="S496" s="361"/>
      <c r="T496" s="362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57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80"/>
      <c r="N497" s="360" t="s">
        <v>66</v>
      </c>
      <c r="O497" s="361"/>
      <c r="P497" s="361"/>
      <c r="Q497" s="361"/>
      <c r="R497" s="361"/>
      <c r="S497" s="361"/>
      <c r="T497" s="362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56" t="s">
        <v>97</v>
      </c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7" t="s">
        <v>670</v>
      </c>
      <c r="O499" s="366"/>
      <c r="P499" s="366"/>
      <c r="Q499" s="366"/>
      <c r="R499" s="359"/>
      <c r="S499" s="34"/>
      <c r="T499" s="34"/>
      <c r="U499" s="35" t="s">
        <v>65</v>
      </c>
      <c r="V499" s="352">
        <v>300</v>
      </c>
      <c r="W499" s="353">
        <f>IFERROR(IF(V499="",0,CEILING((V499/$H499),1)*$H499),"")</f>
        <v>302.40000000000003</v>
      </c>
      <c r="X499" s="36">
        <f>IFERROR(IF(W499=0,"",ROUNDUP(W499/H499,0)*0.02175),"")</f>
        <v>0.60899999999999999</v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1" t="s">
        <v>673</v>
      </c>
      <c r="O500" s="366"/>
      <c r="P500" s="366"/>
      <c r="Q500" s="366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87" t="s">
        <v>676</v>
      </c>
      <c r="O501" s="366"/>
      <c r="P501" s="366"/>
      <c r="Q501" s="366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9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0"/>
      <c r="N502" s="360" t="s">
        <v>66</v>
      </c>
      <c r="O502" s="361"/>
      <c r="P502" s="361"/>
      <c r="Q502" s="361"/>
      <c r="R502" s="361"/>
      <c r="S502" s="361"/>
      <c r="T502" s="362"/>
      <c r="U502" s="37" t="s">
        <v>67</v>
      </c>
      <c r="V502" s="354">
        <f>IFERROR(V499/H499,"0")+IFERROR(V500/H500,"0")+IFERROR(V501/H501,"0")</f>
        <v>27.777777777777775</v>
      </c>
      <c r="W502" s="354">
        <f>IFERROR(W499/H499,"0")+IFERROR(W500/H500,"0")+IFERROR(W501/H501,"0")</f>
        <v>28</v>
      </c>
      <c r="X502" s="354">
        <f>IFERROR(IF(X499="",0,X499),"0")+IFERROR(IF(X500="",0,X500),"0")+IFERROR(IF(X501="",0,X501),"0")</f>
        <v>0.60899999999999999</v>
      </c>
      <c r="Y502" s="355"/>
      <c r="Z502" s="355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0"/>
      <c r="N503" s="360" t="s">
        <v>66</v>
      </c>
      <c r="O503" s="361"/>
      <c r="P503" s="361"/>
      <c r="Q503" s="361"/>
      <c r="R503" s="361"/>
      <c r="S503" s="361"/>
      <c r="T503" s="362"/>
      <c r="U503" s="37" t="s">
        <v>65</v>
      </c>
      <c r="V503" s="354">
        <f>IFERROR(SUM(V499:V501),"0")</f>
        <v>300</v>
      </c>
      <c r="W503" s="354">
        <f>IFERROR(SUM(W499:W501),"0")</f>
        <v>302.40000000000003</v>
      </c>
      <c r="X503" s="37"/>
      <c r="Y503" s="355"/>
      <c r="Z503" s="355"/>
    </row>
    <row r="504" spans="1:53" ht="14.25" hidden="1" customHeight="1" x14ac:dyDescent="0.25">
      <c r="A504" s="356" t="s">
        <v>60</v>
      </c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8" t="s">
        <v>679</v>
      </c>
      <c r="O505" s="366"/>
      <c r="P505" s="366"/>
      <c r="Q505" s="366"/>
      <c r="R505" s="359"/>
      <c r="S505" s="34"/>
      <c r="T505" s="34"/>
      <c r="U505" s="35" t="s">
        <v>65</v>
      </c>
      <c r="V505" s="352">
        <v>100</v>
      </c>
      <c r="W505" s="353">
        <f>IFERROR(IF(V505="",0,CEILING((V505/$H505),1)*$H505),"")</f>
        <v>100.80000000000001</v>
      </c>
      <c r="X505" s="36">
        <f>IFERROR(IF(W505=0,"",ROUNDUP(W505/H505,0)*0.00753),"")</f>
        <v>0.18071999999999999</v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5" t="s">
        <v>682</v>
      </c>
      <c r="O506" s="366"/>
      <c r="P506" s="366"/>
      <c r="Q506" s="366"/>
      <c r="R506" s="359"/>
      <c r="S506" s="34"/>
      <c r="T506" s="34"/>
      <c r="U506" s="35" t="s">
        <v>65</v>
      </c>
      <c r="V506" s="352">
        <v>250</v>
      </c>
      <c r="W506" s="353">
        <f>IFERROR(IF(V506="",0,CEILING((V506/$H506),1)*$H506),"")</f>
        <v>252</v>
      </c>
      <c r="X506" s="36">
        <f>IFERROR(IF(W506=0,"",ROUNDUP(W506/H506,0)*0.00753),"")</f>
        <v>0.45180000000000003</v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7" t="s">
        <v>685</v>
      </c>
      <c r="O507" s="366"/>
      <c r="P507" s="366"/>
      <c r="Q507" s="366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4" t="s">
        <v>688</v>
      </c>
      <c r="O508" s="366"/>
      <c r="P508" s="366"/>
      <c r="Q508" s="366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9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80"/>
      <c r="N509" s="360" t="s">
        <v>66</v>
      </c>
      <c r="O509" s="361"/>
      <c r="P509" s="361"/>
      <c r="Q509" s="361"/>
      <c r="R509" s="361"/>
      <c r="S509" s="361"/>
      <c r="T509" s="362"/>
      <c r="U509" s="37" t="s">
        <v>67</v>
      </c>
      <c r="V509" s="354">
        <f>IFERROR(V505/H505,"0")+IFERROR(V506/H506,"0")+IFERROR(V507/H507,"0")+IFERROR(V508/H508,"0")</f>
        <v>83.333333333333329</v>
      </c>
      <c r="W509" s="354">
        <f>IFERROR(W505/H505,"0")+IFERROR(W506/H506,"0")+IFERROR(W507/H507,"0")+IFERROR(W508/H508,"0")</f>
        <v>84</v>
      </c>
      <c r="X509" s="354">
        <f>IFERROR(IF(X505="",0,X505),"0")+IFERROR(IF(X506="",0,X506),"0")+IFERROR(IF(X507="",0,X507),"0")+IFERROR(IF(X508="",0,X508),"0")</f>
        <v>0.63251999999999997</v>
      </c>
      <c r="Y509" s="355"/>
      <c r="Z509" s="355"/>
    </row>
    <row r="510" spans="1:53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80"/>
      <c r="N510" s="360" t="s">
        <v>66</v>
      </c>
      <c r="O510" s="361"/>
      <c r="P510" s="361"/>
      <c r="Q510" s="361"/>
      <c r="R510" s="361"/>
      <c r="S510" s="361"/>
      <c r="T510" s="362"/>
      <c r="U510" s="37" t="s">
        <v>65</v>
      </c>
      <c r="V510" s="354">
        <f>IFERROR(SUM(V505:V508),"0")</f>
        <v>350</v>
      </c>
      <c r="W510" s="354">
        <f>IFERROR(SUM(W505:W508),"0")</f>
        <v>352.8</v>
      </c>
      <c r="X510" s="37"/>
      <c r="Y510" s="355"/>
      <c r="Z510" s="355"/>
    </row>
    <row r="511" spans="1:53" ht="14.25" hidden="1" customHeight="1" x14ac:dyDescent="0.25">
      <c r="A511" s="356" t="s">
        <v>68</v>
      </c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6"/>
      <c r="P512" s="366"/>
      <c r="Q512" s="366"/>
      <c r="R512" s="359"/>
      <c r="S512" s="34"/>
      <c r="T512" s="34"/>
      <c r="U512" s="35" t="s">
        <v>65</v>
      </c>
      <c r="V512" s="352">
        <v>80</v>
      </c>
      <c r="W512" s="353">
        <f>IFERROR(IF(V512="",0,CEILING((V512/$H512),1)*$H512),"")</f>
        <v>85.8</v>
      </c>
      <c r="X512" s="36">
        <f>IFERROR(IF(W512=0,"",ROUNDUP(W512/H512,0)*0.02175),"")</f>
        <v>0.23924999999999999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33" t="s">
        <v>693</v>
      </c>
      <c r="O513" s="366"/>
      <c r="P513" s="366"/>
      <c r="Q513" s="366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9" t="s">
        <v>696</v>
      </c>
      <c r="O514" s="366"/>
      <c r="P514" s="366"/>
      <c r="Q514" s="366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3" t="s">
        <v>699</v>
      </c>
      <c r="O515" s="366"/>
      <c r="P515" s="366"/>
      <c r="Q515" s="366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3" t="s">
        <v>702</v>
      </c>
      <c r="O516" s="366"/>
      <c r="P516" s="366"/>
      <c r="Q516" s="366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9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80"/>
      <c r="N517" s="360" t="s">
        <v>66</v>
      </c>
      <c r="O517" s="361"/>
      <c r="P517" s="361"/>
      <c r="Q517" s="361"/>
      <c r="R517" s="361"/>
      <c r="S517" s="361"/>
      <c r="T517" s="362"/>
      <c r="U517" s="37" t="s">
        <v>67</v>
      </c>
      <c r="V517" s="354">
        <f>IFERROR(V512/H512,"0")+IFERROR(V513/H513,"0")+IFERROR(V514/H514,"0")+IFERROR(V515/H515,"0")+IFERROR(V516/H516,"0")</f>
        <v>10.256410256410257</v>
      </c>
      <c r="W517" s="354">
        <f>IFERROR(W512/H512,"0")+IFERROR(W513/H513,"0")+IFERROR(W514/H514,"0")+IFERROR(W515/H515,"0")+IFERROR(W516/H516,"0")</f>
        <v>11</v>
      </c>
      <c r="X517" s="354">
        <f>IFERROR(IF(X512="",0,X512),"0")+IFERROR(IF(X513="",0,X513),"0")+IFERROR(IF(X514="",0,X514),"0")+IFERROR(IF(X515="",0,X515),"0")+IFERROR(IF(X516="",0,X516),"0")</f>
        <v>0.23924999999999999</v>
      </c>
      <c r="Y517" s="355"/>
      <c r="Z517" s="355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80"/>
      <c r="N518" s="360" t="s">
        <v>66</v>
      </c>
      <c r="O518" s="361"/>
      <c r="P518" s="361"/>
      <c r="Q518" s="361"/>
      <c r="R518" s="361"/>
      <c r="S518" s="361"/>
      <c r="T518" s="362"/>
      <c r="U518" s="37" t="s">
        <v>65</v>
      </c>
      <c r="V518" s="354">
        <f>IFERROR(SUM(V512:V516),"0")</f>
        <v>80</v>
      </c>
      <c r="W518" s="354">
        <f>IFERROR(SUM(W512:W516),"0")</f>
        <v>85.8</v>
      </c>
      <c r="X518" s="37"/>
      <c r="Y518" s="355"/>
      <c r="Z518" s="355"/>
    </row>
    <row r="519" spans="1:53" ht="15" customHeight="1" x14ac:dyDescent="0.2">
      <c r="A519" s="371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72"/>
      <c r="N519" s="368" t="s">
        <v>703</v>
      </c>
      <c r="O519" s="369"/>
      <c r="P519" s="369"/>
      <c r="Q519" s="369"/>
      <c r="R519" s="369"/>
      <c r="S519" s="369"/>
      <c r="T519" s="370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6180.6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6288.64</v>
      </c>
      <c r="X519" s="37"/>
      <c r="Y519" s="355"/>
      <c r="Z519" s="355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72"/>
      <c r="N520" s="368" t="s">
        <v>704</v>
      </c>
      <c r="O520" s="369"/>
      <c r="P520" s="369"/>
      <c r="Q520" s="369"/>
      <c r="R520" s="369"/>
      <c r="S520" s="369"/>
      <c r="T520" s="370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6487.4817261282788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6601.5339999999987</v>
      </c>
      <c r="X520" s="37"/>
      <c r="Y520" s="355"/>
      <c r="Z520" s="355"/>
    </row>
    <row r="521" spans="1:53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72"/>
      <c r="N521" s="368" t="s">
        <v>705</v>
      </c>
      <c r="O521" s="369"/>
      <c r="P521" s="369"/>
      <c r="Q521" s="369"/>
      <c r="R521" s="369"/>
      <c r="S521" s="369"/>
      <c r="T521" s="370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11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11</v>
      </c>
      <c r="X521" s="37"/>
      <c r="Y521" s="355"/>
      <c r="Z521" s="355"/>
    </row>
    <row r="522" spans="1:53" x14ac:dyDescent="0.2">
      <c r="A522" s="357"/>
      <c r="B522" s="357"/>
      <c r="C522" s="357"/>
      <c r="D522" s="357"/>
      <c r="E522" s="357"/>
      <c r="F522" s="357"/>
      <c r="G522" s="357"/>
      <c r="H522" s="357"/>
      <c r="I522" s="357"/>
      <c r="J522" s="357"/>
      <c r="K522" s="357"/>
      <c r="L522" s="357"/>
      <c r="M522" s="372"/>
      <c r="N522" s="368" t="s">
        <v>707</v>
      </c>
      <c r="O522" s="369"/>
      <c r="P522" s="369"/>
      <c r="Q522" s="369"/>
      <c r="R522" s="369"/>
      <c r="S522" s="369"/>
      <c r="T522" s="370"/>
      <c r="U522" s="37" t="s">
        <v>65</v>
      </c>
      <c r="V522" s="354">
        <f>GrossWeightTotal+PalletQtyTotal*25</f>
        <v>6762.4817261282788</v>
      </c>
      <c r="W522" s="354">
        <f>GrossWeightTotalR+PalletQtyTotalR*25</f>
        <v>6876.5339999999987</v>
      </c>
      <c r="X522" s="37"/>
      <c r="Y522" s="355"/>
      <c r="Z522" s="355"/>
    </row>
    <row r="523" spans="1:53" x14ac:dyDescent="0.2">
      <c r="A523" s="357"/>
      <c r="B523" s="357"/>
      <c r="C523" s="357"/>
      <c r="D523" s="357"/>
      <c r="E523" s="357"/>
      <c r="F523" s="357"/>
      <c r="G523" s="357"/>
      <c r="H523" s="357"/>
      <c r="I523" s="357"/>
      <c r="J523" s="357"/>
      <c r="K523" s="357"/>
      <c r="L523" s="357"/>
      <c r="M523" s="372"/>
      <c r="N523" s="368" t="s">
        <v>708</v>
      </c>
      <c r="O523" s="369"/>
      <c r="P523" s="369"/>
      <c r="Q523" s="369"/>
      <c r="R523" s="369"/>
      <c r="S523" s="369"/>
      <c r="T523" s="370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805.41935395383678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819</v>
      </c>
      <c r="X523" s="37"/>
      <c r="Y523" s="355"/>
      <c r="Z523" s="355"/>
    </row>
    <row r="524" spans="1:53" ht="14.25" hidden="1" customHeight="1" x14ac:dyDescent="0.2">
      <c r="A524" s="357"/>
      <c r="B524" s="357"/>
      <c r="C524" s="357"/>
      <c r="D524" s="357"/>
      <c r="E524" s="357"/>
      <c r="F524" s="357"/>
      <c r="G524" s="357"/>
      <c r="H524" s="357"/>
      <c r="I524" s="357"/>
      <c r="J524" s="357"/>
      <c r="K524" s="357"/>
      <c r="L524" s="357"/>
      <c r="M524" s="372"/>
      <c r="N524" s="368" t="s">
        <v>709</v>
      </c>
      <c r="O524" s="369"/>
      <c r="P524" s="369"/>
      <c r="Q524" s="369"/>
      <c r="R524" s="369"/>
      <c r="S524" s="369"/>
      <c r="T524" s="370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12.445939999999998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3" t="s">
        <v>95</v>
      </c>
      <c r="D526" s="534"/>
      <c r="E526" s="534"/>
      <c r="F526" s="526"/>
      <c r="G526" s="363" t="s">
        <v>225</v>
      </c>
      <c r="H526" s="534"/>
      <c r="I526" s="534"/>
      <c r="J526" s="534"/>
      <c r="K526" s="534"/>
      <c r="L526" s="534"/>
      <c r="M526" s="534"/>
      <c r="N526" s="534"/>
      <c r="O526" s="526"/>
      <c r="P526" s="349" t="s">
        <v>460</v>
      </c>
      <c r="Q526" s="363" t="s">
        <v>464</v>
      </c>
      <c r="R526" s="526"/>
      <c r="S526" s="363" t="s">
        <v>517</v>
      </c>
      <c r="T526" s="526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6" t="s">
        <v>712</v>
      </c>
      <c r="B527" s="363" t="s">
        <v>59</v>
      </c>
      <c r="C527" s="363" t="s">
        <v>96</v>
      </c>
      <c r="D527" s="363" t="s">
        <v>104</v>
      </c>
      <c r="E527" s="363" t="s">
        <v>95</v>
      </c>
      <c r="F527" s="363" t="s">
        <v>217</v>
      </c>
      <c r="G527" s="363" t="s">
        <v>226</v>
      </c>
      <c r="H527" s="363" t="s">
        <v>233</v>
      </c>
      <c r="I527" s="363" t="s">
        <v>252</v>
      </c>
      <c r="J527" s="363" t="s">
        <v>311</v>
      </c>
      <c r="K527" s="350"/>
      <c r="L527" s="363" t="s">
        <v>332</v>
      </c>
      <c r="M527" s="363" t="s">
        <v>351</v>
      </c>
      <c r="N527" s="363" t="s">
        <v>431</v>
      </c>
      <c r="O527" s="363" t="s">
        <v>449</v>
      </c>
      <c r="P527" s="363" t="s">
        <v>461</v>
      </c>
      <c r="Q527" s="363" t="s">
        <v>465</v>
      </c>
      <c r="R527" s="363" t="s">
        <v>492</v>
      </c>
      <c r="S527" s="363" t="s">
        <v>518</v>
      </c>
      <c r="T527" s="363" t="s">
        <v>567</v>
      </c>
      <c r="U527" s="363" t="s">
        <v>591</v>
      </c>
      <c r="V527" s="363" t="s">
        <v>652</v>
      </c>
      <c r="Z527" s="52"/>
      <c r="AC527" s="350"/>
    </row>
    <row r="528" spans="1:53" ht="13.5" customHeight="1" thickBot="1" x14ac:dyDescent="0.25">
      <c r="A528" s="487"/>
      <c r="B528" s="364"/>
      <c r="C528" s="364"/>
      <c r="D528" s="364"/>
      <c r="E528" s="364"/>
      <c r="F528" s="364"/>
      <c r="G528" s="364"/>
      <c r="H528" s="364"/>
      <c r="I528" s="364"/>
      <c r="J528" s="364"/>
      <c r="K528" s="35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135</v>
      </c>
      <c r="D529" s="46">
        <f>IFERROR(W56*1,"0")+IFERROR(W57*1,"0")+IFERROR(W58*1,"0")+IFERROR(W59*1,"0")</f>
        <v>603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319.79999999999995</v>
      </c>
      <c r="F529" s="46">
        <f>IFERROR(W132*1,"0")+IFERROR(W133*1,"0")+IFERROR(W134*1,"0")+IFERROR(W135*1,"0")</f>
        <v>0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100.80000000000001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1282</v>
      </c>
      <c r="N529" s="46">
        <f>IFERROR(W290*1,"0")+IFERROR(W291*1,"0")+IFERROR(W292*1,"0")+IFERROR(W293*1,"0")+IFERROR(W294*1,"0")+IFERROR(W295*1,"0")+IFERROR(W296*1,"0")+IFERROR(W297*1,"0")+IFERROR(W301*1,"0")+IFERROR(W302*1,"0")</f>
        <v>438.6</v>
      </c>
      <c r="O529" s="46">
        <f>IFERROR(W307*1,"0")+IFERROR(W311*1,"0")+IFERROR(W312*1,"0")+IFERROR(W316*1,"0")+IFERROR(W320*1,"0")</f>
        <v>32.4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2212.8000000000002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21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6.72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395.52000000000004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741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0,00"/>
        <filter val="10,00"/>
        <filter val="10,26"/>
        <filter val="100,00"/>
        <filter val="11"/>
        <filter val="11,90"/>
        <filter val="119,26"/>
        <filter val="130,00"/>
        <filter val="135,00"/>
        <filter val="15,15"/>
        <filter val="150,00"/>
        <filter val="160,00"/>
        <filter val="170,00"/>
        <filter val="20,00"/>
        <filter val="20,32"/>
        <filter val="200,00"/>
        <filter val="220,00"/>
        <filter val="23,81"/>
        <filter val="25,00"/>
        <filter val="25,64"/>
        <filter val="250,00"/>
        <filter val="27,78"/>
        <filter val="3,33"/>
        <filter val="3,70"/>
        <filter val="3,85"/>
        <filter val="30,00"/>
        <filter val="300,00"/>
        <filter val="35,71"/>
        <filter val="350,00"/>
        <filter val="4,76"/>
        <filter val="40,00"/>
        <filter val="41,67"/>
        <filter val="425,00"/>
        <filter val="45,00"/>
        <filter val="450,00"/>
        <filter val="46,77"/>
        <filter val="495,00"/>
        <filter val="5,60"/>
        <filter val="50,00"/>
        <filter val="500,00"/>
        <filter val="51,30"/>
        <filter val="510,00"/>
        <filter val="525,00"/>
        <filter val="595,00"/>
        <filter val="6 180,60"/>
        <filter val="6 487,48"/>
        <filter val="6 762,48"/>
        <filter val="60,00"/>
        <filter val="63,33"/>
        <filter val="65,10"/>
        <filter val="70,00"/>
        <filter val="8,97"/>
        <filter val="80,00"/>
        <filter val="805,42"/>
        <filter val="83,33"/>
        <filter val="9,47"/>
        <filter val="950,00"/>
      </filters>
    </filterColumn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