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4C571C-98E9-4C27-8D00-6F8CA6A6BA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V486" i="1"/>
  <c r="W485" i="1"/>
  <c r="X485" i="1" s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X475" i="1" s="1"/>
  <c r="N475" i="1"/>
  <c r="V473" i="1"/>
  <c r="V472" i="1"/>
  <c r="W471" i="1"/>
  <c r="X471" i="1" s="1"/>
  <c r="N471" i="1"/>
  <c r="W470" i="1"/>
  <c r="W472" i="1" s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N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W377" i="1" s="1"/>
  <c r="N372" i="1"/>
  <c r="V370" i="1"/>
  <c r="V369" i="1"/>
  <c r="W368" i="1"/>
  <c r="X368" i="1" s="1"/>
  <c r="N368" i="1"/>
  <c r="W367" i="1"/>
  <c r="X367" i="1" s="1"/>
  <c r="X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6" i="1"/>
  <c r="V355" i="1"/>
  <c r="W354" i="1"/>
  <c r="W356" i="1" s="1"/>
  <c r="N354" i="1"/>
  <c r="V352" i="1"/>
  <c r="V351" i="1"/>
  <c r="W350" i="1"/>
  <c r="X350" i="1" s="1"/>
  <c r="N350" i="1"/>
  <c r="W349" i="1"/>
  <c r="W352" i="1" s="1"/>
  <c r="V347" i="1"/>
  <c r="V346" i="1"/>
  <c r="W345" i="1"/>
  <c r="X345" i="1" s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P529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X312" i="1" s="1"/>
  <c r="N312" i="1"/>
  <c r="W311" i="1"/>
  <c r="X311" i="1" s="1"/>
  <c r="X313" i="1" s="1"/>
  <c r="N311" i="1"/>
  <c r="V309" i="1"/>
  <c r="V308" i="1"/>
  <c r="W307" i="1"/>
  <c r="W309" i="1" s="1"/>
  <c r="N307" i="1"/>
  <c r="V304" i="1"/>
  <c r="V303" i="1"/>
  <c r="W302" i="1"/>
  <c r="X302" i="1" s="1"/>
  <c r="N302" i="1"/>
  <c r="W301" i="1"/>
  <c r="W304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W283" i="1"/>
  <c r="W287" i="1" s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W213" i="1" s="1"/>
  <c r="V203" i="1"/>
  <c r="V202" i="1"/>
  <c r="W201" i="1"/>
  <c r="X201" i="1" s="1"/>
  <c r="N201" i="1"/>
  <c r="W200" i="1"/>
  <c r="X200" i="1" s="1"/>
  <c r="N200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33" i="1" l="1"/>
  <c r="X467" i="1"/>
  <c r="X206" i="1"/>
  <c r="X212" i="1" s="1"/>
  <c r="W212" i="1"/>
  <c r="X215" i="1"/>
  <c r="X216" i="1" s="1"/>
  <c r="W216" i="1"/>
  <c r="L529" i="1"/>
  <c r="W281" i="1"/>
  <c r="X307" i="1"/>
  <c r="X308" i="1" s="1"/>
  <c r="W308" i="1"/>
  <c r="Q529" i="1"/>
  <c r="S529" i="1"/>
  <c r="X439" i="1"/>
  <c r="X440" i="1" s="1"/>
  <c r="W440" i="1"/>
  <c r="X443" i="1"/>
  <c r="X444" i="1" s="1"/>
  <c r="W444" i="1"/>
  <c r="X136" i="1"/>
  <c r="W202" i="1"/>
  <c r="W269" i="1"/>
  <c r="V522" i="1"/>
  <c r="X403" i="1"/>
  <c r="X481" i="1"/>
  <c r="X103" i="1"/>
  <c r="X274" i="1"/>
  <c r="X410" i="1"/>
  <c r="V523" i="1"/>
  <c r="X36" i="1"/>
  <c r="X37" i="1" s="1"/>
  <c r="W37" i="1"/>
  <c r="X40" i="1"/>
  <c r="X41" i="1" s="1"/>
  <c r="W41" i="1"/>
  <c r="X44" i="1"/>
  <c r="X45" i="1" s="1"/>
  <c r="W45" i="1"/>
  <c r="W53" i="1"/>
  <c r="D529" i="1"/>
  <c r="E529" i="1"/>
  <c r="X166" i="1"/>
  <c r="X168" i="1" s="1"/>
  <c r="W196" i="1"/>
  <c r="X198" i="1"/>
  <c r="M529" i="1"/>
  <c r="X259" i="1"/>
  <c r="X268" i="1" s="1"/>
  <c r="W275" i="1"/>
  <c r="X283" i="1"/>
  <c r="X286" i="1" s="1"/>
  <c r="W313" i="1"/>
  <c r="X343" i="1"/>
  <c r="X346" i="1" s="1"/>
  <c r="X354" i="1"/>
  <c r="X355" i="1" s="1"/>
  <c r="W355" i="1"/>
  <c r="W369" i="1"/>
  <c r="X379" i="1"/>
  <c r="X380" i="1" s="1"/>
  <c r="W380" i="1"/>
  <c r="W387" i="1"/>
  <c r="W437" i="1"/>
  <c r="F9" i="1"/>
  <c r="J9" i="1"/>
  <c r="F10" i="1"/>
  <c r="X22" i="1"/>
  <c r="X23" i="1" s="1"/>
  <c r="V519" i="1"/>
  <c r="X26" i="1"/>
  <c r="X33" i="1" s="1"/>
  <c r="W34" i="1"/>
  <c r="C529" i="1"/>
  <c r="X51" i="1"/>
  <c r="X52" i="1" s="1"/>
  <c r="W52" i="1"/>
  <c r="X56" i="1"/>
  <c r="X60" i="1" s="1"/>
  <c r="W60" i="1"/>
  <c r="X64" i="1"/>
  <c r="X85" i="1" s="1"/>
  <c r="W85" i="1"/>
  <c r="W103" i="1"/>
  <c r="W104" i="1"/>
  <c r="W118" i="1"/>
  <c r="X106" i="1"/>
  <c r="X118" i="1" s="1"/>
  <c r="W136" i="1"/>
  <c r="W137" i="1"/>
  <c r="G529" i="1"/>
  <c r="W144" i="1"/>
  <c r="X141" i="1"/>
  <c r="X144" i="1" s="1"/>
  <c r="W169" i="1"/>
  <c r="W176" i="1"/>
  <c r="X171" i="1"/>
  <c r="X175" i="1" s="1"/>
  <c r="W175" i="1"/>
  <c r="X195" i="1"/>
  <c r="W195" i="1"/>
  <c r="X199" i="1"/>
  <c r="X202" i="1" s="1"/>
  <c r="W203" i="1"/>
  <c r="H9" i="1"/>
  <c r="W521" i="1"/>
  <c r="W520" i="1"/>
  <c r="B529" i="1"/>
  <c r="W24" i="1"/>
  <c r="W61" i="1"/>
  <c r="W86" i="1"/>
  <c r="W93" i="1"/>
  <c r="X88" i="1"/>
  <c r="X92" i="1" s="1"/>
  <c r="W92" i="1"/>
  <c r="W119" i="1"/>
  <c r="W129" i="1"/>
  <c r="X121" i="1"/>
  <c r="X128" i="1" s="1"/>
  <c r="W128" i="1"/>
  <c r="W145" i="1"/>
  <c r="H529" i="1"/>
  <c r="W157" i="1"/>
  <c r="X148" i="1"/>
  <c r="X157" i="1" s="1"/>
  <c r="W158" i="1"/>
  <c r="I529" i="1"/>
  <c r="W164" i="1"/>
  <c r="X161" i="1"/>
  <c r="X163" i="1" s="1"/>
  <c r="X298" i="1"/>
  <c r="X364" i="1"/>
  <c r="W227" i="1"/>
  <c r="W246" i="1"/>
  <c r="W250" i="1"/>
  <c r="W256" i="1"/>
  <c r="W268" i="1"/>
  <c r="W274" i="1"/>
  <c r="W280" i="1"/>
  <c r="W286" i="1"/>
  <c r="W299" i="1"/>
  <c r="W303" i="1"/>
  <c r="W314" i="1"/>
  <c r="W318" i="1"/>
  <c r="W322" i="1"/>
  <c r="W328" i="1"/>
  <c r="W340" i="1"/>
  <c r="W346" i="1"/>
  <c r="W351" i="1"/>
  <c r="W364" i="1"/>
  <c r="W370" i="1"/>
  <c r="W376" i="1"/>
  <c r="W403" i="1"/>
  <c r="W421" i="1"/>
  <c r="T529" i="1"/>
  <c r="W427" i="1"/>
  <c r="X424" i="1"/>
  <c r="X426" i="1" s="1"/>
  <c r="W436" i="1"/>
  <c r="W482" i="1"/>
  <c r="W487" i="1"/>
  <c r="X484" i="1"/>
  <c r="X486" i="1" s="1"/>
  <c r="W510" i="1"/>
  <c r="W517" i="1"/>
  <c r="X512" i="1"/>
  <c r="X517" i="1" s="1"/>
  <c r="W518" i="1"/>
  <c r="F529" i="1"/>
  <c r="J529" i="1"/>
  <c r="O529" i="1"/>
  <c r="X220" i="1"/>
  <c r="X226" i="1" s="1"/>
  <c r="W226" i="1"/>
  <c r="X230" i="1"/>
  <c r="X245" i="1" s="1"/>
  <c r="W245" i="1"/>
  <c r="X248" i="1"/>
  <c r="X249" i="1" s="1"/>
  <c r="X252" i="1"/>
  <c r="X256" i="1" s="1"/>
  <c r="X277" i="1"/>
  <c r="X280" i="1" s="1"/>
  <c r="N529" i="1"/>
  <c r="W298" i="1"/>
  <c r="X301" i="1"/>
  <c r="X303" i="1" s="1"/>
  <c r="X316" i="1"/>
  <c r="X317" i="1" s="1"/>
  <c r="X320" i="1"/>
  <c r="X321" i="1" s="1"/>
  <c r="X326" i="1"/>
  <c r="X327" i="1" s="1"/>
  <c r="W327" i="1"/>
  <c r="X332" i="1"/>
  <c r="X340" i="1" s="1"/>
  <c r="W341" i="1"/>
  <c r="X349" i="1"/>
  <c r="X351" i="1" s="1"/>
  <c r="R529" i="1"/>
  <c r="W365" i="1"/>
  <c r="X372" i="1"/>
  <c r="X376" i="1" s="1"/>
  <c r="W388" i="1"/>
  <c r="X385" i="1"/>
  <c r="X387" i="1" s="1"/>
  <c r="W404" i="1"/>
  <c r="W410" i="1"/>
  <c r="W411" i="1"/>
  <c r="W414" i="1"/>
  <c r="X413" i="1"/>
  <c r="X414" i="1" s="1"/>
  <c r="W415" i="1"/>
  <c r="W420" i="1"/>
  <c r="X417" i="1"/>
  <c r="X420" i="1" s="1"/>
  <c r="W426" i="1"/>
  <c r="X436" i="1"/>
  <c r="W467" i="1"/>
  <c r="W468" i="1"/>
  <c r="W473" i="1"/>
  <c r="X470" i="1"/>
  <c r="X472" i="1" s="1"/>
  <c r="W481" i="1"/>
  <c r="W486" i="1"/>
  <c r="V529" i="1"/>
  <c r="W496" i="1"/>
  <c r="X491" i="1"/>
  <c r="X496" i="1" s="1"/>
  <c r="W497" i="1"/>
  <c r="W509" i="1"/>
  <c r="X505" i="1"/>
  <c r="X509" i="1" s="1"/>
  <c r="U529" i="1"/>
  <c r="W523" i="1" l="1"/>
  <c r="W519" i="1"/>
  <c r="W522" i="1"/>
  <c r="X524" i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<sst xmlns="http://schemas.openxmlformats.org/spreadsheetml/2006/main" count="2228" uniqueCount="734">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</sst>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502" t="s">
        <v>0</v>
      </c>
      <c r="E1" s="362"/>
      <c r="F1" s="362"/>
      <c r="G1" s="12" t="s">
        <v>1</v>
      </c>
      <c r="H1" s="502" t="s">
        <v>2</v>
      </c>
      <c r="I1" s="362"/>
      <c r="J1" s="362"/>
      <c r="K1" s="362"/>
      <c r="L1" s="362"/>
      <c r="M1" s="362"/>
      <c r="N1" s="362"/>
      <c r="O1" s="362"/>
      <c r="P1" s="361" t="s">
        <v>3</v>
      </c>
      <c r="Q1" s="362"/>
      <c r="R1" s="3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6"/>
      <c r="P2" s="376"/>
      <c r="Q2" s="376"/>
      <c r="R2" s="376"/>
      <c r="S2" s="376"/>
      <c r="T2" s="376"/>
      <c r="U2" s="376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6"/>
      <c r="O3" s="376"/>
      <c r="P3" s="376"/>
      <c r="Q3" s="376"/>
      <c r="R3" s="376"/>
      <c r="S3" s="376"/>
      <c r="T3" s="376"/>
      <c r="U3" s="376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92" t="s">
        <v>8</v>
      </c>
      <c r="B5" s="373"/>
      <c r="C5" s="374"/>
      <c r="D5" s="640"/>
      <c r="E5" s="641"/>
      <c r="F5" s="431" t="s">
        <v>9</v>
      </c>
      <c r="G5" s="374"/>
      <c r="H5" s="640" t="s">
        <v>733</v>
      </c>
      <c r="I5" s="693"/>
      <c r="J5" s="693"/>
      <c r="K5" s="693"/>
      <c r="L5" s="641"/>
      <c r="N5" s="24" t="s">
        <v>10</v>
      </c>
      <c r="O5" s="411">
        <v>45360</v>
      </c>
      <c r="P5" s="412"/>
      <c r="R5" s="370" t="s">
        <v>11</v>
      </c>
      <c r="S5" s="371"/>
      <c r="T5" s="555" t="s">
        <v>12</v>
      </c>
      <c r="U5" s="412"/>
      <c r="Z5" s="51"/>
      <c r="AA5" s="51"/>
      <c r="AB5" s="51"/>
    </row>
    <row r="6" spans="1:29" s="350" customFormat="1" ht="24" customHeight="1" x14ac:dyDescent="0.2">
      <c r="A6" s="592" t="s">
        <v>13</v>
      </c>
      <c r="B6" s="373"/>
      <c r="C6" s="374"/>
      <c r="D6" s="469" t="s">
        <v>14</v>
      </c>
      <c r="E6" s="470"/>
      <c r="F6" s="470"/>
      <c r="G6" s="470"/>
      <c r="H6" s="470"/>
      <c r="I6" s="470"/>
      <c r="J6" s="470"/>
      <c r="K6" s="470"/>
      <c r="L6" s="412"/>
      <c r="N6" s="24" t="s">
        <v>15</v>
      </c>
      <c r="O6" s="635" t="str">
        <f>IF(O5=0," ",CHOOSE(WEEKDAY(O5,2),"Понедельник","Вторник","Среда","Четверг","Пятница","Суббота","Воскресенье"))</f>
        <v>Суббота</v>
      </c>
      <c r="P6" s="360"/>
      <c r="R6" s="666" t="s">
        <v>16</v>
      </c>
      <c r="S6" s="371"/>
      <c r="T6" s="561" t="s">
        <v>17</v>
      </c>
      <c r="U6" s="562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82"/>
      <c r="N7" s="24"/>
      <c r="O7" s="42"/>
      <c r="P7" s="42"/>
      <c r="R7" s="376"/>
      <c r="S7" s="371"/>
      <c r="T7" s="563"/>
      <c r="U7" s="564"/>
      <c r="Z7" s="51"/>
      <c r="AA7" s="51"/>
      <c r="AB7" s="51"/>
    </row>
    <row r="8" spans="1:29" s="350" customFormat="1" ht="25.5" customHeight="1" x14ac:dyDescent="0.2">
      <c r="A8" s="394" t="s">
        <v>18</v>
      </c>
      <c r="B8" s="380"/>
      <c r="C8" s="381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57">
        <v>0.33333333333333331</v>
      </c>
      <c r="P8" s="412"/>
      <c r="R8" s="376"/>
      <c r="S8" s="371"/>
      <c r="T8" s="563"/>
      <c r="U8" s="564"/>
      <c r="Z8" s="51"/>
      <c r="AA8" s="51"/>
      <c r="AB8" s="51"/>
    </row>
    <row r="9" spans="1:29" s="350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461"/>
      <c r="E9" s="402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N9" s="26" t="s">
        <v>20</v>
      </c>
      <c r="O9" s="411"/>
      <c r="P9" s="412"/>
      <c r="R9" s="376"/>
      <c r="S9" s="371"/>
      <c r="T9" s="565"/>
      <c r="U9" s="566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461"/>
      <c r="E10" s="402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487" t="str">
        <f>IFERROR(VLOOKUP($D$10,Proxy,2,FALSE),"")</f>
        <v/>
      </c>
      <c r="I10" s="376"/>
      <c r="J10" s="376"/>
      <c r="K10" s="376"/>
      <c r="L10" s="376"/>
      <c r="N10" s="26" t="s">
        <v>21</v>
      </c>
      <c r="O10" s="457"/>
      <c r="P10" s="412"/>
      <c r="S10" s="24" t="s">
        <v>22</v>
      </c>
      <c r="T10" s="700" t="s">
        <v>23</v>
      </c>
      <c r="U10" s="562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7"/>
      <c r="P11" s="412"/>
      <c r="S11" s="24" t="s">
        <v>26</v>
      </c>
      <c r="T11" s="439" t="s">
        <v>27</v>
      </c>
      <c r="U11" s="440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32" t="s">
        <v>28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4"/>
      <c r="N12" s="24" t="s">
        <v>29</v>
      </c>
      <c r="O12" s="481"/>
      <c r="P12" s="482"/>
      <c r="Q12" s="23"/>
      <c r="S12" s="24"/>
      <c r="T12" s="362"/>
      <c r="U12" s="376"/>
      <c r="Z12" s="51"/>
      <c r="AA12" s="51"/>
      <c r="AB12" s="51"/>
    </row>
    <row r="13" spans="1:29" s="350" customFormat="1" ht="23.25" customHeight="1" x14ac:dyDescent="0.2">
      <c r="A13" s="432" t="s">
        <v>30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4"/>
      <c r="M13" s="26"/>
      <c r="N13" s="26" t="s">
        <v>31</v>
      </c>
      <c r="O13" s="439"/>
      <c r="P13" s="440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32" t="s">
        <v>32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382" t="s">
        <v>33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4"/>
      <c r="N15" s="579" t="s">
        <v>34</v>
      </c>
      <c r="O15" s="362"/>
      <c r="P15" s="362"/>
      <c r="Q15" s="362"/>
      <c r="R15" s="3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0"/>
      <c r="O16" s="580"/>
      <c r="P16" s="580"/>
      <c r="Q16" s="580"/>
      <c r="R16" s="58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601" t="s">
        <v>37</v>
      </c>
      <c r="D17" s="365" t="s">
        <v>38</v>
      </c>
      <c r="E17" s="36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623"/>
      <c r="P17" s="623"/>
      <c r="Q17" s="623"/>
      <c r="R17" s="366"/>
      <c r="S17" s="404" t="s">
        <v>48</v>
      </c>
      <c r="T17" s="374"/>
      <c r="U17" s="365" t="s">
        <v>49</v>
      </c>
      <c r="V17" s="365" t="s">
        <v>50</v>
      </c>
      <c r="W17" s="684" t="s">
        <v>51</v>
      </c>
      <c r="X17" s="365" t="s">
        <v>52</v>
      </c>
      <c r="Y17" s="392" t="s">
        <v>53</v>
      </c>
      <c r="Z17" s="392" t="s">
        <v>54</v>
      </c>
      <c r="AA17" s="392" t="s">
        <v>55</v>
      </c>
      <c r="AB17" s="679"/>
      <c r="AC17" s="680"/>
      <c r="AD17" s="602"/>
      <c r="BA17" s="671" t="s">
        <v>56</v>
      </c>
    </row>
    <row r="18" spans="1:53" ht="14.25" customHeight="1" x14ac:dyDescent="0.2">
      <c r="A18" s="386"/>
      <c r="B18" s="386"/>
      <c r="C18" s="386"/>
      <c r="D18" s="367"/>
      <c r="E18" s="368"/>
      <c r="F18" s="386"/>
      <c r="G18" s="386"/>
      <c r="H18" s="386"/>
      <c r="I18" s="386"/>
      <c r="J18" s="386"/>
      <c r="K18" s="386"/>
      <c r="L18" s="386"/>
      <c r="M18" s="386"/>
      <c r="N18" s="367"/>
      <c r="O18" s="624"/>
      <c r="P18" s="624"/>
      <c r="Q18" s="624"/>
      <c r="R18" s="368"/>
      <c r="S18" s="349" t="s">
        <v>57</v>
      </c>
      <c r="T18" s="349" t="s">
        <v>58</v>
      </c>
      <c r="U18" s="386"/>
      <c r="V18" s="386"/>
      <c r="W18" s="685"/>
      <c r="X18" s="386"/>
      <c r="Y18" s="393"/>
      <c r="Z18" s="393"/>
      <c r="AA18" s="681"/>
      <c r="AB18" s="682"/>
      <c r="AC18" s="683"/>
      <c r="AD18" s="603"/>
      <c r="BA18" s="376"/>
    </row>
    <row r="19" spans="1:53" ht="27.75" hidden="1" customHeight="1" x14ac:dyDescent="0.2">
      <c r="A19" s="434" t="s">
        <v>59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8"/>
      <c r="Z19" s="48"/>
    </row>
    <row r="20" spans="1:53" ht="16.5" hidden="1" customHeight="1" x14ac:dyDescent="0.25">
      <c r="A20" s="383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48"/>
      <c r="Z20" s="348"/>
    </row>
    <row r="21" spans="1:53" ht="14.25" hidden="1" customHeight="1" x14ac:dyDescent="0.25">
      <c r="A21" s="384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7"/>
      <c r="N23" s="379" t="s">
        <v>66</v>
      </c>
      <c r="O23" s="380"/>
      <c r="P23" s="380"/>
      <c r="Q23" s="380"/>
      <c r="R23" s="380"/>
      <c r="S23" s="380"/>
      <c r="T23" s="381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7"/>
      <c r="N24" s="379" t="s">
        <v>66</v>
      </c>
      <c r="O24" s="380"/>
      <c r="P24" s="380"/>
      <c r="Q24" s="380"/>
      <c r="R24" s="380"/>
      <c r="S24" s="380"/>
      <c r="T24" s="381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84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9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9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9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0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9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9" t="s">
        <v>80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9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7"/>
      <c r="N33" s="379" t="s">
        <v>66</v>
      </c>
      <c r="O33" s="380"/>
      <c r="P33" s="380"/>
      <c r="Q33" s="380"/>
      <c r="R33" s="380"/>
      <c r="S33" s="380"/>
      <c r="T33" s="381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7"/>
      <c r="N34" s="379" t="s">
        <v>66</v>
      </c>
      <c r="O34" s="380"/>
      <c r="P34" s="380"/>
      <c r="Q34" s="380"/>
      <c r="R34" s="380"/>
      <c r="S34" s="380"/>
      <c r="T34" s="381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84" t="s">
        <v>83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9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7"/>
      <c r="N37" s="379" t="s">
        <v>66</v>
      </c>
      <c r="O37" s="380"/>
      <c r="P37" s="380"/>
      <c r="Q37" s="380"/>
      <c r="R37" s="380"/>
      <c r="S37" s="380"/>
      <c r="T37" s="381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7"/>
      <c r="N38" s="379" t="s">
        <v>66</v>
      </c>
      <c r="O38" s="380"/>
      <c r="P38" s="380"/>
      <c r="Q38" s="380"/>
      <c r="R38" s="380"/>
      <c r="S38" s="380"/>
      <c r="T38" s="381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84" t="s">
        <v>88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9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7"/>
      <c r="N41" s="379" t="s">
        <v>66</v>
      </c>
      <c r="O41" s="380"/>
      <c r="P41" s="380"/>
      <c r="Q41" s="380"/>
      <c r="R41" s="380"/>
      <c r="S41" s="380"/>
      <c r="T41" s="381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7"/>
      <c r="N42" s="379" t="s">
        <v>66</v>
      </c>
      <c r="O42" s="380"/>
      <c r="P42" s="380"/>
      <c r="Q42" s="380"/>
      <c r="R42" s="380"/>
      <c r="S42" s="380"/>
      <c r="T42" s="381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84" t="s">
        <v>92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9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7"/>
      <c r="N45" s="379" t="s">
        <v>66</v>
      </c>
      <c r="O45" s="380"/>
      <c r="P45" s="380"/>
      <c r="Q45" s="380"/>
      <c r="R45" s="380"/>
      <c r="S45" s="380"/>
      <c r="T45" s="381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7"/>
      <c r="N46" s="379" t="s">
        <v>66</v>
      </c>
      <c r="O46" s="380"/>
      <c r="P46" s="380"/>
      <c r="Q46" s="380"/>
      <c r="R46" s="380"/>
      <c r="S46" s="380"/>
      <c r="T46" s="381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34" t="s">
        <v>95</v>
      </c>
      <c r="B47" s="435"/>
      <c r="C47" s="435"/>
      <c r="D47" s="435"/>
      <c r="E47" s="435"/>
      <c r="F47" s="435"/>
      <c r="G47" s="435"/>
      <c r="H47" s="435"/>
      <c r="I47" s="435"/>
      <c r="J47" s="435"/>
      <c r="K47" s="435"/>
      <c r="L47" s="435"/>
      <c r="M47" s="435"/>
      <c r="N47" s="435"/>
      <c r="O47" s="435"/>
      <c r="P47" s="435"/>
      <c r="Q47" s="435"/>
      <c r="R47" s="435"/>
      <c r="S47" s="435"/>
      <c r="T47" s="435"/>
      <c r="U47" s="435"/>
      <c r="V47" s="435"/>
      <c r="W47" s="435"/>
      <c r="X47" s="435"/>
      <c r="Y47" s="48"/>
      <c r="Z47" s="48"/>
    </row>
    <row r="48" spans="1:53" ht="16.5" hidden="1" customHeight="1" x14ac:dyDescent="0.25">
      <c r="A48" s="383" t="s">
        <v>96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48"/>
      <c r="Z48" s="348"/>
    </row>
    <row r="49" spans="1:53" ht="14.25" hidden="1" customHeight="1" x14ac:dyDescent="0.25">
      <c r="A49" s="384" t="s">
        <v>97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9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60</v>
      </c>
      <c r="W50" s="353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69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202.5</v>
      </c>
      <c r="W51" s="353">
        <f>IFERROR(IF(V51="",0,CEILING((V51/$H51),1)*$H51),"")</f>
        <v>202.5</v>
      </c>
      <c r="X51" s="36">
        <f>IFERROR(IF(W51=0,"",ROUNDUP(W51/H51,0)*0.00753),"")</f>
        <v>0.56474999999999997</v>
      </c>
      <c r="Y51" s="56"/>
      <c r="Z51" s="57"/>
      <c r="AD51" s="58"/>
      <c r="BA51" s="71" t="s">
        <v>1</v>
      </c>
    </row>
    <row r="52" spans="1:53" x14ac:dyDescent="0.2">
      <c r="A52" s="375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7"/>
      <c r="N52" s="379" t="s">
        <v>66</v>
      </c>
      <c r="O52" s="380"/>
      <c r="P52" s="380"/>
      <c r="Q52" s="380"/>
      <c r="R52" s="380"/>
      <c r="S52" s="380"/>
      <c r="T52" s="381"/>
      <c r="U52" s="37" t="s">
        <v>67</v>
      </c>
      <c r="V52" s="354">
        <f>IFERROR(V50/H50,"0")+IFERROR(V51/H51,"0")</f>
        <v>80.555555555555557</v>
      </c>
      <c r="W52" s="354">
        <f>IFERROR(W50/H50,"0")+IFERROR(W51/H51,"0")</f>
        <v>81</v>
      </c>
      <c r="X52" s="354">
        <f>IFERROR(IF(X50="",0,X50),"0")+IFERROR(IF(X51="",0,X51),"0")</f>
        <v>0.69524999999999992</v>
      </c>
      <c r="Y52" s="355"/>
      <c r="Z52" s="355"/>
    </row>
    <row r="53" spans="1:53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7"/>
      <c r="N53" s="379" t="s">
        <v>66</v>
      </c>
      <c r="O53" s="380"/>
      <c r="P53" s="380"/>
      <c r="Q53" s="380"/>
      <c r="R53" s="380"/>
      <c r="S53" s="380"/>
      <c r="T53" s="381"/>
      <c r="U53" s="37" t="s">
        <v>65</v>
      </c>
      <c r="V53" s="354">
        <f>IFERROR(SUM(V50:V51),"0")</f>
        <v>262.5</v>
      </c>
      <c r="W53" s="354">
        <f>IFERROR(SUM(W50:W51),"0")</f>
        <v>267.3</v>
      </c>
      <c r="X53" s="37"/>
      <c r="Y53" s="355"/>
      <c r="Z53" s="355"/>
    </row>
    <row r="54" spans="1:53" ht="16.5" hidden="1" customHeight="1" x14ac:dyDescent="0.25">
      <c r="A54" s="383" t="s">
        <v>104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48"/>
      <c r="Z54" s="348"/>
    </row>
    <row r="55" spans="1:53" ht="14.25" hidden="1" customHeight="1" x14ac:dyDescent="0.25">
      <c r="A55" s="384" t="s">
        <v>105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9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150</v>
      </c>
      <c r="W56" s="353">
        <f>IFERROR(IF(V56="",0,CEILING((V56/$H56),1)*$H56),"")</f>
        <v>151.20000000000002</v>
      </c>
      <c r="X56" s="36">
        <f>IFERROR(IF(W56=0,"",ROUNDUP(W56/H56,0)*0.02175),"")</f>
        <v>0.30449999999999999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9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9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225</v>
      </c>
      <c r="W58" s="353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9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7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5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7"/>
      <c r="N60" s="379" t="s">
        <v>66</v>
      </c>
      <c r="O60" s="380"/>
      <c r="P60" s="380"/>
      <c r="Q60" s="380"/>
      <c r="R60" s="380"/>
      <c r="S60" s="380"/>
      <c r="T60" s="381"/>
      <c r="U60" s="37" t="s">
        <v>67</v>
      </c>
      <c r="V60" s="354">
        <f>IFERROR(V56/H56,"0")+IFERROR(V57/H57,"0")+IFERROR(V58/H58,"0")+IFERROR(V59/H59,"0")</f>
        <v>63.888888888888886</v>
      </c>
      <c r="W60" s="354">
        <f>IFERROR(W56/H56,"0")+IFERROR(W57/H57,"0")+IFERROR(W58/H58,"0")+IFERROR(W59/H59,"0")</f>
        <v>64</v>
      </c>
      <c r="X60" s="354">
        <f>IFERROR(IF(X56="",0,X56),"0")+IFERROR(IF(X57="",0,X57),"0")+IFERROR(IF(X58="",0,X58),"0")+IFERROR(IF(X59="",0,X59),"0")</f>
        <v>0.77299999999999991</v>
      </c>
      <c r="Y60" s="355"/>
      <c r="Z60" s="355"/>
    </row>
    <row r="61" spans="1:53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7"/>
      <c r="N61" s="379" t="s">
        <v>66</v>
      </c>
      <c r="O61" s="380"/>
      <c r="P61" s="380"/>
      <c r="Q61" s="380"/>
      <c r="R61" s="380"/>
      <c r="S61" s="380"/>
      <c r="T61" s="381"/>
      <c r="U61" s="37" t="s">
        <v>65</v>
      </c>
      <c r="V61" s="354">
        <f>IFERROR(SUM(V56:V59),"0")</f>
        <v>375</v>
      </c>
      <c r="W61" s="354">
        <f>IFERROR(SUM(W56:W59),"0")</f>
        <v>376.20000000000005</v>
      </c>
      <c r="X61" s="37"/>
      <c r="Y61" s="355"/>
      <c r="Z61" s="355"/>
    </row>
    <row r="62" spans="1:53" ht="16.5" hidden="1" customHeight="1" x14ac:dyDescent="0.25">
      <c r="A62" s="383" t="s">
        <v>95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48"/>
      <c r="Z62" s="348"/>
    </row>
    <row r="63" spans="1:53" ht="14.25" hidden="1" customHeight="1" x14ac:dyDescent="0.25">
      <c r="A63" s="384" t="s">
        <v>105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69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30</v>
      </c>
      <c r="W64" s="353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9">
        <v>4607091385670</v>
      </c>
      <c r="E65" s="360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9"/>
      <c r="P65" s="359"/>
      <c r="Q65" s="359"/>
      <c r="R65" s="360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9">
        <v>4607091385670</v>
      </c>
      <c r="E66" s="360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9"/>
      <c r="P66" s="359"/>
      <c r="Q66" s="359"/>
      <c r="R66" s="360"/>
      <c r="S66" s="34"/>
      <c r="T66" s="34"/>
      <c r="U66" s="35" t="s">
        <v>65</v>
      </c>
      <c r="V66" s="352">
        <v>200</v>
      </c>
      <c r="W66" s="353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9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9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200</v>
      </c>
      <c r="W68" s="353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9">
        <v>4680115882133</v>
      </c>
      <c r="E69" s="360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60</v>
      </c>
      <c r="W69" s="353">
        <f t="shared" si="2"/>
        <v>67.199999999999989</v>
      </c>
      <c r="X69" s="36">
        <f t="shared" si="3"/>
        <v>0.1305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9">
        <v>4680115882133</v>
      </c>
      <c r="E70" s="360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9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35</v>
      </c>
      <c r="W71" s="353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9">
        <v>4607091385687</v>
      </c>
      <c r="E72" s="360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9"/>
      <c r="P72" s="359"/>
      <c r="Q72" s="359"/>
      <c r="R72" s="360"/>
      <c r="S72" s="34"/>
      <c r="T72" s="34"/>
      <c r="U72" s="35" t="s">
        <v>65</v>
      </c>
      <c r="V72" s="352">
        <v>156</v>
      </c>
      <c r="W72" s="353">
        <f t="shared" si="2"/>
        <v>156</v>
      </c>
      <c r="X72" s="36">
        <f t="shared" ref="X72:X78" si="4">IFERROR(IF(W72=0,"",ROUNDUP(W72/H72,0)*0.00937),"")</f>
        <v>0.36542999999999998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9">
        <v>4680115882539</v>
      </c>
      <c r="E73" s="360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9"/>
      <c r="P73" s="359"/>
      <c r="Q73" s="359"/>
      <c r="R73" s="360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9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7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9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9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9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9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315</v>
      </c>
      <c r="W78" s="353">
        <f t="shared" si="2"/>
        <v>315</v>
      </c>
      <c r="X78" s="36">
        <f t="shared" si="4"/>
        <v>0.65590000000000004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9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80</v>
      </c>
      <c r="W79" s="353">
        <f t="shared" si="2"/>
        <v>80</v>
      </c>
      <c r="X79" s="36">
        <f>IFERROR(IF(W79=0,"",ROUNDUP(W79/H79,0)*0.00753),"")</f>
        <v>0.18825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9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9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6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9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69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495</v>
      </c>
      <c r="W83" s="353">
        <f t="shared" si="2"/>
        <v>495</v>
      </c>
      <c r="X83" s="36">
        <f>IFERROR(IF(W83=0,"",ROUNDUP(W83/H83,0)*0.00937),"")</f>
        <v>1.0306999999999999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9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4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5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7"/>
      <c r="N85" s="379" t="s">
        <v>66</v>
      </c>
      <c r="O85" s="380"/>
      <c r="P85" s="380"/>
      <c r="Q85" s="380"/>
      <c r="R85" s="380"/>
      <c r="S85" s="380"/>
      <c r="T85" s="381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300.07804232804233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302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3.33114</v>
      </c>
      <c r="Y85" s="355"/>
      <c r="Z85" s="355"/>
    </row>
    <row r="86" spans="1:53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7"/>
      <c r="N86" s="379" t="s">
        <v>66</v>
      </c>
      <c r="O86" s="380"/>
      <c r="P86" s="380"/>
      <c r="Q86" s="380"/>
      <c r="R86" s="380"/>
      <c r="S86" s="380"/>
      <c r="T86" s="381"/>
      <c r="U86" s="37" t="s">
        <v>65</v>
      </c>
      <c r="V86" s="354">
        <f>IFERROR(SUM(V64:V84),"0")</f>
        <v>1571</v>
      </c>
      <c r="W86" s="354">
        <f>IFERROR(SUM(W64:W84),"0")</f>
        <v>1589.6</v>
      </c>
      <c r="X86" s="37"/>
      <c r="Y86" s="355"/>
      <c r="Z86" s="355"/>
    </row>
    <row r="87" spans="1:53" ht="14.25" hidden="1" customHeight="1" x14ac:dyDescent="0.25">
      <c r="A87" s="384" t="s">
        <v>97</v>
      </c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6"/>
      <c r="S87" s="376"/>
      <c r="T87" s="376"/>
      <c r="U87" s="376"/>
      <c r="V87" s="376"/>
      <c r="W87" s="376"/>
      <c r="X87" s="376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9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9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9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3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9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5"/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376"/>
      <c r="M92" s="377"/>
      <c r="N92" s="379" t="s">
        <v>66</v>
      </c>
      <c r="O92" s="380"/>
      <c r="P92" s="380"/>
      <c r="Q92" s="380"/>
      <c r="R92" s="380"/>
      <c r="S92" s="380"/>
      <c r="T92" s="381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7"/>
      <c r="N93" s="379" t="s">
        <v>66</v>
      </c>
      <c r="O93" s="380"/>
      <c r="P93" s="380"/>
      <c r="Q93" s="380"/>
      <c r="R93" s="380"/>
      <c r="S93" s="380"/>
      <c r="T93" s="381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84" t="s">
        <v>60</v>
      </c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6"/>
      <c r="O94" s="376"/>
      <c r="P94" s="376"/>
      <c r="Q94" s="376"/>
      <c r="R94" s="376"/>
      <c r="S94" s="376"/>
      <c r="T94" s="376"/>
      <c r="U94" s="376"/>
      <c r="V94" s="376"/>
      <c r="W94" s="376"/>
      <c r="X94" s="376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9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7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9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9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9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4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9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9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4301031234</v>
      </c>
      <c r="D101" s="369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35</v>
      </c>
      <c r="W101" s="353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9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5"/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7"/>
      <c r="N103" s="379" t="s">
        <v>66</v>
      </c>
      <c r="O103" s="380"/>
      <c r="P103" s="380"/>
      <c r="Q103" s="380"/>
      <c r="R103" s="380"/>
      <c r="S103" s="380"/>
      <c r="T103" s="381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12.5</v>
      </c>
      <c r="W103" s="354">
        <f>IFERROR(W95/H95,"0")+IFERROR(W96/H96,"0")+IFERROR(W97/H97,"0")+IFERROR(W98/H98,"0")+IFERROR(W99/H99,"0")+IFERROR(W100/H100,"0")+IFERROR(W101/H101,"0")+IFERROR(W102/H102,"0")</f>
        <v>13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9.7890000000000005E-2</v>
      </c>
      <c r="Y103" s="355"/>
      <c r="Z103" s="355"/>
    </row>
    <row r="104" spans="1:53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7"/>
      <c r="N104" s="379" t="s">
        <v>66</v>
      </c>
      <c r="O104" s="380"/>
      <c r="P104" s="380"/>
      <c r="Q104" s="380"/>
      <c r="R104" s="380"/>
      <c r="S104" s="380"/>
      <c r="T104" s="381"/>
      <c r="U104" s="37" t="s">
        <v>65</v>
      </c>
      <c r="V104" s="354">
        <f>IFERROR(SUM(V95:V102),"0")</f>
        <v>35</v>
      </c>
      <c r="W104" s="354">
        <f>IFERROR(SUM(W95:W102),"0")</f>
        <v>36.4</v>
      </c>
      <c r="X104" s="37"/>
      <c r="Y104" s="355"/>
      <c r="Z104" s="355"/>
    </row>
    <row r="105" spans="1:53" ht="14.25" hidden="1" customHeight="1" x14ac:dyDescent="0.25">
      <c r="A105" s="384" t="s">
        <v>68</v>
      </c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6"/>
      <c r="O105" s="376"/>
      <c r="P105" s="376"/>
      <c r="Q105" s="376"/>
      <c r="R105" s="376"/>
      <c r="S105" s="376"/>
      <c r="T105" s="376"/>
      <c r="U105" s="376"/>
      <c r="V105" s="376"/>
      <c r="W105" s="376"/>
      <c r="X105" s="376"/>
      <c r="Y105" s="347"/>
      <c r="Z105" s="347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69">
        <v>4607091386967</v>
      </c>
      <c r="E106" s="360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110</v>
      </c>
      <c r="W106" s="353">
        <f t="shared" ref="W106:W117" si="6">IFERROR(IF(V106="",0,CEILING((V106/$H106),1)*$H106),"")</f>
        <v>117.60000000000001</v>
      </c>
      <c r="X106" s="36">
        <f>IFERROR(IF(W106=0,"",ROUNDUP(W106/H106,0)*0.02175),"")</f>
        <v>0.30449999999999999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69">
        <v>4607091386967</v>
      </c>
      <c r="E107" s="360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69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66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70</v>
      </c>
      <c r="W108" s="353">
        <f t="shared" si="6"/>
        <v>75.600000000000009</v>
      </c>
      <c r="X108" s="36">
        <f>IFERROR(IF(W108=0,"",ROUNDUP(W108/H108,0)*0.02175),"")</f>
        <v>0.19574999999999998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69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0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60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69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2" t="s">
        <v>188</v>
      </c>
      <c r="O110" s="359"/>
      <c r="P110" s="359"/>
      <c r="Q110" s="359"/>
      <c r="R110" s="360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9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69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82.5</v>
      </c>
      <c r="W112" s="353">
        <f t="shared" si="6"/>
        <v>84.48</v>
      </c>
      <c r="X112" s="36">
        <f>IFERROR(IF(W112=0,"",ROUNDUP(W112/H112,0)*0.00753),"")</f>
        <v>0.24096000000000001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9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225</v>
      </c>
      <c r="W113" s="353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9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50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9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69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25</v>
      </c>
      <c r="W116" s="353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9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5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7"/>
      <c r="N118" s="379" t="s">
        <v>66</v>
      </c>
      <c r="O118" s="380"/>
      <c r="P118" s="380"/>
      <c r="Q118" s="380"/>
      <c r="R118" s="380"/>
      <c r="S118" s="380"/>
      <c r="T118" s="381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144.3452380952381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148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1.4415</v>
      </c>
      <c r="Y118" s="355"/>
      <c r="Z118" s="355"/>
    </row>
    <row r="119" spans="1:53" x14ac:dyDescent="0.2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7"/>
      <c r="N119" s="379" t="s">
        <v>66</v>
      </c>
      <c r="O119" s="380"/>
      <c r="P119" s="380"/>
      <c r="Q119" s="380"/>
      <c r="R119" s="380"/>
      <c r="S119" s="380"/>
      <c r="T119" s="381"/>
      <c r="U119" s="37" t="s">
        <v>65</v>
      </c>
      <c r="V119" s="354">
        <f>IFERROR(SUM(V106:V117),"0")</f>
        <v>512.5</v>
      </c>
      <c r="W119" s="354">
        <f>IFERROR(SUM(W106:W117),"0")</f>
        <v>531.48</v>
      </c>
      <c r="X119" s="37"/>
      <c r="Y119" s="355"/>
      <c r="Z119" s="355"/>
    </row>
    <row r="120" spans="1:53" ht="14.25" hidden="1" customHeight="1" x14ac:dyDescent="0.25">
      <c r="A120" s="384" t="s">
        <v>203</v>
      </c>
      <c r="B120" s="376"/>
      <c r="C120" s="376"/>
      <c r="D120" s="376"/>
      <c r="E120" s="376"/>
      <c r="F120" s="376"/>
      <c r="G120" s="376"/>
      <c r="H120" s="376"/>
      <c r="I120" s="376"/>
      <c r="J120" s="376"/>
      <c r="K120" s="376"/>
      <c r="L120" s="376"/>
      <c r="M120" s="376"/>
      <c r="N120" s="376"/>
      <c r="O120" s="376"/>
      <c r="P120" s="376"/>
      <c r="Q120" s="376"/>
      <c r="R120" s="376"/>
      <c r="S120" s="376"/>
      <c r="T120" s="376"/>
      <c r="U120" s="376"/>
      <c r="V120" s="376"/>
      <c r="W120" s="376"/>
      <c r="X120" s="376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9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9">
        <v>4680115881532</v>
      </c>
      <c r="E122" s="360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9">
        <v>4680115881532</v>
      </c>
      <c r="E123" s="360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69">
        <v>4680115881532</v>
      </c>
      <c r="E124" s="360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2" t="s">
        <v>210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60</v>
      </c>
      <c r="W124" s="353">
        <f t="shared" si="7"/>
        <v>67.2</v>
      </c>
      <c r="X124" s="36">
        <f>IFERROR(IF(W124=0,"",ROUNDUP(W124/H124,0)*0.02175),"")</f>
        <v>0.17399999999999999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9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9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9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5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7"/>
      <c r="N128" s="379" t="s">
        <v>66</v>
      </c>
      <c r="O128" s="380"/>
      <c r="P128" s="380"/>
      <c r="Q128" s="380"/>
      <c r="R128" s="380"/>
      <c r="S128" s="380"/>
      <c r="T128" s="381"/>
      <c r="U128" s="37" t="s">
        <v>67</v>
      </c>
      <c r="V128" s="354">
        <f>IFERROR(V121/H121,"0")+IFERROR(V122/H122,"0")+IFERROR(V123/H123,"0")+IFERROR(V124/H124,"0")+IFERROR(V125/H125,"0")+IFERROR(V126/H126,"0")+IFERROR(V127/H127,"0")</f>
        <v>7.1428571428571423</v>
      </c>
      <c r="W128" s="354">
        <f>IFERROR(W121/H121,"0")+IFERROR(W122/H122,"0")+IFERROR(W123/H123,"0")+IFERROR(W124/H124,"0")+IFERROR(W125/H125,"0")+IFERROR(W126/H126,"0")+IFERROR(W127/H127,"0")</f>
        <v>8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0.17399999999999999</v>
      </c>
      <c r="Y128" s="355"/>
      <c r="Z128" s="355"/>
    </row>
    <row r="129" spans="1:53" x14ac:dyDescent="0.2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7"/>
      <c r="N129" s="379" t="s">
        <v>66</v>
      </c>
      <c r="O129" s="380"/>
      <c r="P129" s="380"/>
      <c r="Q129" s="380"/>
      <c r="R129" s="380"/>
      <c r="S129" s="380"/>
      <c r="T129" s="381"/>
      <c r="U129" s="37" t="s">
        <v>65</v>
      </c>
      <c r="V129" s="354">
        <f>IFERROR(SUM(V121:V127),"0")</f>
        <v>60</v>
      </c>
      <c r="W129" s="354">
        <f>IFERROR(SUM(W121:W127),"0")</f>
        <v>67.2</v>
      </c>
      <c r="X129" s="37"/>
      <c r="Y129" s="355"/>
      <c r="Z129" s="355"/>
    </row>
    <row r="130" spans="1:53" ht="16.5" hidden="1" customHeight="1" x14ac:dyDescent="0.25">
      <c r="A130" s="383" t="s">
        <v>217</v>
      </c>
      <c r="B130" s="376"/>
      <c r="C130" s="376"/>
      <c r="D130" s="376"/>
      <c r="E130" s="376"/>
      <c r="F130" s="376"/>
      <c r="G130" s="376"/>
      <c r="H130" s="376"/>
      <c r="I130" s="376"/>
      <c r="J130" s="376"/>
      <c r="K130" s="376"/>
      <c r="L130" s="376"/>
      <c r="M130" s="376"/>
      <c r="N130" s="376"/>
      <c r="O130" s="376"/>
      <c r="P130" s="376"/>
      <c r="Q130" s="376"/>
      <c r="R130" s="376"/>
      <c r="S130" s="376"/>
      <c r="T130" s="376"/>
      <c r="U130" s="376"/>
      <c r="V130" s="376"/>
      <c r="W130" s="376"/>
      <c r="X130" s="376"/>
      <c r="Y130" s="348"/>
      <c r="Z130" s="348"/>
    </row>
    <row r="131" spans="1:53" ht="14.25" hidden="1" customHeight="1" x14ac:dyDescent="0.25">
      <c r="A131" s="384" t="s">
        <v>68</v>
      </c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6"/>
      <c r="O131" s="376"/>
      <c r="P131" s="376"/>
      <c r="Q131" s="376"/>
      <c r="R131" s="376"/>
      <c r="S131" s="376"/>
      <c r="T131" s="376"/>
      <c r="U131" s="376"/>
      <c r="V131" s="376"/>
      <c r="W131" s="376"/>
      <c r="X131" s="376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9">
        <v>4607091385168</v>
      </c>
      <c r="E132" s="360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69">
        <v>4607091385168</v>
      </c>
      <c r="E133" s="360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400</v>
      </c>
      <c r="W133" s="353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9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9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270</v>
      </c>
      <c r="W135" s="353">
        <f>IFERROR(IF(V135="",0,CEILING((V135/$H135),1)*$H135),"")</f>
        <v>270</v>
      </c>
      <c r="X135" s="36">
        <f>IFERROR(IF(W135=0,"",ROUNDUP(W135/H135,0)*0.00753),"")</f>
        <v>0.753</v>
      </c>
      <c r="Y135" s="56"/>
      <c r="Z135" s="57"/>
      <c r="AD135" s="58"/>
      <c r="BA135" s="131" t="s">
        <v>1</v>
      </c>
    </row>
    <row r="136" spans="1:53" x14ac:dyDescent="0.2">
      <c r="A136" s="375"/>
      <c r="B136" s="376"/>
      <c r="C136" s="376"/>
      <c r="D136" s="376"/>
      <c r="E136" s="376"/>
      <c r="F136" s="376"/>
      <c r="G136" s="376"/>
      <c r="H136" s="376"/>
      <c r="I136" s="376"/>
      <c r="J136" s="376"/>
      <c r="K136" s="376"/>
      <c r="L136" s="376"/>
      <c r="M136" s="377"/>
      <c r="N136" s="379" t="s">
        <v>66</v>
      </c>
      <c r="O136" s="380"/>
      <c r="P136" s="380"/>
      <c r="Q136" s="380"/>
      <c r="R136" s="380"/>
      <c r="S136" s="380"/>
      <c r="T136" s="381"/>
      <c r="U136" s="37" t="s">
        <v>67</v>
      </c>
      <c r="V136" s="354">
        <f>IFERROR(V132/H132,"0")+IFERROR(V133/H133,"0")+IFERROR(V134/H134,"0")+IFERROR(V135/H135,"0")</f>
        <v>147.61904761904762</v>
      </c>
      <c r="W136" s="354">
        <f>IFERROR(W132/H132,"0")+IFERROR(W133/H133,"0")+IFERROR(W134/H134,"0")+IFERROR(W135/H135,"0")</f>
        <v>148</v>
      </c>
      <c r="X136" s="354">
        <f>IFERROR(IF(X132="",0,X132),"0")+IFERROR(IF(X133="",0,X133),"0")+IFERROR(IF(X134="",0,X134),"0")+IFERROR(IF(X135="",0,X135),"0")</f>
        <v>1.7970000000000002</v>
      </c>
      <c r="Y136" s="355"/>
      <c r="Z136" s="355"/>
    </row>
    <row r="137" spans="1:53" x14ac:dyDescent="0.2">
      <c r="A137" s="376"/>
      <c r="B137" s="376"/>
      <c r="C137" s="376"/>
      <c r="D137" s="376"/>
      <c r="E137" s="376"/>
      <c r="F137" s="376"/>
      <c r="G137" s="376"/>
      <c r="H137" s="376"/>
      <c r="I137" s="376"/>
      <c r="J137" s="376"/>
      <c r="K137" s="376"/>
      <c r="L137" s="376"/>
      <c r="M137" s="377"/>
      <c r="N137" s="379" t="s">
        <v>66</v>
      </c>
      <c r="O137" s="380"/>
      <c r="P137" s="380"/>
      <c r="Q137" s="380"/>
      <c r="R137" s="380"/>
      <c r="S137" s="380"/>
      <c r="T137" s="381"/>
      <c r="U137" s="37" t="s">
        <v>65</v>
      </c>
      <c r="V137" s="354">
        <f>IFERROR(SUM(V132:V135),"0")</f>
        <v>670</v>
      </c>
      <c r="W137" s="354">
        <f>IFERROR(SUM(W132:W135),"0")</f>
        <v>673.2</v>
      </c>
      <c r="X137" s="37"/>
      <c r="Y137" s="355"/>
      <c r="Z137" s="355"/>
    </row>
    <row r="138" spans="1:53" ht="27.75" hidden="1" customHeight="1" x14ac:dyDescent="0.2">
      <c r="A138" s="434" t="s">
        <v>225</v>
      </c>
      <c r="B138" s="435"/>
      <c r="C138" s="435"/>
      <c r="D138" s="435"/>
      <c r="E138" s="435"/>
      <c r="F138" s="435"/>
      <c r="G138" s="435"/>
      <c r="H138" s="435"/>
      <c r="I138" s="435"/>
      <c r="J138" s="435"/>
      <c r="K138" s="435"/>
      <c r="L138" s="435"/>
      <c r="M138" s="435"/>
      <c r="N138" s="435"/>
      <c r="O138" s="435"/>
      <c r="P138" s="435"/>
      <c r="Q138" s="435"/>
      <c r="R138" s="435"/>
      <c r="S138" s="435"/>
      <c r="T138" s="435"/>
      <c r="U138" s="435"/>
      <c r="V138" s="435"/>
      <c r="W138" s="435"/>
      <c r="X138" s="435"/>
      <c r="Y138" s="48"/>
      <c r="Z138" s="48"/>
    </row>
    <row r="139" spans="1:53" ht="16.5" hidden="1" customHeight="1" x14ac:dyDescent="0.25">
      <c r="A139" s="383" t="s">
        <v>226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348"/>
      <c r="Z139" s="348"/>
    </row>
    <row r="140" spans="1:53" ht="14.25" hidden="1" customHeight="1" x14ac:dyDescent="0.25">
      <c r="A140" s="384" t="s">
        <v>105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376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9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9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9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5"/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7"/>
      <c r="N144" s="379" t="s">
        <v>66</v>
      </c>
      <c r="O144" s="380"/>
      <c r="P144" s="380"/>
      <c r="Q144" s="380"/>
      <c r="R144" s="380"/>
      <c r="S144" s="380"/>
      <c r="T144" s="381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7"/>
      <c r="N145" s="379" t="s">
        <v>66</v>
      </c>
      <c r="O145" s="380"/>
      <c r="P145" s="380"/>
      <c r="Q145" s="380"/>
      <c r="R145" s="380"/>
      <c r="S145" s="380"/>
      <c r="T145" s="381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383" t="s">
        <v>233</v>
      </c>
      <c r="B146" s="376"/>
      <c r="C146" s="376"/>
      <c r="D146" s="376"/>
      <c r="E146" s="376"/>
      <c r="F146" s="376"/>
      <c r="G146" s="376"/>
      <c r="H146" s="376"/>
      <c r="I146" s="376"/>
      <c r="J146" s="376"/>
      <c r="K146" s="376"/>
      <c r="L146" s="376"/>
      <c r="M146" s="376"/>
      <c r="N146" s="376"/>
      <c r="O146" s="376"/>
      <c r="P146" s="376"/>
      <c r="Q146" s="376"/>
      <c r="R146" s="376"/>
      <c r="S146" s="376"/>
      <c r="T146" s="376"/>
      <c r="U146" s="376"/>
      <c r="V146" s="376"/>
      <c r="W146" s="376"/>
      <c r="X146" s="376"/>
      <c r="Y146" s="348"/>
      <c r="Z146" s="348"/>
    </row>
    <row r="147" spans="1:53" ht="14.25" hidden="1" customHeight="1" x14ac:dyDescent="0.25">
      <c r="A147" s="384" t="s">
        <v>60</v>
      </c>
      <c r="B147" s="376"/>
      <c r="C147" s="376"/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6"/>
      <c r="P147" s="376"/>
      <c r="Q147" s="376"/>
      <c r="R147" s="376"/>
      <c r="S147" s="376"/>
      <c r="T147" s="376"/>
      <c r="U147" s="376"/>
      <c r="V147" s="376"/>
      <c r="W147" s="376"/>
      <c r="X147" s="376"/>
      <c r="Y147" s="347"/>
      <c r="Z147" s="347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69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100</v>
      </c>
      <c r="W148" s="353">
        <f t="shared" ref="W148:W156" si="8">IFERROR(IF(V148="",0,CEILING((V148/$H148),1)*$H148),"")</f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69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20</v>
      </c>
      <c r="W149" s="353">
        <f t="shared" si="8"/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69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200</v>
      </c>
      <c r="W150" s="353">
        <f t="shared" si="8"/>
        <v>201.60000000000002</v>
      </c>
      <c r="X150" s="36">
        <f>IFERROR(IF(W150=0,"",ROUNDUP(W150/H150,0)*0.00753),"")</f>
        <v>0.36143999999999998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9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210</v>
      </c>
      <c r="W151" s="353">
        <f t="shared" si="8"/>
        <v>210</v>
      </c>
      <c r="X151" s="36">
        <f>IFERROR(IF(W151=0,"",ROUNDUP(W151/H151,0)*0.00502),"")</f>
        <v>0.502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9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69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245</v>
      </c>
      <c r="W153" s="353">
        <f t="shared" si="8"/>
        <v>245.70000000000002</v>
      </c>
      <c r="X153" s="36">
        <f>IFERROR(IF(W153=0,"",ROUNDUP(W153/H153,0)*0.00502),"")</f>
        <v>0.58733999999999997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9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315</v>
      </c>
      <c r="W154" s="353">
        <f t="shared" si="8"/>
        <v>315</v>
      </c>
      <c r="X154" s="36">
        <f>IFERROR(IF(W154=0,"",ROUNDUP(W154/H154,0)*0.00502),"")</f>
        <v>0.753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9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69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3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8.4</v>
      </c>
      <c r="W156" s="353">
        <f t="shared" si="8"/>
        <v>8.4</v>
      </c>
      <c r="X156" s="36">
        <f>IFERROR(IF(W156=0,"",ROUNDUP(W156/H156,0)*0.00502),"")</f>
        <v>2.5100000000000001E-2</v>
      </c>
      <c r="Y156" s="56"/>
      <c r="Z156" s="57"/>
      <c r="AD156" s="58"/>
      <c r="BA156" s="143" t="s">
        <v>1</v>
      </c>
    </row>
    <row r="157" spans="1:53" x14ac:dyDescent="0.2">
      <c r="A157" s="375"/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7"/>
      <c r="N157" s="379" t="s">
        <v>66</v>
      </c>
      <c r="O157" s="380"/>
      <c r="P157" s="380"/>
      <c r="Q157" s="380"/>
      <c r="R157" s="380"/>
      <c r="S157" s="380"/>
      <c r="T157" s="381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447.85714285714289</v>
      </c>
      <c r="W157" s="354">
        <f>IFERROR(W148/H148,"0")+IFERROR(W149/H149,"0")+IFERROR(W150/H150,"0")+IFERROR(W151/H151,"0")+IFERROR(W152/H152,"0")+IFERROR(W153/H153,"0")+IFERROR(W154/H154,"0")+IFERROR(W155/H155,"0")+IFERROR(W156/H156,"0")</f>
        <v>449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2.4472499999999999</v>
      </c>
      <c r="Y157" s="355"/>
      <c r="Z157" s="355"/>
    </row>
    <row r="158" spans="1:53" x14ac:dyDescent="0.2">
      <c r="A158" s="376"/>
      <c r="B158" s="376"/>
      <c r="C158" s="376"/>
      <c r="D158" s="376"/>
      <c r="E158" s="376"/>
      <c r="F158" s="376"/>
      <c r="G158" s="376"/>
      <c r="H158" s="376"/>
      <c r="I158" s="376"/>
      <c r="J158" s="376"/>
      <c r="K158" s="376"/>
      <c r="L158" s="376"/>
      <c r="M158" s="377"/>
      <c r="N158" s="379" t="s">
        <v>66</v>
      </c>
      <c r="O158" s="380"/>
      <c r="P158" s="380"/>
      <c r="Q158" s="380"/>
      <c r="R158" s="380"/>
      <c r="S158" s="380"/>
      <c r="T158" s="381"/>
      <c r="U158" s="37" t="s">
        <v>65</v>
      </c>
      <c r="V158" s="354">
        <f>IFERROR(SUM(V148:V156),"0")</f>
        <v>1098.4000000000001</v>
      </c>
      <c r="W158" s="354">
        <f>IFERROR(SUM(W148:W156),"0")</f>
        <v>1102.5000000000002</v>
      </c>
      <c r="X158" s="37"/>
      <c r="Y158" s="355"/>
      <c r="Z158" s="355"/>
    </row>
    <row r="159" spans="1:53" ht="16.5" hidden="1" customHeight="1" x14ac:dyDescent="0.25">
      <c r="A159" s="383" t="s">
        <v>252</v>
      </c>
      <c r="B159" s="376"/>
      <c r="C159" s="376"/>
      <c r="D159" s="376"/>
      <c r="E159" s="376"/>
      <c r="F159" s="376"/>
      <c r="G159" s="376"/>
      <c r="H159" s="376"/>
      <c r="I159" s="376"/>
      <c r="J159" s="376"/>
      <c r="K159" s="376"/>
      <c r="L159" s="376"/>
      <c r="M159" s="376"/>
      <c r="N159" s="376"/>
      <c r="O159" s="376"/>
      <c r="P159" s="376"/>
      <c r="Q159" s="376"/>
      <c r="R159" s="376"/>
      <c r="S159" s="376"/>
      <c r="T159" s="376"/>
      <c r="U159" s="376"/>
      <c r="V159" s="376"/>
      <c r="W159" s="376"/>
      <c r="X159" s="376"/>
      <c r="Y159" s="348"/>
      <c r="Z159" s="348"/>
    </row>
    <row r="160" spans="1:53" ht="14.25" hidden="1" customHeight="1" x14ac:dyDescent="0.25">
      <c r="A160" s="384" t="s">
        <v>105</v>
      </c>
      <c r="B160" s="376"/>
      <c r="C160" s="376"/>
      <c r="D160" s="376"/>
      <c r="E160" s="376"/>
      <c r="F160" s="376"/>
      <c r="G160" s="376"/>
      <c r="H160" s="376"/>
      <c r="I160" s="376"/>
      <c r="J160" s="376"/>
      <c r="K160" s="376"/>
      <c r="L160" s="376"/>
      <c r="M160" s="376"/>
      <c r="N160" s="376"/>
      <c r="O160" s="376"/>
      <c r="P160" s="376"/>
      <c r="Q160" s="376"/>
      <c r="R160" s="376"/>
      <c r="S160" s="376"/>
      <c r="T160" s="376"/>
      <c r="U160" s="376"/>
      <c r="V160" s="376"/>
      <c r="W160" s="376"/>
      <c r="X160" s="376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9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9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5"/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7"/>
      <c r="N163" s="379" t="s">
        <v>66</v>
      </c>
      <c r="O163" s="380"/>
      <c r="P163" s="380"/>
      <c r="Q163" s="380"/>
      <c r="R163" s="380"/>
      <c r="S163" s="380"/>
      <c r="T163" s="381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76"/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7"/>
      <c r="N164" s="379" t="s">
        <v>66</v>
      </c>
      <c r="O164" s="380"/>
      <c r="P164" s="380"/>
      <c r="Q164" s="380"/>
      <c r="R164" s="380"/>
      <c r="S164" s="380"/>
      <c r="T164" s="381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84" t="s">
        <v>97</v>
      </c>
      <c r="B165" s="376"/>
      <c r="C165" s="376"/>
      <c r="D165" s="376"/>
      <c r="E165" s="376"/>
      <c r="F165" s="376"/>
      <c r="G165" s="376"/>
      <c r="H165" s="376"/>
      <c r="I165" s="376"/>
      <c r="J165" s="376"/>
      <c r="K165" s="376"/>
      <c r="L165" s="376"/>
      <c r="M165" s="376"/>
      <c r="N165" s="376"/>
      <c r="O165" s="376"/>
      <c r="P165" s="376"/>
      <c r="Q165" s="376"/>
      <c r="R165" s="376"/>
      <c r="S165" s="376"/>
      <c r="T165" s="376"/>
      <c r="U165" s="376"/>
      <c r="V165" s="376"/>
      <c r="W165" s="376"/>
      <c r="X165" s="376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9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9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5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7"/>
      <c r="N168" s="379" t="s">
        <v>66</v>
      </c>
      <c r="O168" s="380"/>
      <c r="P168" s="380"/>
      <c r="Q168" s="380"/>
      <c r="R168" s="380"/>
      <c r="S168" s="380"/>
      <c r="T168" s="381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76"/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7"/>
      <c r="N169" s="379" t="s">
        <v>66</v>
      </c>
      <c r="O169" s="380"/>
      <c r="P169" s="380"/>
      <c r="Q169" s="380"/>
      <c r="R169" s="380"/>
      <c r="S169" s="380"/>
      <c r="T169" s="381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84" t="s">
        <v>60</v>
      </c>
      <c r="B170" s="376"/>
      <c r="C170" s="376"/>
      <c r="D170" s="376"/>
      <c r="E170" s="376"/>
      <c r="F170" s="376"/>
      <c r="G170" s="376"/>
      <c r="H170" s="376"/>
      <c r="I170" s="376"/>
      <c r="J170" s="376"/>
      <c r="K170" s="376"/>
      <c r="L170" s="376"/>
      <c r="M170" s="376"/>
      <c r="N170" s="376"/>
      <c r="O170" s="376"/>
      <c r="P170" s="376"/>
      <c r="Q170" s="376"/>
      <c r="R170" s="376"/>
      <c r="S170" s="376"/>
      <c r="T170" s="376"/>
      <c r="U170" s="376"/>
      <c r="V170" s="376"/>
      <c r="W170" s="376"/>
      <c r="X170" s="376"/>
      <c r="Y170" s="347"/>
      <c r="Z170" s="347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69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200</v>
      </c>
      <c r="W171" s="353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69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200</v>
      </c>
      <c r="W172" s="353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69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400</v>
      </c>
      <c r="W173" s="353">
        <f>IFERROR(IF(V173="",0,CEILING((V173/$H173),1)*$H173),"")</f>
        <v>405</v>
      </c>
      <c r="X173" s="36">
        <f>IFERROR(IF(W173=0,"",ROUNDUP(W173/H173,0)*0.00937),"")</f>
        <v>0.70274999999999999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69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350</v>
      </c>
      <c r="W174" s="353">
        <f>IFERROR(IF(V174="",0,CEILING((V174/$H174),1)*$H174),"")</f>
        <v>351</v>
      </c>
      <c r="X174" s="36">
        <f>IFERROR(IF(W174=0,"",ROUNDUP(W174/H174,0)*0.00937),"")</f>
        <v>0.60904999999999998</v>
      </c>
      <c r="Y174" s="56"/>
      <c r="Z174" s="57"/>
      <c r="AD174" s="58"/>
      <c r="BA174" s="151" t="s">
        <v>1</v>
      </c>
    </row>
    <row r="175" spans="1:53" x14ac:dyDescent="0.2">
      <c r="A175" s="375"/>
      <c r="B175" s="376"/>
      <c r="C175" s="376"/>
      <c r="D175" s="376"/>
      <c r="E175" s="376"/>
      <c r="F175" s="376"/>
      <c r="G175" s="376"/>
      <c r="H175" s="376"/>
      <c r="I175" s="376"/>
      <c r="J175" s="376"/>
      <c r="K175" s="376"/>
      <c r="L175" s="376"/>
      <c r="M175" s="377"/>
      <c r="N175" s="379" t="s">
        <v>66</v>
      </c>
      <c r="O175" s="380"/>
      <c r="P175" s="380"/>
      <c r="Q175" s="380"/>
      <c r="R175" s="380"/>
      <c r="S175" s="380"/>
      <c r="T175" s="381"/>
      <c r="U175" s="37" t="s">
        <v>67</v>
      </c>
      <c r="V175" s="354">
        <f>IFERROR(V171/H171,"0")+IFERROR(V172/H172,"0")+IFERROR(V173/H173,"0")+IFERROR(V174/H174,"0")</f>
        <v>212.96296296296296</v>
      </c>
      <c r="W175" s="354">
        <f>IFERROR(W171/H171,"0")+IFERROR(W172/H172,"0")+IFERROR(W173/H173,"0")+IFERROR(W174/H174,"0")</f>
        <v>216</v>
      </c>
      <c r="X175" s="354">
        <f>IFERROR(IF(X171="",0,X171),"0")+IFERROR(IF(X172="",0,X172),"0")+IFERROR(IF(X173="",0,X173),"0")+IFERROR(IF(X174="",0,X174),"0")</f>
        <v>2.0239199999999999</v>
      </c>
      <c r="Y175" s="355"/>
      <c r="Z175" s="355"/>
    </row>
    <row r="176" spans="1:53" x14ac:dyDescent="0.2">
      <c r="A176" s="376"/>
      <c r="B176" s="376"/>
      <c r="C176" s="376"/>
      <c r="D176" s="376"/>
      <c r="E176" s="376"/>
      <c r="F176" s="376"/>
      <c r="G176" s="376"/>
      <c r="H176" s="376"/>
      <c r="I176" s="376"/>
      <c r="J176" s="376"/>
      <c r="K176" s="376"/>
      <c r="L176" s="376"/>
      <c r="M176" s="377"/>
      <c r="N176" s="379" t="s">
        <v>66</v>
      </c>
      <c r="O176" s="380"/>
      <c r="P176" s="380"/>
      <c r="Q176" s="380"/>
      <c r="R176" s="380"/>
      <c r="S176" s="380"/>
      <c r="T176" s="381"/>
      <c r="U176" s="37" t="s">
        <v>65</v>
      </c>
      <c r="V176" s="354">
        <f>IFERROR(SUM(V171:V174),"0")</f>
        <v>1150</v>
      </c>
      <c r="W176" s="354">
        <f>IFERROR(SUM(W171:W174),"0")</f>
        <v>1166.4000000000001</v>
      </c>
      <c r="X176" s="37"/>
      <c r="Y176" s="355"/>
      <c r="Z176" s="355"/>
    </row>
    <row r="177" spans="1:53" ht="14.25" hidden="1" customHeight="1" x14ac:dyDescent="0.25">
      <c r="A177" s="384" t="s">
        <v>68</v>
      </c>
      <c r="B177" s="376"/>
      <c r="C177" s="376"/>
      <c r="D177" s="376"/>
      <c r="E177" s="376"/>
      <c r="F177" s="376"/>
      <c r="G177" s="376"/>
      <c r="H177" s="376"/>
      <c r="I177" s="376"/>
      <c r="J177" s="376"/>
      <c r="K177" s="376"/>
      <c r="L177" s="376"/>
      <c r="M177" s="376"/>
      <c r="N177" s="376"/>
      <c r="O177" s="376"/>
      <c r="P177" s="376"/>
      <c r="Q177" s="376"/>
      <c r="R177" s="376"/>
      <c r="S177" s="376"/>
      <c r="T177" s="376"/>
      <c r="U177" s="376"/>
      <c r="V177" s="376"/>
      <c r="W177" s="376"/>
      <c r="X177" s="376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9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9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350</v>
      </c>
      <c r="W179" s="353">
        <f t="shared" si="9"/>
        <v>356.7</v>
      </c>
      <c r="X179" s="36">
        <f>IFERROR(IF(W179=0,"",ROUNDUP(W179/H179,0)*0.02175),"")</f>
        <v>0.89174999999999993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9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9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9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9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9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9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440</v>
      </c>
      <c r="W184" s="353">
        <f t="shared" si="9"/>
        <v>441.59999999999997</v>
      </c>
      <c r="X184" s="36">
        <f>IFERROR(IF(W184=0,"",ROUNDUP(W184/H184,0)*0.00753),"")</f>
        <v>1.3855200000000001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9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9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600</v>
      </c>
      <c r="W186" s="353">
        <f t="shared" si="9"/>
        <v>600</v>
      </c>
      <c r="X186" s="36">
        <f>IFERROR(IF(W186=0,"",ROUNDUP(W186/H186,0)*0.00753),"")</f>
        <v>1.8825000000000001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9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69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300</v>
      </c>
      <c r="W188" s="353">
        <f t="shared" si="9"/>
        <v>300</v>
      </c>
      <c r="X188" s="36">
        <f t="shared" ref="X188:X194" si="10">IFERROR(IF(W188=0,"",ROUNDUP(W188/H188,0)*0.00753),"")</f>
        <v>0.94125000000000003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9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9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3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680</v>
      </c>
      <c r="W190" s="353">
        <f t="shared" si="9"/>
        <v>681.6</v>
      </c>
      <c r="X190" s="36">
        <f t="shared" si="10"/>
        <v>2.1385200000000002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9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5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9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69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140</v>
      </c>
      <c r="W193" s="353">
        <f t="shared" si="9"/>
        <v>141.6</v>
      </c>
      <c r="X193" s="36">
        <f t="shared" si="10"/>
        <v>0.44427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69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280</v>
      </c>
      <c r="W194" s="353">
        <f t="shared" si="9"/>
        <v>280.8</v>
      </c>
      <c r="X194" s="36">
        <f t="shared" si="10"/>
        <v>0.88101000000000007</v>
      </c>
      <c r="Y194" s="56"/>
      <c r="Z194" s="57"/>
      <c r="AD194" s="58"/>
      <c r="BA194" s="168" t="s">
        <v>1</v>
      </c>
    </row>
    <row r="195" spans="1:53" x14ac:dyDescent="0.2">
      <c r="A195" s="375"/>
      <c r="B195" s="376"/>
      <c r="C195" s="376"/>
      <c r="D195" s="376"/>
      <c r="E195" s="376"/>
      <c r="F195" s="376"/>
      <c r="G195" s="376"/>
      <c r="H195" s="376"/>
      <c r="I195" s="376"/>
      <c r="J195" s="376"/>
      <c r="K195" s="376"/>
      <c r="L195" s="376"/>
      <c r="M195" s="377"/>
      <c r="N195" s="379" t="s">
        <v>66</v>
      </c>
      <c r="O195" s="380"/>
      <c r="P195" s="380"/>
      <c r="Q195" s="380"/>
      <c r="R195" s="380"/>
      <c r="S195" s="380"/>
      <c r="T195" s="381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1056.8965517241381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1060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8.564820000000001</v>
      </c>
      <c r="Y195" s="355"/>
      <c r="Z195" s="355"/>
    </row>
    <row r="196" spans="1:53" x14ac:dyDescent="0.2">
      <c r="A196" s="376"/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7"/>
      <c r="N196" s="379" t="s">
        <v>66</v>
      </c>
      <c r="O196" s="380"/>
      <c r="P196" s="380"/>
      <c r="Q196" s="380"/>
      <c r="R196" s="380"/>
      <c r="S196" s="380"/>
      <c r="T196" s="381"/>
      <c r="U196" s="37" t="s">
        <v>65</v>
      </c>
      <c r="V196" s="354">
        <f>IFERROR(SUM(V178:V194),"0")</f>
        <v>2790</v>
      </c>
      <c r="W196" s="354">
        <f>IFERROR(SUM(W178:W194),"0")</f>
        <v>2802.3</v>
      </c>
      <c r="X196" s="37"/>
      <c r="Y196" s="355"/>
      <c r="Z196" s="355"/>
    </row>
    <row r="197" spans="1:53" ht="14.25" hidden="1" customHeight="1" x14ac:dyDescent="0.25">
      <c r="A197" s="384" t="s">
        <v>203</v>
      </c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6"/>
      <c r="O197" s="376"/>
      <c r="P197" s="376"/>
      <c r="Q197" s="376"/>
      <c r="R197" s="376"/>
      <c r="S197" s="376"/>
      <c r="T197" s="376"/>
      <c r="U197" s="376"/>
      <c r="V197" s="376"/>
      <c r="W197" s="376"/>
      <c r="X197" s="376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9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9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69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64</v>
      </c>
      <c r="W200" s="353">
        <f>IFERROR(IF(V200="",0,CEILING((V200/$H200),1)*$H200),"")</f>
        <v>64.8</v>
      </c>
      <c r="X200" s="36">
        <f>IFERROR(IF(W200=0,"",ROUNDUP(W200/H200,0)*0.00753),"")</f>
        <v>0.20331000000000002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69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92</v>
      </c>
      <c r="W201" s="353">
        <f>IFERROR(IF(V201="",0,CEILING((V201/$H201),1)*$H201),"")</f>
        <v>93.6</v>
      </c>
      <c r="X201" s="36">
        <f>IFERROR(IF(W201=0,"",ROUNDUP(W201/H201,0)*0.00753),"")</f>
        <v>0.29366999999999999</v>
      </c>
      <c r="Y201" s="56"/>
      <c r="Z201" s="57"/>
      <c r="AD201" s="58"/>
      <c r="BA201" s="172" t="s">
        <v>1</v>
      </c>
    </row>
    <row r="202" spans="1:53" x14ac:dyDescent="0.2">
      <c r="A202" s="375"/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7"/>
      <c r="N202" s="379" t="s">
        <v>66</v>
      </c>
      <c r="O202" s="380"/>
      <c r="P202" s="380"/>
      <c r="Q202" s="380"/>
      <c r="R202" s="380"/>
      <c r="S202" s="380"/>
      <c r="T202" s="381"/>
      <c r="U202" s="37" t="s">
        <v>67</v>
      </c>
      <c r="V202" s="354">
        <f>IFERROR(V198/H198,"0")+IFERROR(V199/H199,"0")+IFERROR(V200/H200,"0")+IFERROR(V201/H201,"0")</f>
        <v>65</v>
      </c>
      <c r="W202" s="354">
        <f>IFERROR(W198/H198,"0")+IFERROR(W199/H199,"0")+IFERROR(W200/H200,"0")+IFERROR(W201/H201,"0")</f>
        <v>66</v>
      </c>
      <c r="X202" s="354">
        <f>IFERROR(IF(X198="",0,X198),"0")+IFERROR(IF(X199="",0,X199),"0")+IFERROR(IF(X200="",0,X200),"0")+IFERROR(IF(X201="",0,X201),"0")</f>
        <v>0.49697999999999998</v>
      </c>
      <c r="Y202" s="355"/>
      <c r="Z202" s="355"/>
    </row>
    <row r="203" spans="1:53" x14ac:dyDescent="0.2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7"/>
      <c r="N203" s="379" t="s">
        <v>66</v>
      </c>
      <c r="O203" s="380"/>
      <c r="P203" s="380"/>
      <c r="Q203" s="380"/>
      <c r="R203" s="380"/>
      <c r="S203" s="380"/>
      <c r="T203" s="381"/>
      <c r="U203" s="37" t="s">
        <v>65</v>
      </c>
      <c r="V203" s="354">
        <f>IFERROR(SUM(V198:V201),"0")</f>
        <v>156</v>
      </c>
      <c r="W203" s="354">
        <f>IFERROR(SUM(W198:W201),"0")</f>
        <v>158.39999999999998</v>
      </c>
      <c r="X203" s="37"/>
      <c r="Y203" s="355"/>
      <c r="Z203" s="355"/>
    </row>
    <row r="204" spans="1:53" ht="16.5" hidden="1" customHeight="1" x14ac:dyDescent="0.25">
      <c r="A204" s="383" t="s">
        <v>311</v>
      </c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6"/>
      <c r="O204" s="376"/>
      <c r="P204" s="376"/>
      <c r="Q204" s="376"/>
      <c r="R204" s="376"/>
      <c r="S204" s="376"/>
      <c r="T204" s="376"/>
      <c r="U204" s="376"/>
      <c r="V204" s="376"/>
      <c r="W204" s="376"/>
      <c r="X204" s="376"/>
      <c r="Y204" s="348"/>
      <c r="Z204" s="348"/>
    </row>
    <row r="205" spans="1:53" ht="14.25" hidden="1" customHeight="1" x14ac:dyDescent="0.25">
      <c r="A205" s="384" t="s">
        <v>105</v>
      </c>
      <c r="B205" s="376"/>
      <c r="C205" s="376"/>
      <c r="D205" s="376"/>
      <c r="E205" s="376"/>
      <c r="F205" s="376"/>
      <c r="G205" s="376"/>
      <c r="H205" s="376"/>
      <c r="I205" s="376"/>
      <c r="J205" s="376"/>
      <c r="K205" s="376"/>
      <c r="L205" s="376"/>
      <c r="M205" s="376"/>
      <c r="N205" s="376"/>
      <c r="O205" s="376"/>
      <c r="P205" s="376"/>
      <c r="Q205" s="376"/>
      <c r="R205" s="376"/>
      <c r="S205" s="376"/>
      <c r="T205" s="376"/>
      <c r="U205" s="376"/>
      <c r="V205" s="376"/>
      <c r="W205" s="376"/>
      <c r="X205" s="376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9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1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9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69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9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483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9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52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9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18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9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7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5"/>
      <c r="B212" s="376"/>
      <c r="C212" s="376"/>
      <c r="D212" s="376"/>
      <c r="E212" s="376"/>
      <c r="F212" s="376"/>
      <c r="G212" s="376"/>
      <c r="H212" s="376"/>
      <c r="I212" s="376"/>
      <c r="J212" s="376"/>
      <c r="K212" s="376"/>
      <c r="L212" s="376"/>
      <c r="M212" s="377"/>
      <c r="N212" s="379" t="s">
        <v>66</v>
      </c>
      <c r="O212" s="380"/>
      <c r="P212" s="380"/>
      <c r="Q212" s="380"/>
      <c r="R212" s="380"/>
      <c r="S212" s="380"/>
      <c r="T212" s="381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7"/>
      <c r="N213" s="379" t="s">
        <v>66</v>
      </c>
      <c r="O213" s="380"/>
      <c r="P213" s="380"/>
      <c r="Q213" s="380"/>
      <c r="R213" s="380"/>
      <c r="S213" s="380"/>
      <c r="T213" s="381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84" t="s">
        <v>60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376"/>
      <c r="Y214" s="347"/>
      <c r="Z214" s="347"/>
    </row>
    <row r="215" spans="1:53" ht="27" customHeight="1" x14ac:dyDescent="0.25">
      <c r="A215" s="54" t="s">
        <v>330</v>
      </c>
      <c r="B215" s="54" t="s">
        <v>331</v>
      </c>
      <c r="C215" s="31">
        <v>4301031151</v>
      </c>
      <c r="D215" s="369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315</v>
      </c>
      <c r="W215" s="353">
        <f>IFERROR(IF(V215="",0,CEILING((V215/$H215),1)*$H215),"")</f>
        <v>315</v>
      </c>
      <c r="X215" s="36">
        <f>IFERROR(IF(W215=0,"",ROUNDUP(W215/H215,0)*0.00502),"")</f>
        <v>0.753</v>
      </c>
      <c r="Y215" s="56"/>
      <c r="Z215" s="57"/>
      <c r="AD215" s="58"/>
      <c r="BA215" s="179" t="s">
        <v>1</v>
      </c>
    </row>
    <row r="216" spans="1:53" x14ac:dyDescent="0.2">
      <c r="A216" s="375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7"/>
      <c r="N216" s="379" t="s">
        <v>66</v>
      </c>
      <c r="O216" s="380"/>
      <c r="P216" s="380"/>
      <c r="Q216" s="380"/>
      <c r="R216" s="380"/>
      <c r="S216" s="380"/>
      <c r="T216" s="381"/>
      <c r="U216" s="37" t="s">
        <v>67</v>
      </c>
      <c r="V216" s="354">
        <f>IFERROR(V215/H215,"0")</f>
        <v>150</v>
      </c>
      <c r="W216" s="354">
        <f>IFERROR(W215/H215,"0")</f>
        <v>150</v>
      </c>
      <c r="X216" s="354">
        <f>IFERROR(IF(X215="",0,X215),"0")</f>
        <v>0.753</v>
      </c>
      <c r="Y216" s="355"/>
      <c r="Z216" s="355"/>
    </row>
    <row r="217" spans="1:53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7"/>
      <c r="N217" s="379" t="s">
        <v>66</v>
      </c>
      <c r="O217" s="380"/>
      <c r="P217" s="380"/>
      <c r="Q217" s="380"/>
      <c r="R217" s="380"/>
      <c r="S217" s="380"/>
      <c r="T217" s="381"/>
      <c r="U217" s="37" t="s">
        <v>65</v>
      </c>
      <c r="V217" s="354">
        <f>IFERROR(SUM(V215:V215),"0")</f>
        <v>315</v>
      </c>
      <c r="W217" s="354">
        <f>IFERROR(SUM(W215:W215),"0")</f>
        <v>315</v>
      </c>
      <c r="X217" s="37"/>
      <c r="Y217" s="355"/>
      <c r="Z217" s="355"/>
    </row>
    <row r="218" spans="1:53" ht="16.5" hidden="1" customHeight="1" x14ac:dyDescent="0.25">
      <c r="A218" s="383" t="s">
        <v>332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48"/>
      <c r="Z218" s="348"/>
    </row>
    <row r="219" spans="1:53" ht="14.25" hidden="1" customHeight="1" x14ac:dyDescent="0.25">
      <c r="A219" s="384" t="s">
        <v>105</v>
      </c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6"/>
      <c r="P219" s="376"/>
      <c r="Q219" s="376"/>
      <c r="R219" s="376"/>
      <c r="S219" s="376"/>
      <c r="T219" s="376"/>
      <c r="U219" s="376"/>
      <c r="V219" s="376"/>
      <c r="W219" s="376"/>
      <c r="X219" s="376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9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5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9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0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9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44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9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8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9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9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6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5"/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7"/>
      <c r="N226" s="379" t="s">
        <v>66</v>
      </c>
      <c r="O226" s="380"/>
      <c r="P226" s="380"/>
      <c r="Q226" s="380"/>
      <c r="R226" s="380"/>
      <c r="S226" s="380"/>
      <c r="T226" s="381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76"/>
      <c r="B227" s="376"/>
      <c r="C227" s="376"/>
      <c r="D227" s="376"/>
      <c r="E227" s="376"/>
      <c r="F227" s="376"/>
      <c r="G227" s="376"/>
      <c r="H227" s="376"/>
      <c r="I227" s="376"/>
      <c r="J227" s="376"/>
      <c r="K227" s="376"/>
      <c r="L227" s="376"/>
      <c r="M227" s="377"/>
      <c r="N227" s="379" t="s">
        <v>66</v>
      </c>
      <c r="O227" s="380"/>
      <c r="P227" s="380"/>
      <c r="Q227" s="380"/>
      <c r="R227" s="380"/>
      <c r="S227" s="380"/>
      <c r="T227" s="381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383" t="s">
        <v>351</v>
      </c>
      <c r="B228" s="376"/>
      <c r="C228" s="376"/>
      <c r="D228" s="376"/>
      <c r="E228" s="376"/>
      <c r="F228" s="376"/>
      <c r="G228" s="376"/>
      <c r="H228" s="376"/>
      <c r="I228" s="376"/>
      <c r="J228" s="376"/>
      <c r="K228" s="376"/>
      <c r="L228" s="376"/>
      <c r="M228" s="376"/>
      <c r="N228" s="376"/>
      <c r="O228" s="376"/>
      <c r="P228" s="376"/>
      <c r="Q228" s="376"/>
      <c r="R228" s="376"/>
      <c r="S228" s="376"/>
      <c r="T228" s="376"/>
      <c r="U228" s="376"/>
      <c r="V228" s="376"/>
      <c r="W228" s="376"/>
      <c r="X228" s="376"/>
      <c r="Y228" s="348"/>
      <c r="Z228" s="348"/>
    </row>
    <row r="229" spans="1:53" ht="14.25" hidden="1" customHeight="1" x14ac:dyDescent="0.25">
      <c r="A229" s="384" t="s">
        <v>105</v>
      </c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6"/>
      <c r="P229" s="376"/>
      <c r="Q229" s="376"/>
      <c r="R229" s="376"/>
      <c r="S229" s="376"/>
      <c r="T229" s="376"/>
      <c r="U229" s="376"/>
      <c r="V229" s="376"/>
      <c r="W229" s="376"/>
      <c r="X229" s="376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9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9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9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9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9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9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9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9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9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9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9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9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9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9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4301011353</v>
      </c>
      <c r="D244" s="369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20</v>
      </c>
      <c r="W244" s="353">
        <f t="shared" si="13"/>
        <v>20</v>
      </c>
      <c r="X244" s="36">
        <f t="shared" si="14"/>
        <v>4.6850000000000003E-2</v>
      </c>
      <c r="Y244" s="56"/>
      <c r="Z244" s="57"/>
      <c r="AD244" s="58"/>
      <c r="BA244" s="200" t="s">
        <v>1</v>
      </c>
    </row>
    <row r="245" spans="1:53" x14ac:dyDescent="0.2">
      <c r="A245" s="375"/>
      <c r="B245" s="376"/>
      <c r="C245" s="376"/>
      <c r="D245" s="376"/>
      <c r="E245" s="376"/>
      <c r="F245" s="376"/>
      <c r="G245" s="376"/>
      <c r="H245" s="376"/>
      <c r="I245" s="376"/>
      <c r="J245" s="376"/>
      <c r="K245" s="376"/>
      <c r="L245" s="376"/>
      <c r="M245" s="377"/>
      <c r="N245" s="379" t="s">
        <v>66</v>
      </c>
      <c r="O245" s="380"/>
      <c r="P245" s="380"/>
      <c r="Q245" s="380"/>
      <c r="R245" s="380"/>
      <c r="S245" s="380"/>
      <c r="T245" s="381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5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4.6850000000000003E-2</v>
      </c>
      <c r="Y245" s="355"/>
      <c r="Z245" s="355"/>
    </row>
    <row r="246" spans="1:53" x14ac:dyDescent="0.2">
      <c r="A246" s="376"/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7"/>
      <c r="N246" s="379" t="s">
        <v>66</v>
      </c>
      <c r="O246" s="380"/>
      <c r="P246" s="380"/>
      <c r="Q246" s="380"/>
      <c r="R246" s="380"/>
      <c r="S246" s="380"/>
      <c r="T246" s="381"/>
      <c r="U246" s="37" t="s">
        <v>65</v>
      </c>
      <c r="V246" s="354">
        <f>IFERROR(SUM(V230:V244),"0")</f>
        <v>20</v>
      </c>
      <c r="W246" s="354">
        <f>IFERROR(SUM(W230:W244),"0")</f>
        <v>20</v>
      </c>
      <c r="X246" s="37"/>
      <c r="Y246" s="355"/>
      <c r="Z246" s="355"/>
    </row>
    <row r="247" spans="1:53" ht="14.25" hidden="1" customHeight="1" x14ac:dyDescent="0.25">
      <c r="A247" s="384" t="s">
        <v>97</v>
      </c>
      <c r="B247" s="376"/>
      <c r="C247" s="376"/>
      <c r="D247" s="376"/>
      <c r="E247" s="376"/>
      <c r="F247" s="376"/>
      <c r="G247" s="376"/>
      <c r="H247" s="376"/>
      <c r="I247" s="376"/>
      <c r="J247" s="376"/>
      <c r="K247" s="376"/>
      <c r="L247" s="376"/>
      <c r="M247" s="376"/>
      <c r="N247" s="376"/>
      <c r="O247" s="376"/>
      <c r="P247" s="376"/>
      <c r="Q247" s="376"/>
      <c r="R247" s="376"/>
      <c r="S247" s="376"/>
      <c r="T247" s="376"/>
      <c r="U247" s="376"/>
      <c r="V247" s="376"/>
      <c r="W247" s="376"/>
      <c r="X247" s="376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9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5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7"/>
      <c r="N249" s="379" t="s">
        <v>66</v>
      </c>
      <c r="O249" s="380"/>
      <c r="P249" s="380"/>
      <c r="Q249" s="380"/>
      <c r="R249" s="380"/>
      <c r="S249" s="380"/>
      <c r="T249" s="381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76"/>
      <c r="B250" s="376"/>
      <c r="C250" s="376"/>
      <c r="D250" s="376"/>
      <c r="E250" s="376"/>
      <c r="F250" s="376"/>
      <c r="G250" s="376"/>
      <c r="H250" s="376"/>
      <c r="I250" s="376"/>
      <c r="J250" s="376"/>
      <c r="K250" s="376"/>
      <c r="L250" s="376"/>
      <c r="M250" s="377"/>
      <c r="N250" s="379" t="s">
        <v>66</v>
      </c>
      <c r="O250" s="380"/>
      <c r="P250" s="380"/>
      <c r="Q250" s="380"/>
      <c r="R250" s="380"/>
      <c r="S250" s="380"/>
      <c r="T250" s="381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84" t="s">
        <v>60</v>
      </c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6"/>
      <c r="O251" s="376"/>
      <c r="P251" s="376"/>
      <c r="Q251" s="376"/>
      <c r="R251" s="376"/>
      <c r="S251" s="376"/>
      <c r="T251" s="376"/>
      <c r="U251" s="376"/>
      <c r="V251" s="376"/>
      <c r="W251" s="376"/>
      <c r="X251" s="376"/>
      <c r="Y251" s="347"/>
      <c r="Z251" s="347"/>
    </row>
    <row r="252" spans="1:53" ht="27" customHeight="1" x14ac:dyDescent="0.25">
      <c r="A252" s="54" t="s">
        <v>382</v>
      </c>
      <c r="B252" s="54" t="s">
        <v>383</v>
      </c>
      <c r="C252" s="31">
        <v>4301030878</v>
      </c>
      <c r="D252" s="369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20</v>
      </c>
      <c r="W252" s="353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69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4301031152</v>
      </c>
      <c r="D254" s="369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7</v>
      </c>
      <c r="W254" s="353">
        <f>IFERROR(IF(V254="",0,CEILING((V254/$H254),1)*$H254),"")</f>
        <v>8.4</v>
      </c>
      <c r="X254" s="36">
        <f>IFERROR(IF(W254=0,"",ROUNDUP(W254/H254,0)*0.00502),"")</f>
        <v>2.0080000000000001E-2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69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61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5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7"/>
      <c r="N256" s="379" t="s">
        <v>66</v>
      </c>
      <c r="O256" s="380"/>
      <c r="P256" s="380"/>
      <c r="Q256" s="380"/>
      <c r="R256" s="380"/>
      <c r="S256" s="380"/>
      <c r="T256" s="381"/>
      <c r="U256" s="37" t="s">
        <v>67</v>
      </c>
      <c r="V256" s="354">
        <f>IFERROR(V252/H252,"0")+IFERROR(V253/H253,"0")+IFERROR(V254/H254,"0")+IFERROR(V255/H255,"0")</f>
        <v>8.0952380952380949</v>
      </c>
      <c r="W256" s="354">
        <f>IFERROR(W252/H252,"0")+IFERROR(W253/H253,"0")+IFERROR(W254/H254,"0")+IFERROR(W255/H255,"0")</f>
        <v>9</v>
      </c>
      <c r="X256" s="354">
        <f>IFERROR(IF(X252="",0,X252),"0")+IFERROR(IF(X253="",0,X253),"0")+IFERROR(IF(X254="",0,X254),"0")+IFERROR(IF(X255="",0,X255),"0")</f>
        <v>5.7730000000000004E-2</v>
      </c>
      <c r="Y256" s="355"/>
      <c r="Z256" s="355"/>
    </row>
    <row r="257" spans="1:53" x14ac:dyDescent="0.2">
      <c r="A257" s="376"/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7"/>
      <c r="N257" s="379" t="s">
        <v>66</v>
      </c>
      <c r="O257" s="380"/>
      <c r="P257" s="380"/>
      <c r="Q257" s="380"/>
      <c r="R257" s="380"/>
      <c r="S257" s="380"/>
      <c r="T257" s="381"/>
      <c r="U257" s="37" t="s">
        <v>65</v>
      </c>
      <c r="V257" s="354">
        <f>IFERROR(SUM(V252:V255),"0")</f>
        <v>27</v>
      </c>
      <c r="W257" s="354">
        <f>IFERROR(SUM(W252:W255),"0")</f>
        <v>29.4</v>
      </c>
      <c r="X257" s="37"/>
      <c r="Y257" s="355"/>
      <c r="Z257" s="355"/>
    </row>
    <row r="258" spans="1:53" ht="14.25" hidden="1" customHeight="1" x14ac:dyDescent="0.25">
      <c r="A258" s="384" t="s">
        <v>68</v>
      </c>
      <c r="B258" s="376"/>
      <c r="C258" s="376"/>
      <c r="D258" s="376"/>
      <c r="E258" s="376"/>
      <c r="F258" s="376"/>
      <c r="G258" s="376"/>
      <c r="H258" s="376"/>
      <c r="I258" s="376"/>
      <c r="J258" s="376"/>
      <c r="K258" s="376"/>
      <c r="L258" s="376"/>
      <c r="M258" s="376"/>
      <c r="N258" s="376"/>
      <c r="O258" s="376"/>
      <c r="P258" s="376"/>
      <c r="Q258" s="376"/>
      <c r="R258" s="376"/>
      <c r="S258" s="376"/>
      <c r="T258" s="376"/>
      <c r="U258" s="376"/>
      <c r="V258" s="376"/>
      <c r="W258" s="376"/>
      <c r="X258" s="376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69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9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9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5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4301051485</v>
      </c>
      <c r="D262" s="369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385</v>
      </c>
      <c r="W262" s="353">
        <f t="shared" si="15"/>
        <v>386.40000000000003</v>
      </c>
      <c r="X262" s="36">
        <f>IFERROR(IF(W262=0,"",ROUNDUP(W262/H262,0)*0.00753),"")</f>
        <v>1.3855200000000001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9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9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9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69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46.2</v>
      </c>
      <c r="W266" s="353">
        <f t="shared" si="15"/>
        <v>47.519999999999996</v>
      </c>
      <c r="X266" s="36">
        <f>IFERROR(IF(W266=0,"",ROUNDUP(W266/H266,0)*0.00753),"")</f>
        <v>0.18071999999999999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69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7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39.6</v>
      </c>
      <c r="W267" s="353">
        <f t="shared" si="15"/>
        <v>39.6</v>
      </c>
      <c r="X267" s="36">
        <f>IFERROR(IF(W267=0,"",ROUNDUP(W267/H267,0)*0.00753),"")</f>
        <v>0.15060000000000001</v>
      </c>
      <c r="Y267" s="56"/>
      <c r="Z267" s="57"/>
      <c r="AD267" s="58"/>
      <c r="BA267" s="214" t="s">
        <v>1</v>
      </c>
    </row>
    <row r="268" spans="1:53" x14ac:dyDescent="0.2">
      <c r="A268" s="375"/>
      <c r="B268" s="376"/>
      <c r="C268" s="376"/>
      <c r="D268" s="376"/>
      <c r="E268" s="376"/>
      <c r="F268" s="376"/>
      <c r="G268" s="376"/>
      <c r="H268" s="376"/>
      <c r="I268" s="376"/>
      <c r="J268" s="376"/>
      <c r="K268" s="376"/>
      <c r="L268" s="376"/>
      <c r="M268" s="377"/>
      <c r="N268" s="379" t="s">
        <v>66</v>
      </c>
      <c r="O268" s="380"/>
      <c r="P268" s="380"/>
      <c r="Q268" s="380"/>
      <c r="R268" s="380"/>
      <c r="S268" s="380"/>
      <c r="T268" s="381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226.66666666666666</v>
      </c>
      <c r="W268" s="354">
        <f>IFERROR(W259/H259,"0")+IFERROR(W260/H260,"0")+IFERROR(W261/H261,"0")+IFERROR(W262/H262,"0")+IFERROR(W263/H263,"0")+IFERROR(W264/H264,"0")+IFERROR(W265/H265,"0")+IFERROR(W266/H266,"0")+IFERROR(W267/H267,"0")</f>
        <v>228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1.7168400000000001</v>
      </c>
      <c r="Y268" s="355"/>
      <c r="Z268" s="355"/>
    </row>
    <row r="269" spans="1:53" x14ac:dyDescent="0.2">
      <c r="A269" s="376"/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7"/>
      <c r="N269" s="379" t="s">
        <v>66</v>
      </c>
      <c r="O269" s="380"/>
      <c r="P269" s="380"/>
      <c r="Q269" s="380"/>
      <c r="R269" s="380"/>
      <c r="S269" s="380"/>
      <c r="T269" s="381"/>
      <c r="U269" s="37" t="s">
        <v>65</v>
      </c>
      <c r="V269" s="354">
        <f>IFERROR(SUM(V259:V267),"0")</f>
        <v>470.8</v>
      </c>
      <c r="W269" s="354">
        <f>IFERROR(SUM(W259:W267),"0")</f>
        <v>473.52000000000004</v>
      </c>
      <c r="X269" s="37"/>
      <c r="Y269" s="355"/>
      <c r="Z269" s="355"/>
    </row>
    <row r="270" spans="1:53" ht="14.25" hidden="1" customHeight="1" x14ac:dyDescent="0.25">
      <c r="A270" s="384" t="s">
        <v>203</v>
      </c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347"/>
      <c r="Z270" s="347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69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30</v>
      </c>
      <c r="W271" s="353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69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300</v>
      </c>
      <c r="W272" s="353">
        <f>IFERROR(IF(V272="",0,CEILING((V272/$H272),1)*$H272),"")</f>
        <v>304.2</v>
      </c>
      <c r="X272" s="36">
        <f>IFERROR(IF(W272=0,"",ROUNDUP(W272/H272,0)*0.02175),"")</f>
        <v>0.84824999999999995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69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30</v>
      </c>
      <c r="W273" s="353">
        <f>IFERROR(IF(V273="",0,CEILING((V273/$H273),1)*$H273),"")</f>
        <v>33.6</v>
      </c>
      <c r="X273" s="36">
        <f>IFERROR(IF(W273=0,"",ROUNDUP(W273/H273,0)*0.02175),"")</f>
        <v>8.6999999999999994E-2</v>
      </c>
      <c r="Y273" s="56"/>
      <c r="Z273" s="57"/>
      <c r="AD273" s="58"/>
      <c r="BA273" s="217" t="s">
        <v>1</v>
      </c>
    </row>
    <row r="274" spans="1:53" x14ac:dyDescent="0.2">
      <c r="A274" s="375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7"/>
      <c r="N274" s="379" t="s">
        <v>66</v>
      </c>
      <c r="O274" s="380"/>
      <c r="P274" s="380"/>
      <c r="Q274" s="380"/>
      <c r="R274" s="380"/>
      <c r="S274" s="380"/>
      <c r="T274" s="381"/>
      <c r="U274" s="37" t="s">
        <v>67</v>
      </c>
      <c r="V274" s="354">
        <f>IFERROR(V271/H271,"0")+IFERROR(V272/H272,"0")+IFERROR(V273/H273,"0")</f>
        <v>45.604395604395599</v>
      </c>
      <c r="W274" s="354">
        <f>IFERROR(W271/H271,"0")+IFERROR(W272/H272,"0")+IFERROR(W273/H273,"0")</f>
        <v>47</v>
      </c>
      <c r="X274" s="354">
        <f>IFERROR(IF(X271="",0,X271),"0")+IFERROR(IF(X272="",0,X272),"0")+IFERROR(IF(X273="",0,X273),"0")</f>
        <v>1.0222499999999999</v>
      </c>
      <c r="Y274" s="355"/>
      <c r="Z274" s="355"/>
    </row>
    <row r="275" spans="1:53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7"/>
      <c r="N275" s="379" t="s">
        <v>66</v>
      </c>
      <c r="O275" s="380"/>
      <c r="P275" s="380"/>
      <c r="Q275" s="380"/>
      <c r="R275" s="380"/>
      <c r="S275" s="380"/>
      <c r="T275" s="381"/>
      <c r="U275" s="37" t="s">
        <v>65</v>
      </c>
      <c r="V275" s="354">
        <f>IFERROR(SUM(V271:V273),"0")</f>
        <v>360</v>
      </c>
      <c r="W275" s="354">
        <f>IFERROR(SUM(W271:W273),"0")</f>
        <v>371.40000000000003</v>
      </c>
      <c r="X275" s="37"/>
      <c r="Y275" s="355"/>
      <c r="Z275" s="355"/>
    </row>
    <row r="276" spans="1:53" ht="14.25" hidden="1" customHeight="1" x14ac:dyDescent="0.25">
      <c r="A276" s="384" t="s">
        <v>83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9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76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9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465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69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75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7"/>
      <c r="N280" s="379" t="s">
        <v>66</v>
      </c>
      <c r="O280" s="380"/>
      <c r="P280" s="380"/>
      <c r="Q280" s="380"/>
      <c r="R280" s="380"/>
      <c r="S280" s="380"/>
      <c r="T280" s="381"/>
      <c r="U280" s="37" t="s">
        <v>67</v>
      </c>
      <c r="V280" s="354">
        <f>IFERROR(V277/H277,"0")+IFERROR(V278/H278,"0")+IFERROR(V279/H279,"0")</f>
        <v>0</v>
      </c>
      <c r="W280" s="354">
        <f>IFERROR(W277/H277,"0")+IFERROR(W278/H278,"0")+IFERROR(W279/H279,"0")</f>
        <v>0</v>
      </c>
      <c r="X280" s="354">
        <f>IFERROR(IF(X277="",0,X277),"0")+IFERROR(IF(X278="",0,X278),"0")+IFERROR(IF(X279="",0,X279),"0")</f>
        <v>0</v>
      </c>
      <c r="Y280" s="355"/>
      <c r="Z280" s="355"/>
    </row>
    <row r="281" spans="1:53" hidden="1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7"/>
      <c r="N281" s="379" t="s">
        <v>66</v>
      </c>
      <c r="O281" s="380"/>
      <c r="P281" s="380"/>
      <c r="Q281" s="380"/>
      <c r="R281" s="380"/>
      <c r="S281" s="380"/>
      <c r="T281" s="381"/>
      <c r="U281" s="37" t="s">
        <v>65</v>
      </c>
      <c r="V281" s="354">
        <f>IFERROR(SUM(V277:V279),"0")</f>
        <v>0</v>
      </c>
      <c r="W281" s="354">
        <f>IFERROR(SUM(W277:W279),"0")</f>
        <v>0</v>
      </c>
      <c r="X281" s="37"/>
      <c r="Y281" s="355"/>
      <c r="Z281" s="355"/>
    </row>
    <row r="282" spans="1:53" ht="14.25" hidden="1" customHeight="1" x14ac:dyDescent="0.25">
      <c r="A282" s="384" t="s">
        <v>422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47"/>
      <c r="Z282" s="347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69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30</v>
      </c>
      <c r="W283" s="353">
        <f>IFERROR(IF(V283="",0,CEILING((V283/$H283),1)*$H283),"")</f>
        <v>30</v>
      </c>
      <c r="X283" s="36">
        <f>IFERROR(IF(W283=0,"",ROUNDUP(W283/H283,0)*0.00474),"")</f>
        <v>7.110000000000001E-2</v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9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69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50</v>
      </c>
      <c r="W285" s="353">
        <f>IFERROR(IF(V285="",0,CEILING((V285/$H285),1)*$H285),"")</f>
        <v>50</v>
      </c>
      <c r="X285" s="36">
        <f>IFERROR(IF(W285=0,"",ROUNDUP(W285/H285,0)*0.00474),"")</f>
        <v>0.11850000000000001</v>
      </c>
      <c r="Y285" s="56"/>
      <c r="Z285" s="57"/>
      <c r="AD285" s="58"/>
      <c r="BA285" s="223" t="s">
        <v>1</v>
      </c>
    </row>
    <row r="286" spans="1:53" x14ac:dyDescent="0.2">
      <c r="A286" s="375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7"/>
      <c r="N286" s="379" t="s">
        <v>66</v>
      </c>
      <c r="O286" s="380"/>
      <c r="P286" s="380"/>
      <c r="Q286" s="380"/>
      <c r="R286" s="380"/>
      <c r="S286" s="380"/>
      <c r="T286" s="381"/>
      <c r="U286" s="37" t="s">
        <v>67</v>
      </c>
      <c r="V286" s="354">
        <f>IFERROR(V283/H283,"0")+IFERROR(V284/H284,"0")+IFERROR(V285/H285,"0")</f>
        <v>40</v>
      </c>
      <c r="W286" s="354">
        <f>IFERROR(W283/H283,"0")+IFERROR(W284/H284,"0")+IFERROR(W285/H285,"0")</f>
        <v>40</v>
      </c>
      <c r="X286" s="354">
        <f>IFERROR(IF(X283="",0,X283),"0")+IFERROR(IF(X284="",0,X284),"0")+IFERROR(IF(X285="",0,X285),"0")</f>
        <v>0.18960000000000002</v>
      </c>
      <c r="Y286" s="355"/>
      <c r="Z286" s="355"/>
    </row>
    <row r="287" spans="1:53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7"/>
      <c r="N287" s="379" t="s">
        <v>66</v>
      </c>
      <c r="O287" s="380"/>
      <c r="P287" s="380"/>
      <c r="Q287" s="380"/>
      <c r="R287" s="380"/>
      <c r="S287" s="380"/>
      <c r="T287" s="381"/>
      <c r="U287" s="37" t="s">
        <v>65</v>
      </c>
      <c r="V287" s="354">
        <f>IFERROR(SUM(V283:V285),"0")</f>
        <v>80</v>
      </c>
      <c r="W287" s="354">
        <f>IFERROR(SUM(W283:W285),"0")</f>
        <v>80</v>
      </c>
      <c r="X287" s="37"/>
      <c r="Y287" s="355"/>
      <c r="Z287" s="355"/>
    </row>
    <row r="288" spans="1:53" ht="16.5" hidden="1" customHeight="1" x14ac:dyDescent="0.25">
      <c r="A288" s="383" t="s">
        <v>431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48"/>
      <c r="Z288" s="348"/>
    </row>
    <row r="289" spans="1:53" ht="14.25" hidden="1" customHeight="1" x14ac:dyDescent="0.25">
      <c r="A289" s="384" t="s">
        <v>105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376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9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9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4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69">
        <v>4607091387452</v>
      </c>
      <c r="E292" s="360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69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69">
        <v>4607091387452</v>
      </c>
      <c r="E294" s="360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9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9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9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75"/>
      <c r="B298" s="376"/>
      <c r="C298" s="376"/>
      <c r="D298" s="376"/>
      <c r="E298" s="376"/>
      <c r="F298" s="376"/>
      <c r="G298" s="376"/>
      <c r="H298" s="376"/>
      <c r="I298" s="376"/>
      <c r="J298" s="376"/>
      <c r="K298" s="376"/>
      <c r="L298" s="376"/>
      <c r="M298" s="377"/>
      <c r="N298" s="379" t="s">
        <v>66</v>
      </c>
      <c r="O298" s="380"/>
      <c r="P298" s="380"/>
      <c r="Q298" s="380"/>
      <c r="R298" s="380"/>
      <c r="S298" s="380"/>
      <c r="T298" s="381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76"/>
      <c r="B299" s="376"/>
      <c r="C299" s="376"/>
      <c r="D299" s="376"/>
      <c r="E299" s="376"/>
      <c r="F299" s="376"/>
      <c r="G299" s="376"/>
      <c r="H299" s="376"/>
      <c r="I299" s="376"/>
      <c r="J299" s="376"/>
      <c r="K299" s="376"/>
      <c r="L299" s="376"/>
      <c r="M299" s="377"/>
      <c r="N299" s="379" t="s">
        <v>66</v>
      </c>
      <c r="O299" s="380"/>
      <c r="P299" s="380"/>
      <c r="Q299" s="380"/>
      <c r="R299" s="380"/>
      <c r="S299" s="380"/>
      <c r="T299" s="381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84" t="s">
        <v>60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376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9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9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5"/>
      <c r="B303" s="376"/>
      <c r="C303" s="376"/>
      <c r="D303" s="376"/>
      <c r="E303" s="376"/>
      <c r="F303" s="376"/>
      <c r="G303" s="376"/>
      <c r="H303" s="376"/>
      <c r="I303" s="376"/>
      <c r="J303" s="376"/>
      <c r="K303" s="376"/>
      <c r="L303" s="376"/>
      <c r="M303" s="377"/>
      <c r="N303" s="379" t="s">
        <v>66</v>
      </c>
      <c r="O303" s="380"/>
      <c r="P303" s="380"/>
      <c r="Q303" s="380"/>
      <c r="R303" s="380"/>
      <c r="S303" s="380"/>
      <c r="T303" s="381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7"/>
      <c r="N304" s="379" t="s">
        <v>66</v>
      </c>
      <c r="O304" s="380"/>
      <c r="P304" s="380"/>
      <c r="Q304" s="380"/>
      <c r="R304" s="380"/>
      <c r="S304" s="380"/>
      <c r="T304" s="381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383" t="s">
        <v>449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376"/>
      <c r="Y305" s="348"/>
      <c r="Z305" s="348"/>
    </row>
    <row r="306" spans="1:53" ht="14.25" hidden="1" customHeight="1" x14ac:dyDescent="0.25">
      <c r="A306" s="384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47"/>
      <c r="Z306" s="347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69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33</v>
      </c>
      <c r="W307" s="353">
        <f>IFERROR(IF(V307="",0,CEILING((V307/$H307),1)*$H307),"")</f>
        <v>34.200000000000003</v>
      </c>
      <c r="X307" s="36">
        <f>IFERROR(IF(W307=0,"",ROUNDUP(W307/H307,0)*0.00753),"")</f>
        <v>0.14307</v>
      </c>
      <c r="Y307" s="56"/>
      <c r="Z307" s="57"/>
      <c r="AD307" s="58"/>
      <c r="BA307" s="234" t="s">
        <v>1</v>
      </c>
    </row>
    <row r="308" spans="1:53" x14ac:dyDescent="0.2">
      <c r="A308" s="375"/>
      <c r="B308" s="376"/>
      <c r="C308" s="376"/>
      <c r="D308" s="376"/>
      <c r="E308" s="376"/>
      <c r="F308" s="376"/>
      <c r="G308" s="376"/>
      <c r="H308" s="376"/>
      <c r="I308" s="376"/>
      <c r="J308" s="376"/>
      <c r="K308" s="376"/>
      <c r="L308" s="376"/>
      <c r="M308" s="377"/>
      <c r="N308" s="379" t="s">
        <v>66</v>
      </c>
      <c r="O308" s="380"/>
      <c r="P308" s="380"/>
      <c r="Q308" s="380"/>
      <c r="R308" s="380"/>
      <c r="S308" s="380"/>
      <c r="T308" s="381"/>
      <c r="U308" s="37" t="s">
        <v>67</v>
      </c>
      <c r="V308" s="354">
        <f>IFERROR(V307/H307,"0")</f>
        <v>18.333333333333332</v>
      </c>
      <c r="W308" s="354">
        <f>IFERROR(W307/H307,"0")</f>
        <v>19</v>
      </c>
      <c r="X308" s="354">
        <f>IFERROR(IF(X307="",0,X307),"0")</f>
        <v>0.14307</v>
      </c>
      <c r="Y308" s="355"/>
      <c r="Z308" s="355"/>
    </row>
    <row r="309" spans="1:53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7"/>
      <c r="N309" s="379" t="s">
        <v>66</v>
      </c>
      <c r="O309" s="380"/>
      <c r="P309" s="380"/>
      <c r="Q309" s="380"/>
      <c r="R309" s="380"/>
      <c r="S309" s="380"/>
      <c r="T309" s="381"/>
      <c r="U309" s="37" t="s">
        <v>65</v>
      </c>
      <c r="V309" s="354">
        <f>IFERROR(SUM(V307:V307),"0")</f>
        <v>33</v>
      </c>
      <c r="W309" s="354">
        <f>IFERROR(SUM(W307:W307),"0")</f>
        <v>34.200000000000003</v>
      </c>
      <c r="X309" s="37"/>
      <c r="Y309" s="355"/>
      <c r="Z309" s="355"/>
    </row>
    <row r="310" spans="1:53" ht="14.25" hidden="1" customHeight="1" x14ac:dyDescent="0.25">
      <c r="A310" s="384" t="s">
        <v>68</v>
      </c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6"/>
      <c r="O310" s="376"/>
      <c r="P310" s="376"/>
      <c r="Q310" s="376"/>
      <c r="R310" s="376"/>
      <c r="S310" s="376"/>
      <c r="T310" s="376"/>
      <c r="U310" s="376"/>
      <c r="V310" s="376"/>
      <c r="W310" s="376"/>
      <c r="X310" s="376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9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9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630</v>
      </c>
      <c r="W312" s="353">
        <f>IFERROR(IF(V312="",0,CEILING((V312/$H312),1)*$H312),"")</f>
        <v>630</v>
      </c>
      <c r="X312" s="36">
        <f>IFERROR(IF(W312=0,"",ROUNDUP(W312/H312,0)*0.00753),"")</f>
        <v>2.2589999999999999</v>
      </c>
      <c r="Y312" s="56"/>
      <c r="Z312" s="57"/>
      <c r="AD312" s="58"/>
      <c r="BA312" s="236" t="s">
        <v>1</v>
      </c>
    </row>
    <row r="313" spans="1:53" x14ac:dyDescent="0.2">
      <c r="A313" s="375"/>
      <c r="B313" s="376"/>
      <c r="C313" s="376"/>
      <c r="D313" s="376"/>
      <c r="E313" s="376"/>
      <c r="F313" s="376"/>
      <c r="G313" s="376"/>
      <c r="H313" s="376"/>
      <c r="I313" s="376"/>
      <c r="J313" s="376"/>
      <c r="K313" s="376"/>
      <c r="L313" s="376"/>
      <c r="M313" s="377"/>
      <c r="N313" s="379" t="s">
        <v>66</v>
      </c>
      <c r="O313" s="380"/>
      <c r="P313" s="380"/>
      <c r="Q313" s="380"/>
      <c r="R313" s="380"/>
      <c r="S313" s="380"/>
      <c r="T313" s="381"/>
      <c r="U313" s="37" t="s">
        <v>67</v>
      </c>
      <c r="V313" s="354">
        <f>IFERROR(V311/H311,"0")+IFERROR(V312/H312,"0")</f>
        <v>300</v>
      </c>
      <c r="W313" s="354">
        <f>IFERROR(W311/H311,"0")+IFERROR(W312/H312,"0")</f>
        <v>300</v>
      </c>
      <c r="X313" s="354">
        <f>IFERROR(IF(X311="",0,X311),"0")+IFERROR(IF(X312="",0,X312),"0")</f>
        <v>2.2589999999999999</v>
      </c>
      <c r="Y313" s="355"/>
      <c r="Z313" s="355"/>
    </row>
    <row r="314" spans="1:53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7"/>
      <c r="N314" s="379" t="s">
        <v>66</v>
      </c>
      <c r="O314" s="380"/>
      <c r="P314" s="380"/>
      <c r="Q314" s="380"/>
      <c r="R314" s="380"/>
      <c r="S314" s="380"/>
      <c r="T314" s="381"/>
      <c r="U314" s="37" t="s">
        <v>65</v>
      </c>
      <c r="V314" s="354">
        <f>IFERROR(SUM(V311:V312),"0")</f>
        <v>630</v>
      </c>
      <c r="W314" s="354">
        <f>IFERROR(SUM(W311:W312),"0")</f>
        <v>630</v>
      </c>
      <c r="X314" s="37"/>
      <c r="Y314" s="355"/>
      <c r="Z314" s="355"/>
    </row>
    <row r="315" spans="1:53" ht="14.25" hidden="1" customHeight="1" x14ac:dyDescent="0.25">
      <c r="A315" s="384" t="s">
        <v>203</v>
      </c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347"/>
      <c r="Z315" s="347"/>
    </row>
    <row r="316" spans="1:53" ht="27" customHeight="1" x14ac:dyDescent="0.25">
      <c r="A316" s="54" t="s">
        <v>456</v>
      </c>
      <c r="B316" s="54" t="s">
        <v>457</v>
      </c>
      <c r="C316" s="31">
        <v>4301060324</v>
      </c>
      <c r="D316" s="369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34.200000000000003</v>
      </c>
      <c r="W316" s="353">
        <f>IFERROR(IF(V316="",0,CEILING((V316/$H316),1)*$H316),"")</f>
        <v>34.199999999999996</v>
      </c>
      <c r="X316" s="36">
        <f>IFERROR(IF(W316=0,"",ROUNDUP(W316/H316,0)*0.00753),"")</f>
        <v>0.11295000000000001</v>
      </c>
      <c r="Y316" s="56"/>
      <c r="Z316" s="57"/>
      <c r="AD316" s="58"/>
      <c r="BA316" s="237" t="s">
        <v>1</v>
      </c>
    </row>
    <row r="317" spans="1:53" x14ac:dyDescent="0.2">
      <c r="A317" s="375"/>
      <c r="B317" s="376"/>
      <c r="C317" s="376"/>
      <c r="D317" s="376"/>
      <c r="E317" s="376"/>
      <c r="F317" s="376"/>
      <c r="G317" s="376"/>
      <c r="H317" s="376"/>
      <c r="I317" s="376"/>
      <c r="J317" s="376"/>
      <c r="K317" s="376"/>
      <c r="L317" s="376"/>
      <c r="M317" s="377"/>
      <c r="N317" s="379" t="s">
        <v>66</v>
      </c>
      <c r="O317" s="380"/>
      <c r="P317" s="380"/>
      <c r="Q317" s="380"/>
      <c r="R317" s="380"/>
      <c r="S317" s="380"/>
      <c r="T317" s="381"/>
      <c r="U317" s="37" t="s">
        <v>67</v>
      </c>
      <c r="V317" s="354">
        <f>IFERROR(V316/H316,"0")</f>
        <v>15.000000000000002</v>
      </c>
      <c r="W317" s="354">
        <f>IFERROR(W316/H316,"0")</f>
        <v>15</v>
      </c>
      <c r="X317" s="354">
        <f>IFERROR(IF(X316="",0,X316),"0")</f>
        <v>0.11295000000000001</v>
      </c>
      <c r="Y317" s="355"/>
      <c r="Z317" s="355"/>
    </row>
    <row r="318" spans="1:53" x14ac:dyDescent="0.2">
      <c r="A318" s="376"/>
      <c r="B318" s="376"/>
      <c r="C318" s="376"/>
      <c r="D318" s="376"/>
      <c r="E318" s="376"/>
      <c r="F318" s="376"/>
      <c r="G318" s="376"/>
      <c r="H318" s="376"/>
      <c r="I318" s="376"/>
      <c r="J318" s="376"/>
      <c r="K318" s="376"/>
      <c r="L318" s="376"/>
      <c r="M318" s="377"/>
      <c r="N318" s="379" t="s">
        <v>66</v>
      </c>
      <c r="O318" s="380"/>
      <c r="P318" s="380"/>
      <c r="Q318" s="380"/>
      <c r="R318" s="380"/>
      <c r="S318" s="380"/>
      <c r="T318" s="381"/>
      <c r="U318" s="37" t="s">
        <v>65</v>
      </c>
      <c r="V318" s="354">
        <f>IFERROR(SUM(V316:V316),"0")</f>
        <v>34.200000000000003</v>
      </c>
      <c r="W318" s="354">
        <f>IFERROR(SUM(W316:W316),"0")</f>
        <v>34.199999999999996</v>
      </c>
      <c r="X318" s="37"/>
      <c r="Y318" s="355"/>
      <c r="Z318" s="355"/>
    </row>
    <row r="319" spans="1:53" ht="14.25" hidden="1" customHeight="1" x14ac:dyDescent="0.25">
      <c r="A319" s="384" t="s">
        <v>83</v>
      </c>
      <c r="B319" s="376"/>
      <c r="C319" s="376"/>
      <c r="D319" s="376"/>
      <c r="E319" s="376"/>
      <c r="F319" s="376"/>
      <c r="G319" s="376"/>
      <c r="H319" s="376"/>
      <c r="I319" s="376"/>
      <c r="J319" s="376"/>
      <c r="K319" s="376"/>
      <c r="L319" s="376"/>
      <c r="M319" s="376"/>
      <c r="N319" s="376"/>
      <c r="O319" s="376"/>
      <c r="P319" s="376"/>
      <c r="Q319" s="376"/>
      <c r="R319" s="376"/>
      <c r="S319" s="376"/>
      <c r="T319" s="376"/>
      <c r="U319" s="376"/>
      <c r="V319" s="376"/>
      <c r="W319" s="376"/>
      <c r="X319" s="376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9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5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7"/>
      <c r="N321" s="379" t="s">
        <v>66</v>
      </c>
      <c r="O321" s="380"/>
      <c r="P321" s="380"/>
      <c r="Q321" s="380"/>
      <c r="R321" s="380"/>
      <c r="S321" s="380"/>
      <c r="T321" s="381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76"/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7"/>
      <c r="N322" s="379" t="s">
        <v>66</v>
      </c>
      <c r="O322" s="380"/>
      <c r="P322" s="380"/>
      <c r="Q322" s="380"/>
      <c r="R322" s="380"/>
      <c r="S322" s="380"/>
      <c r="T322" s="381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434" t="s">
        <v>460</v>
      </c>
      <c r="B323" s="435"/>
      <c r="C323" s="435"/>
      <c r="D323" s="435"/>
      <c r="E323" s="435"/>
      <c r="F323" s="435"/>
      <c r="G323" s="435"/>
      <c r="H323" s="435"/>
      <c r="I323" s="435"/>
      <c r="J323" s="435"/>
      <c r="K323" s="435"/>
      <c r="L323" s="435"/>
      <c r="M323" s="435"/>
      <c r="N323" s="435"/>
      <c r="O323" s="435"/>
      <c r="P323" s="435"/>
      <c r="Q323" s="435"/>
      <c r="R323" s="435"/>
      <c r="S323" s="435"/>
      <c r="T323" s="435"/>
      <c r="U323" s="435"/>
      <c r="V323" s="435"/>
      <c r="W323" s="435"/>
      <c r="X323" s="435"/>
      <c r="Y323" s="48"/>
      <c r="Z323" s="48"/>
    </row>
    <row r="324" spans="1:53" ht="16.5" hidden="1" customHeight="1" x14ac:dyDescent="0.25">
      <c r="A324" s="383" t="s">
        <v>461</v>
      </c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348"/>
      <c r="Z324" s="348"/>
    </row>
    <row r="325" spans="1:53" ht="14.25" hidden="1" customHeight="1" x14ac:dyDescent="0.25">
      <c r="A325" s="384" t="s">
        <v>68</v>
      </c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6"/>
      <c r="O325" s="376"/>
      <c r="P325" s="376"/>
      <c r="Q325" s="376"/>
      <c r="R325" s="376"/>
      <c r="S325" s="376"/>
      <c r="T325" s="376"/>
      <c r="U325" s="376"/>
      <c r="V325" s="376"/>
      <c r="W325" s="376"/>
      <c r="X325" s="376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9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5"/>
      <c r="B327" s="376"/>
      <c r="C327" s="376"/>
      <c r="D327" s="376"/>
      <c r="E327" s="376"/>
      <c r="F327" s="376"/>
      <c r="G327" s="376"/>
      <c r="H327" s="376"/>
      <c r="I327" s="376"/>
      <c r="J327" s="376"/>
      <c r="K327" s="376"/>
      <c r="L327" s="376"/>
      <c r="M327" s="377"/>
      <c r="N327" s="379" t="s">
        <v>66</v>
      </c>
      <c r="O327" s="380"/>
      <c r="P327" s="380"/>
      <c r="Q327" s="380"/>
      <c r="R327" s="380"/>
      <c r="S327" s="380"/>
      <c r="T327" s="381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7"/>
      <c r="N328" s="379" t="s">
        <v>66</v>
      </c>
      <c r="O328" s="380"/>
      <c r="P328" s="380"/>
      <c r="Q328" s="380"/>
      <c r="R328" s="380"/>
      <c r="S328" s="380"/>
      <c r="T328" s="381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434" t="s">
        <v>464</v>
      </c>
      <c r="B329" s="435"/>
      <c r="C329" s="435"/>
      <c r="D329" s="435"/>
      <c r="E329" s="435"/>
      <c r="F329" s="435"/>
      <c r="G329" s="435"/>
      <c r="H329" s="435"/>
      <c r="I329" s="435"/>
      <c r="J329" s="435"/>
      <c r="K329" s="435"/>
      <c r="L329" s="435"/>
      <c r="M329" s="435"/>
      <c r="N329" s="435"/>
      <c r="O329" s="435"/>
      <c r="P329" s="435"/>
      <c r="Q329" s="435"/>
      <c r="R329" s="435"/>
      <c r="S329" s="435"/>
      <c r="T329" s="435"/>
      <c r="U329" s="435"/>
      <c r="V329" s="435"/>
      <c r="W329" s="435"/>
      <c r="X329" s="435"/>
      <c r="Y329" s="48"/>
      <c r="Z329" s="48"/>
    </row>
    <row r="330" spans="1:53" ht="16.5" hidden="1" customHeight="1" x14ac:dyDescent="0.25">
      <c r="A330" s="383" t="s">
        <v>465</v>
      </c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348"/>
      <c r="Z330" s="348"/>
    </row>
    <row r="331" spans="1:53" ht="14.25" hidden="1" customHeight="1" x14ac:dyDescent="0.25">
      <c r="A331" s="384" t="s">
        <v>105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9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46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9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300</v>
      </c>
      <c r="W333" s="353">
        <f t="shared" si="17"/>
        <v>300</v>
      </c>
      <c r="X333" s="36">
        <f>IFERROR(IF(W333=0,"",ROUNDUP(W333/H333,0)*0.02175),"")</f>
        <v>0.43499999999999994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9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471</v>
      </c>
      <c r="C335" s="31">
        <v>4301011326</v>
      </c>
      <c r="D335" s="369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9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7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472</v>
      </c>
      <c r="B337" s="54" t="s">
        <v>474</v>
      </c>
      <c r="C337" s="31">
        <v>4301011330</v>
      </c>
      <c r="D337" s="369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69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175</v>
      </c>
      <c r="W338" s="353">
        <f t="shared" si="17"/>
        <v>175</v>
      </c>
      <c r="X338" s="36">
        <f>IFERROR(IF(W338=0,"",ROUNDUP(W338/H338,0)*0.00937),"")</f>
        <v>0.32795000000000002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4301011332</v>
      </c>
      <c r="D339" s="369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15</v>
      </c>
      <c r="W339" s="353">
        <f t="shared" si="17"/>
        <v>15</v>
      </c>
      <c r="X339" s="36">
        <f>IFERROR(IF(W339=0,"",ROUNDUP(W339/H339,0)*0.00937),"")</f>
        <v>2.811E-2</v>
      </c>
      <c r="Y339" s="56"/>
      <c r="Z339" s="57"/>
      <c r="AD339" s="58"/>
      <c r="BA339" s="247" t="s">
        <v>1</v>
      </c>
    </row>
    <row r="340" spans="1:53" x14ac:dyDescent="0.2">
      <c r="A340" s="375"/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7"/>
      <c r="N340" s="379" t="s">
        <v>66</v>
      </c>
      <c r="O340" s="380"/>
      <c r="P340" s="380"/>
      <c r="Q340" s="380"/>
      <c r="R340" s="380"/>
      <c r="S340" s="380"/>
      <c r="T340" s="381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58</v>
      </c>
      <c r="W340" s="354">
        <f>IFERROR(W332/H332,"0")+IFERROR(W333/H333,"0")+IFERROR(W334/H334,"0")+IFERROR(W335/H335,"0")+IFERROR(W336/H336,"0")+IFERROR(W337/H337,"0")+IFERROR(W338/H338,"0")+IFERROR(W339/H339,"0")</f>
        <v>58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0.79105999999999999</v>
      </c>
      <c r="Y340" s="355"/>
      <c r="Z340" s="355"/>
    </row>
    <row r="341" spans="1:53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7"/>
      <c r="N341" s="379" t="s">
        <v>66</v>
      </c>
      <c r="O341" s="380"/>
      <c r="P341" s="380"/>
      <c r="Q341" s="380"/>
      <c r="R341" s="380"/>
      <c r="S341" s="380"/>
      <c r="T341" s="381"/>
      <c r="U341" s="37" t="s">
        <v>65</v>
      </c>
      <c r="V341" s="354">
        <f>IFERROR(SUM(V332:V339),"0")</f>
        <v>490</v>
      </c>
      <c r="W341" s="354">
        <f>IFERROR(SUM(W332:W339),"0")</f>
        <v>490</v>
      </c>
      <c r="X341" s="37"/>
      <c r="Y341" s="355"/>
      <c r="Z341" s="355"/>
    </row>
    <row r="342" spans="1:53" ht="14.25" hidden="1" customHeight="1" x14ac:dyDescent="0.25">
      <c r="A342" s="384" t="s">
        <v>97</v>
      </c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6"/>
      <c r="O342" s="376"/>
      <c r="P342" s="376"/>
      <c r="Q342" s="376"/>
      <c r="R342" s="376"/>
      <c r="S342" s="376"/>
      <c r="T342" s="376"/>
      <c r="U342" s="376"/>
      <c r="V342" s="376"/>
      <c r="W342" s="376"/>
      <c r="X342" s="376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9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200</v>
      </c>
      <c r="W343" s="353">
        <f>IFERROR(IF(V343="",0,CEILING((V343/$H343),1)*$H343),"")</f>
        <v>210</v>
      </c>
      <c r="X343" s="36">
        <f>IFERROR(IF(W343=0,"",ROUNDUP(W343/H343,0)*0.02175),"")</f>
        <v>0.30449999999999999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9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483</v>
      </c>
      <c r="B345" s="54" t="s">
        <v>484</v>
      </c>
      <c r="C345" s="31">
        <v>4301020179</v>
      </c>
      <c r="D345" s="369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5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16</v>
      </c>
      <c r="W345" s="353">
        <f>IFERROR(IF(V345="",0,CEILING((V345/$H345),1)*$H345),"")</f>
        <v>16</v>
      </c>
      <c r="X345" s="36">
        <f>IFERROR(IF(W345=0,"",ROUNDUP(W345/H345,0)*0.00937),"")</f>
        <v>3.7479999999999999E-2</v>
      </c>
      <c r="Y345" s="56"/>
      <c r="Z345" s="57"/>
      <c r="AD345" s="58"/>
      <c r="BA345" s="250" t="s">
        <v>1</v>
      </c>
    </row>
    <row r="346" spans="1:53" x14ac:dyDescent="0.2">
      <c r="A346" s="375"/>
      <c r="B346" s="376"/>
      <c r="C346" s="376"/>
      <c r="D346" s="376"/>
      <c r="E346" s="376"/>
      <c r="F346" s="376"/>
      <c r="G346" s="376"/>
      <c r="H346" s="376"/>
      <c r="I346" s="376"/>
      <c r="J346" s="376"/>
      <c r="K346" s="376"/>
      <c r="L346" s="376"/>
      <c r="M346" s="377"/>
      <c r="N346" s="379" t="s">
        <v>66</v>
      </c>
      <c r="O346" s="380"/>
      <c r="P346" s="380"/>
      <c r="Q346" s="380"/>
      <c r="R346" s="380"/>
      <c r="S346" s="380"/>
      <c r="T346" s="381"/>
      <c r="U346" s="37" t="s">
        <v>67</v>
      </c>
      <c r="V346" s="354">
        <f>IFERROR(V343/H343,"0")+IFERROR(V344/H344,"0")+IFERROR(V345/H345,"0")</f>
        <v>17.333333333333336</v>
      </c>
      <c r="W346" s="354">
        <f>IFERROR(W343/H343,"0")+IFERROR(W344/H344,"0")+IFERROR(W345/H345,"0")</f>
        <v>18</v>
      </c>
      <c r="X346" s="354">
        <f>IFERROR(IF(X343="",0,X343),"0")+IFERROR(IF(X344="",0,X344),"0")+IFERROR(IF(X345="",0,X345),"0")</f>
        <v>0.34198000000000001</v>
      </c>
      <c r="Y346" s="355"/>
      <c r="Z346" s="355"/>
    </row>
    <row r="347" spans="1:53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7"/>
      <c r="N347" s="379" t="s">
        <v>66</v>
      </c>
      <c r="O347" s="380"/>
      <c r="P347" s="380"/>
      <c r="Q347" s="380"/>
      <c r="R347" s="380"/>
      <c r="S347" s="380"/>
      <c r="T347" s="381"/>
      <c r="U347" s="37" t="s">
        <v>65</v>
      </c>
      <c r="V347" s="354">
        <f>IFERROR(SUM(V343:V345),"0")</f>
        <v>216</v>
      </c>
      <c r="W347" s="354">
        <f>IFERROR(SUM(W343:W345),"0")</f>
        <v>226</v>
      </c>
      <c r="X347" s="37"/>
      <c r="Y347" s="355"/>
      <c r="Z347" s="355"/>
    </row>
    <row r="348" spans="1:53" ht="14.25" hidden="1" customHeight="1" x14ac:dyDescent="0.25">
      <c r="A348" s="384" t="s">
        <v>68</v>
      </c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6"/>
      <c r="O348" s="376"/>
      <c r="P348" s="376"/>
      <c r="Q348" s="376"/>
      <c r="R348" s="376"/>
      <c r="S348" s="376"/>
      <c r="T348" s="376"/>
      <c r="U348" s="376"/>
      <c r="V348" s="376"/>
      <c r="W348" s="376"/>
      <c r="X348" s="376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9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710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69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150</v>
      </c>
      <c r="W350" s="353">
        <f>IFERROR(IF(V350="",0,CEILING((V350/$H350),1)*$H350),"")</f>
        <v>156</v>
      </c>
      <c r="X350" s="36">
        <f>IFERROR(IF(W350=0,"",ROUNDUP(W350/H350,0)*0.02175),"")</f>
        <v>0.43499999999999994</v>
      </c>
      <c r="Y350" s="56"/>
      <c r="Z350" s="57"/>
      <c r="AD350" s="58"/>
      <c r="BA350" s="252" t="s">
        <v>1</v>
      </c>
    </row>
    <row r="351" spans="1:53" x14ac:dyDescent="0.2">
      <c r="A351" s="375"/>
      <c r="B351" s="376"/>
      <c r="C351" s="376"/>
      <c r="D351" s="376"/>
      <c r="E351" s="376"/>
      <c r="F351" s="376"/>
      <c r="G351" s="376"/>
      <c r="H351" s="376"/>
      <c r="I351" s="376"/>
      <c r="J351" s="376"/>
      <c r="K351" s="376"/>
      <c r="L351" s="376"/>
      <c r="M351" s="377"/>
      <c r="N351" s="379" t="s">
        <v>66</v>
      </c>
      <c r="O351" s="380"/>
      <c r="P351" s="380"/>
      <c r="Q351" s="380"/>
      <c r="R351" s="380"/>
      <c r="S351" s="380"/>
      <c r="T351" s="381"/>
      <c r="U351" s="37" t="s">
        <v>67</v>
      </c>
      <c r="V351" s="354">
        <f>IFERROR(V349/H349,"0")+IFERROR(V350/H350,"0")</f>
        <v>19.23076923076923</v>
      </c>
      <c r="W351" s="354">
        <f>IFERROR(W349/H349,"0")+IFERROR(W350/H350,"0")</f>
        <v>20</v>
      </c>
      <c r="X351" s="354">
        <f>IFERROR(IF(X349="",0,X349),"0")+IFERROR(IF(X350="",0,X350),"0")</f>
        <v>0.43499999999999994</v>
      </c>
      <c r="Y351" s="355"/>
      <c r="Z351" s="355"/>
    </row>
    <row r="352" spans="1:53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7"/>
      <c r="N352" s="379" t="s">
        <v>66</v>
      </c>
      <c r="O352" s="380"/>
      <c r="P352" s="380"/>
      <c r="Q352" s="380"/>
      <c r="R352" s="380"/>
      <c r="S352" s="380"/>
      <c r="T352" s="381"/>
      <c r="U352" s="37" t="s">
        <v>65</v>
      </c>
      <c r="V352" s="354">
        <f>IFERROR(SUM(V349:V350),"0")</f>
        <v>150</v>
      </c>
      <c r="W352" s="354">
        <f>IFERROR(SUM(W349:W350),"0")</f>
        <v>156</v>
      </c>
      <c r="X352" s="37"/>
      <c r="Y352" s="355"/>
      <c r="Z352" s="355"/>
    </row>
    <row r="353" spans="1:53" ht="14.25" hidden="1" customHeight="1" x14ac:dyDescent="0.25">
      <c r="A353" s="384" t="s">
        <v>203</v>
      </c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6"/>
      <c r="O353" s="376"/>
      <c r="P353" s="376"/>
      <c r="Q353" s="376"/>
      <c r="R353" s="376"/>
      <c r="S353" s="376"/>
      <c r="T353" s="376"/>
      <c r="U353" s="376"/>
      <c r="V353" s="376"/>
      <c r="W353" s="376"/>
      <c r="X353" s="376"/>
      <c r="Y353" s="347"/>
      <c r="Z353" s="347"/>
    </row>
    <row r="354" spans="1:53" ht="16.5" customHeight="1" x14ac:dyDescent="0.25">
      <c r="A354" s="54" t="s">
        <v>490</v>
      </c>
      <c r="B354" s="54" t="s">
        <v>491</v>
      </c>
      <c r="C354" s="31">
        <v>4301060314</v>
      </c>
      <c r="D354" s="369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40</v>
      </c>
      <c r="W354" s="353">
        <f>IFERROR(IF(V354="",0,CEILING((V354/$H354),1)*$H354),"")</f>
        <v>46.8</v>
      </c>
      <c r="X354" s="36">
        <f>IFERROR(IF(W354=0,"",ROUNDUP(W354/H354,0)*0.02175),"")</f>
        <v>0.1305</v>
      </c>
      <c r="Y354" s="56"/>
      <c r="Z354" s="57"/>
      <c r="AD354" s="58"/>
      <c r="BA354" s="253" t="s">
        <v>1</v>
      </c>
    </row>
    <row r="355" spans="1:53" x14ac:dyDescent="0.2">
      <c r="A355" s="375"/>
      <c r="B355" s="376"/>
      <c r="C355" s="376"/>
      <c r="D355" s="376"/>
      <c r="E355" s="376"/>
      <c r="F355" s="376"/>
      <c r="G355" s="376"/>
      <c r="H355" s="376"/>
      <c r="I355" s="376"/>
      <c r="J355" s="376"/>
      <c r="K355" s="376"/>
      <c r="L355" s="376"/>
      <c r="M355" s="377"/>
      <c r="N355" s="379" t="s">
        <v>66</v>
      </c>
      <c r="O355" s="380"/>
      <c r="P355" s="380"/>
      <c r="Q355" s="380"/>
      <c r="R355" s="380"/>
      <c r="S355" s="380"/>
      <c r="T355" s="381"/>
      <c r="U355" s="37" t="s">
        <v>67</v>
      </c>
      <c r="V355" s="354">
        <f>IFERROR(V354/H354,"0")</f>
        <v>5.1282051282051286</v>
      </c>
      <c r="W355" s="354">
        <f>IFERROR(W354/H354,"0")</f>
        <v>6</v>
      </c>
      <c r="X355" s="354">
        <f>IFERROR(IF(X354="",0,X354),"0")</f>
        <v>0.1305</v>
      </c>
      <c r="Y355" s="355"/>
      <c r="Z355" s="355"/>
    </row>
    <row r="356" spans="1:53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7"/>
      <c r="N356" s="379" t="s">
        <v>66</v>
      </c>
      <c r="O356" s="380"/>
      <c r="P356" s="380"/>
      <c r="Q356" s="380"/>
      <c r="R356" s="380"/>
      <c r="S356" s="380"/>
      <c r="T356" s="381"/>
      <c r="U356" s="37" t="s">
        <v>65</v>
      </c>
      <c r="V356" s="354">
        <f>IFERROR(SUM(V354:V354),"0")</f>
        <v>40</v>
      </c>
      <c r="W356" s="354">
        <f>IFERROR(SUM(W354:W354),"0")</f>
        <v>46.8</v>
      </c>
      <c r="X356" s="37"/>
      <c r="Y356" s="355"/>
      <c r="Z356" s="355"/>
    </row>
    <row r="357" spans="1:53" ht="16.5" hidden="1" customHeight="1" x14ac:dyDescent="0.25">
      <c r="A357" s="383" t="s">
        <v>492</v>
      </c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6"/>
      <c r="O357" s="376"/>
      <c r="P357" s="376"/>
      <c r="Q357" s="376"/>
      <c r="R357" s="376"/>
      <c r="S357" s="376"/>
      <c r="T357" s="376"/>
      <c r="U357" s="376"/>
      <c r="V357" s="376"/>
      <c r="W357" s="376"/>
      <c r="X357" s="376"/>
      <c r="Y357" s="348"/>
      <c r="Z357" s="348"/>
    </row>
    <row r="358" spans="1:53" ht="14.25" hidden="1" customHeight="1" x14ac:dyDescent="0.25">
      <c r="A358" s="384" t="s">
        <v>105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47"/>
      <c r="Z358" s="347"/>
    </row>
    <row r="359" spans="1:53" ht="37.5" customHeight="1" x14ac:dyDescent="0.25">
      <c r="A359" s="54" t="s">
        <v>493</v>
      </c>
      <c r="B359" s="54" t="s">
        <v>494</v>
      </c>
      <c r="C359" s="31">
        <v>4301011324</v>
      </c>
      <c r="D359" s="369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100</v>
      </c>
      <c r="W359" s="353">
        <f>IFERROR(IF(V359="",0,CEILING((V359/$H359),1)*$H359),"")</f>
        <v>108</v>
      </c>
      <c r="X359" s="36">
        <f>IFERROR(IF(W359=0,"",ROUNDUP(W359/H359,0)*0.02175),"")</f>
        <v>0.19574999999999998</v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69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9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9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5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69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5"/>
      <c r="B364" s="376"/>
      <c r="C364" s="376"/>
      <c r="D364" s="376"/>
      <c r="E364" s="376"/>
      <c r="F364" s="376"/>
      <c r="G364" s="376"/>
      <c r="H364" s="376"/>
      <c r="I364" s="376"/>
      <c r="J364" s="376"/>
      <c r="K364" s="376"/>
      <c r="L364" s="376"/>
      <c r="M364" s="377"/>
      <c r="N364" s="379" t="s">
        <v>66</v>
      </c>
      <c r="O364" s="380"/>
      <c r="P364" s="380"/>
      <c r="Q364" s="380"/>
      <c r="R364" s="380"/>
      <c r="S364" s="380"/>
      <c r="T364" s="381"/>
      <c r="U364" s="37" t="s">
        <v>67</v>
      </c>
      <c r="V364" s="354">
        <f>IFERROR(V359/H359,"0")+IFERROR(V360/H360,"0")+IFERROR(V361/H361,"0")+IFERROR(V362/H362,"0")+IFERROR(V363/H363,"0")</f>
        <v>8.3333333333333339</v>
      </c>
      <c r="W364" s="354">
        <f>IFERROR(W359/H359,"0")+IFERROR(W360/H360,"0")+IFERROR(W361/H361,"0")+IFERROR(W362/H362,"0")+IFERROR(W363/H363,"0")</f>
        <v>9</v>
      </c>
      <c r="X364" s="354">
        <f>IFERROR(IF(X359="",0,X359),"0")+IFERROR(IF(X360="",0,X360),"0")+IFERROR(IF(X361="",0,X361),"0")+IFERROR(IF(X362="",0,X362),"0")+IFERROR(IF(X363="",0,X363),"0")</f>
        <v>0.19574999999999998</v>
      </c>
      <c r="Y364" s="355"/>
      <c r="Z364" s="355"/>
    </row>
    <row r="365" spans="1:53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7"/>
      <c r="N365" s="379" t="s">
        <v>66</v>
      </c>
      <c r="O365" s="380"/>
      <c r="P365" s="380"/>
      <c r="Q365" s="380"/>
      <c r="R365" s="380"/>
      <c r="S365" s="380"/>
      <c r="T365" s="381"/>
      <c r="U365" s="37" t="s">
        <v>65</v>
      </c>
      <c r="V365" s="354">
        <f>IFERROR(SUM(V359:V363),"0")</f>
        <v>100</v>
      </c>
      <c r="W365" s="354">
        <f>IFERROR(SUM(W359:W363),"0")</f>
        <v>108</v>
      </c>
      <c r="X365" s="37"/>
      <c r="Y365" s="355"/>
      <c r="Z365" s="355"/>
    </row>
    <row r="366" spans="1:53" ht="14.25" hidden="1" customHeight="1" x14ac:dyDescent="0.25">
      <c r="A366" s="384" t="s">
        <v>60</v>
      </c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6"/>
      <c r="O366" s="376"/>
      <c r="P366" s="376"/>
      <c r="Q366" s="376"/>
      <c r="R366" s="376"/>
      <c r="S366" s="376"/>
      <c r="T366" s="376"/>
      <c r="U366" s="376"/>
      <c r="V366" s="376"/>
      <c r="W366" s="376"/>
      <c r="X366" s="376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69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9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5"/>
      <c r="B369" s="376"/>
      <c r="C369" s="376"/>
      <c r="D369" s="376"/>
      <c r="E369" s="376"/>
      <c r="F369" s="376"/>
      <c r="G369" s="376"/>
      <c r="H369" s="376"/>
      <c r="I369" s="376"/>
      <c r="J369" s="376"/>
      <c r="K369" s="376"/>
      <c r="L369" s="376"/>
      <c r="M369" s="377"/>
      <c r="N369" s="379" t="s">
        <v>66</v>
      </c>
      <c r="O369" s="380"/>
      <c r="P369" s="380"/>
      <c r="Q369" s="380"/>
      <c r="R369" s="380"/>
      <c r="S369" s="380"/>
      <c r="T369" s="381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7"/>
      <c r="N370" s="379" t="s">
        <v>66</v>
      </c>
      <c r="O370" s="380"/>
      <c r="P370" s="380"/>
      <c r="Q370" s="380"/>
      <c r="R370" s="380"/>
      <c r="S370" s="380"/>
      <c r="T370" s="381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84" t="s">
        <v>68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376"/>
      <c r="Y371" s="347"/>
      <c r="Z371" s="347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69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30</v>
      </c>
      <c r="W372" s="353">
        <f>IFERROR(IF(V372="",0,CEILING((V372/$H372),1)*$H372),"")</f>
        <v>31.2</v>
      </c>
      <c r="X372" s="36">
        <f>IFERROR(IF(W372=0,"",ROUNDUP(W372/H372,0)*0.02175),"")</f>
        <v>8.6999999999999994E-2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9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69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9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5"/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7"/>
      <c r="N376" s="379" t="s">
        <v>66</v>
      </c>
      <c r="O376" s="380"/>
      <c r="P376" s="380"/>
      <c r="Q376" s="380"/>
      <c r="R376" s="380"/>
      <c r="S376" s="380"/>
      <c r="T376" s="381"/>
      <c r="U376" s="37" t="s">
        <v>67</v>
      </c>
      <c r="V376" s="354">
        <f>IFERROR(V372/H372,"0")+IFERROR(V373/H373,"0")+IFERROR(V374/H374,"0")+IFERROR(V375/H375,"0")</f>
        <v>3.8461538461538463</v>
      </c>
      <c r="W376" s="354">
        <f>IFERROR(W372/H372,"0")+IFERROR(W373/H373,"0")+IFERROR(W374/H374,"0")+IFERROR(W375/H375,"0")</f>
        <v>4</v>
      </c>
      <c r="X376" s="354">
        <f>IFERROR(IF(X372="",0,X372),"0")+IFERROR(IF(X373="",0,X373),"0")+IFERROR(IF(X374="",0,X374),"0")+IFERROR(IF(X375="",0,X375),"0")</f>
        <v>8.6999999999999994E-2</v>
      </c>
      <c r="Y376" s="355"/>
      <c r="Z376" s="355"/>
    </row>
    <row r="377" spans="1:53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7"/>
      <c r="N377" s="379" t="s">
        <v>66</v>
      </c>
      <c r="O377" s="380"/>
      <c r="P377" s="380"/>
      <c r="Q377" s="380"/>
      <c r="R377" s="380"/>
      <c r="S377" s="380"/>
      <c r="T377" s="381"/>
      <c r="U377" s="37" t="s">
        <v>65</v>
      </c>
      <c r="V377" s="354">
        <f>IFERROR(SUM(V372:V375),"0")</f>
        <v>30</v>
      </c>
      <c r="W377" s="354">
        <f>IFERROR(SUM(W372:W375),"0")</f>
        <v>31.2</v>
      </c>
      <c r="X377" s="37"/>
      <c r="Y377" s="355"/>
      <c r="Z377" s="355"/>
    </row>
    <row r="378" spans="1:53" ht="14.25" hidden="1" customHeight="1" x14ac:dyDescent="0.25">
      <c r="A378" s="384" t="s">
        <v>203</v>
      </c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  <c r="X378" s="376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9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5"/>
      <c r="B380" s="376"/>
      <c r="C380" s="376"/>
      <c r="D380" s="376"/>
      <c r="E380" s="376"/>
      <c r="F380" s="376"/>
      <c r="G380" s="376"/>
      <c r="H380" s="376"/>
      <c r="I380" s="376"/>
      <c r="J380" s="376"/>
      <c r="K380" s="376"/>
      <c r="L380" s="376"/>
      <c r="M380" s="377"/>
      <c r="N380" s="379" t="s">
        <v>66</v>
      </c>
      <c r="O380" s="380"/>
      <c r="P380" s="380"/>
      <c r="Q380" s="380"/>
      <c r="R380" s="380"/>
      <c r="S380" s="380"/>
      <c r="T380" s="381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7"/>
      <c r="N381" s="379" t="s">
        <v>66</v>
      </c>
      <c r="O381" s="380"/>
      <c r="P381" s="380"/>
      <c r="Q381" s="380"/>
      <c r="R381" s="380"/>
      <c r="S381" s="380"/>
      <c r="T381" s="381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434" t="s">
        <v>517</v>
      </c>
      <c r="B382" s="435"/>
      <c r="C382" s="435"/>
      <c r="D382" s="435"/>
      <c r="E382" s="435"/>
      <c r="F382" s="435"/>
      <c r="G382" s="435"/>
      <c r="H382" s="435"/>
      <c r="I382" s="435"/>
      <c r="J382" s="435"/>
      <c r="K382" s="435"/>
      <c r="L382" s="435"/>
      <c r="M382" s="435"/>
      <c r="N382" s="435"/>
      <c r="O382" s="435"/>
      <c r="P382" s="435"/>
      <c r="Q382" s="435"/>
      <c r="R382" s="435"/>
      <c r="S382" s="435"/>
      <c r="T382" s="435"/>
      <c r="U382" s="435"/>
      <c r="V382" s="435"/>
      <c r="W382" s="435"/>
      <c r="X382" s="435"/>
      <c r="Y382" s="48"/>
      <c r="Z382" s="48"/>
    </row>
    <row r="383" spans="1:53" ht="16.5" hidden="1" customHeight="1" x14ac:dyDescent="0.25">
      <c r="A383" s="383" t="s">
        <v>518</v>
      </c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348"/>
      <c r="Z383" s="348"/>
    </row>
    <row r="384" spans="1:53" ht="14.25" hidden="1" customHeight="1" x14ac:dyDescent="0.25">
      <c r="A384" s="384" t="s">
        <v>105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9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69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9</v>
      </c>
      <c r="W386" s="353">
        <f>IFERROR(IF(V386="",0,CEILING((V386/$H386),1)*$H386),"")</f>
        <v>10.8</v>
      </c>
      <c r="X386" s="36">
        <f>IFERROR(IF(W386=0,"",ROUNDUP(W386/H386,0)*0.00753),"")</f>
        <v>3.0120000000000001E-2</v>
      </c>
      <c r="Y386" s="56"/>
      <c r="Z386" s="57"/>
      <c r="AD386" s="58"/>
      <c r="BA386" s="267" t="s">
        <v>1</v>
      </c>
    </row>
    <row r="387" spans="1:53" x14ac:dyDescent="0.2">
      <c r="A387" s="375"/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7"/>
      <c r="N387" s="379" t="s">
        <v>66</v>
      </c>
      <c r="O387" s="380"/>
      <c r="P387" s="380"/>
      <c r="Q387" s="380"/>
      <c r="R387" s="380"/>
      <c r="S387" s="380"/>
      <c r="T387" s="381"/>
      <c r="U387" s="37" t="s">
        <v>67</v>
      </c>
      <c r="V387" s="354">
        <f>IFERROR(V385/H385,"0")+IFERROR(V386/H386,"0")</f>
        <v>3.333333333333333</v>
      </c>
      <c r="W387" s="354">
        <f>IFERROR(W385/H385,"0")+IFERROR(W386/H386,"0")</f>
        <v>4</v>
      </c>
      <c r="X387" s="354">
        <f>IFERROR(IF(X385="",0,X385),"0")+IFERROR(IF(X386="",0,X386),"0")</f>
        <v>3.0120000000000001E-2</v>
      </c>
      <c r="Y387" s="355"/>
      <c r="Z387" s="355"/>
    </row>
    <row r="388" spans="1:53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7"/>
      <c r="N388" s="379" t="s">
        <v>66</v>
      </c>
      <c r="O388" s="380"/>
      <c r="P388" s="380"/>
      <c r="Q388" s="380"/>
      <c r="R388" s="380"/>
      <c r="S388" s="380"/>
      <c r="T388" s="381"/>
      <c r="U388" s="37" t="s">
        <v>65</v>
      </c>
      <c r="V388" s="354">
        <f>IFERROR(SUM(V385:V386),"0")</f>
        <v>9</v>
      </c>
      <c r="W388" s="354">
        <f>IFERROR(SUM(W385:W386),"0")</f>
        <v>10.8</v>
      </c>
      <c r="X388" s="37"/>
      <c r="Y388" s="355"/>
      <c r="Z388" s="355"/>
    </row>
    <row r="389" spans="1:53" ht="14.25" hidden="1" customHeight="1" x14ac:dyDescent="0.25">
      <c r="A389" s="384" t="s">
        <v>60</v>
      </c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  <c r="X389" s="376"/>
      <c r="Y389" s="347"/>
      <c r="Z389" s="347"/>
    </row>
    <row r="390" spans="1:53" ht="27" customHeight="1" x14ac:dyDescent="0.25">
      <c r="A390" s="54" t="s">
        <v>523</v>
      </c>
      <c r="B390" s="54" t="s">
        <v>524</v>
      </c>
      <c r="C390" s="31">
        <v>4301031177</v>
      </c>
      <c r="D390" s="369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120</v>
      </c>
      <c r="W390" s="353">
        <f t="shared" ref="W390:W402" si="18">IFERROR(IF(V390="",0,CEILING((V390/$H390),1)*$H390),"")</f>
        <v>121.80000000000001</v>
      </c>
      <c r="X390" s="36">
        <f>IFERROR(IF(W390=0,"",ROUNDUP(W390/H390,0)*0.00753),"")</f>
        <v>0.21837000000000001</v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9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4301031175</v>
      </c>
      <c r="D392" s="369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150</v>
      </c>
      <c r="W392" s="353">
        <f t="shared" si="18"/>
        <v>151.20000000000002</v>
      </c>
      <c r="X392" s="36">
        <f>IFERROR(IF(W392=0,"",ROUNDUP(W392/H392,0)*0.00753),"")</f>
        <v>0.27107999999999999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4301031236</v>
      </c>
      <c r="D393" s="369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6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280</v>
      </c>
      <c r="W393" s="353">
        <f t="shared" si="18"/>
        <v>280.56</v>
      </c>
      <c r="X393" s="36">
        <f>IFERROR(IF(W393=0,"",ROUNDUP(W393/H393,0)*0.00753),"")</f>
        <v>1.2575100000000001</v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9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4301031178</v>
      </c>
      <c r="D395" s="369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140</v>
      </c>
      <c r="W395" s="353">
        <f t="shared" si="18"/>
        <v>140.70000000000002</v>
      </c>
      <c r="X395" s="36">
        <f t="shared" si="19"/>
        <v>0.33634000000000003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9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4301031171</v>
      </c>
      <c r="D397" s="369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84</v>
      </c>
      <c r="W397" s="353">
        <f t="shared" si="18"/>
        <v>84</v>
      </c>
      <c r="X397" s="36">
        <f t="shared" si="19"/>
        <v>0.20080000000000001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9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9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9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4301031172</v>
      </c>
      <c r="D401" s="369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136.5</v>
      </c>
      <c r="W401" s="353">
        <f t="shared" si="18"/>
        <v>136.5</v>
      </c>
      <c r="X401" s="36">
        <f t="shared" si="19"/>
        <v>0.32630000000000003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9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5"/>
      <c r="B403" s="376"/>
      <c r="C403" s="376"/>
      <c r="D403" s="376"/>
      <c r="E403" s="376"/>
      <c r="F403" s="376"/>
      <c r="G403" s="376"/>
      <c r="H403" s="376"/>
      <c r="I403" s="376"/>
      <c r="J403" s="376"/>
      <c r="K403" s="376"/>
      <c r="L403" s="376"/>
      <c r="M403" s="377"/>
      <c r="N403" s="379" t="s">
        <v>66</v>
      </c>
      <c r="O403" s="380"/>
      <c r="P403" s="380"/>
      <c r="Q403" s="380"/>
      <c r="R403" s="380"/>
      <c r="S403" s="380"/>
      <c r="T403" s="381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402.61904761904759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404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2.6104000000000003</v>
      </c>
      <c r="Y403" s="355"/>
      <c r="Z403" s="355"/>
    </row>
    <row r="404" spans="1:53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7"/>
      <c r="N404" s="379" t="s">
        <v>66</v>
      </c>
      <c r="O404" s="380"/>
      <c r="P404" s="380"/>
      <c r="Q404" s="380"/>
      <c r="R404" s="380"/>
      <c r="S404" s="380"/>
      <c r="T404" s="381"/>
      <c r="U404" s="37" t="s">
        <v>65</v>
      </c>
      <c r="V404" s="354">
        <f>IFERROR(SUM(V390:V402),"0")</f>
        <v>910.5</v>
      </c>
      <c r="W404" s="354">
        <f>IFERROR(SUM(W390:W402),"0")</f>
        <v>914.76</v>
      </c>
      <c r="X404" s="37"/>
      <c r="Y404" s="355"/>
      <c r="Z404" s="355"/>
    </row>
    <row r="405" spans="1:53" ht="14.25" hidden="1" customHeight="1" x14ac:dyDescent="0.25">
      <c r="A405" s="384" t="s">
        <v>68</v>
      </c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  <c r="X405" s="376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9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9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9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9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6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5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7"/>
      <c r="N410" s="379" t="s">
        <v>66</v>
      </c>
      <c r="O410" s="380"/>
      <c r="P410" s="380"/>
      <c r="Q410" s="380"/>
      <c r="R410" s="380"/>
      <c r="S410" s="380"/>
      <c r="T410" s="381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7"/>
      <c r="N411" s="379" t="s">
        <v>66</v>
      </c>
      <c r="O411" s="380"/>
      <c r="P411" s="380"/>
      <c r="Q411" s="380"/>
      <c r="R411" s="380"/>
      <c r="S411" s="380"/>
      <c r="T411" s="381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84" t="s">
        <v>203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9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5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7"/>
      <c r="N414" s="379" t="s">
        <v>66</v>
      </c>
      <c r="O414" s="380"/>
      <c r="P414" s="380"/>
      <c r="Q414" s="380"/>
      <c r="R414" s="380"/>
      <c r="S414" s="380"/>
      <c r="T414" s="381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7"/>
      <c r="N415" s="379" t="s">
        <v>66</v>
      </c>
      <c r="O415" s="380"/>
      <c r="P415" s="380"/>
      <c r="Q415" s="380"/>
      <c r="R415" s="380"/>
      <c r="S415" s="380"/>
      <c r="T415" s="381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84" t="s">
        <v>83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47"/>
      <c r="Z416" s="347"/>
    </row>
    <row r="417" spans="1:53" ht="27" customHeight="1" x14ac:dyDescent="0.25">
      <c r="A417" s="54" t="s">
        <v>559</v>
      </c>
      <c r="B417" s="54" t="s">
        <v>560</v>
      </c>
      <c r="C417" s="31">
        <v>4301032045</v>
      </c>
      <c r="D417" s="369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12</v>
      </c>
      <c r="W417" s="353">
        <f>IFERROR(IF(V417="",0,CEILING((V417/$H417),1)*$H417),"")</f>
        <v>12</v>
      </c>
      <c r="X417" s="36">
        <f>IFERROR(IF(W417=0,"",ROUNDUP(W417/H417,0)*0.00627),"")</f>
        <v>6.2700000000000006E-2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563</v>
      </c>
      <c r="B418" s="54" t="s">
        <v>564</v>
      </c>
      <c r="C418" s="31">
        <v>4301032047</v>
      </c>
      <c r="D418" s="369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12</v>
      </c>
      <c r="W418" s="353">
        <f>IFERROR(IF(V418="",0,CEILING((V418/$H418),1)*$H418),"")</f>
        <v>12</v>
      </c>
      <c r="X418" s="36">
        <f>IFERROR(IF(W418=0,"",ROUNDUP(W418/H418,0)*0.00627),"")</f>
        <v>6.2700000000000006E-2</v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69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x14ac:dyDescent="0.2">
      <c r="A420" s="375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7"/>
      <c r="N420" s="379" t="s">
        <v>66</v>
      </c>
      <c r="O420" s="380"/>
      <c r="P420" s="380"/>
      <c r="Q420" s="380"/>
      <c r="R420" s="380"/>
      <c r="S420" s="380"/>
      <c r="T420" s="381"/>
      <c r="U420" s="37" t="s">
        <v>67</v>
      </c>
      <c r="V420" s="354">
        <f>IFERROR(V417/H417,"0")+IFERROR(V418/H418,"0")+IFERROR(V419/H419,"0")</f>
        <v>20</v>
      </c>
      <c r="W420" s="354">
        <f>IFERROR(W417/H417,"0")+IFERROR(W418/H418,"0")+IFERROR(W419/H419,"0")</f>
        <v>20</v>
      </c>
      <c r="X420" s="354">
        <f>IFERROR(IF(X417="",0,X417),"0")+IFERROR(IF(X418="",0,X418),"0")+IFERROR(IF(X419="",0,X419),"0")</f>
        <v>0.12540000000000001</v>
      </c>
      <c r="Y420" s="355"/>
      <c r="Z420" s="355"/>
    </row>
    <row r="421" spans="1:53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7"/>
      <c r="N421" s="379" t="s">
        <v>66</v>
      </c>
      <c r="O421" s="380"/>
      <c r="P421" s="380"/>
      <c r="Q421" s="380"/>
      <c r="R421" s="380"/>
      <c r="S421" s="380"/>
      <c r="T421" s="381"/>
      <c r="U421" s="37" t="s">
        <v>65</v>
      </c>
      <c r="V421" s="354">
        <f>IFERROR(SUM(V417:V419),"0")</f>
        <v>24</v>
      </c>
      <c r="W421" s="354">
        <f>IFERROR(SUM(W417:W419),"0")</f>
        <v>24</v>
      </c>
      <c r="X421" s="37"/>
      <c r="Y421" s="355"/>
      <c r="Z421" s="355"/>
    </row>
    <row r="422" spans="1:53" ht="16.5" hidden="1" customHeight="1" x14ac:dyDescent="0.25">
      <c r="A422" s="383" t="s">
        <v>567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48"/>
      <c r="Z422" s="348"/>
    </row>
    <row r="423" spans="1:53" ht="14.25" hidden="1" customHeight="1" x14ac:dyDescent="0.25">
      <c r="A423" s="384" t="s">
        <v>97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9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9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5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7"/>
      <c r="N426" s="379" t="s">
        <v>66</v>
      </c>
      <c r="O426" s="380"/>
      <c r="P426" s="380"/>
      <c r="Q426" s="380"/>
      <c r="R426" s="380"/>
      <c r="S426" s="380"/>
      <c r="T426" s="381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7"/>
      <c r="N427" s="379" t="s">
        <v>66</v>
      </c>
      <c r="O427" s="380"/>
      <c r="P427" s="380"/>
      <c r="Q427" s="380"/>
      <c r="R427" s="380"/>
      <c r="S427" s="380"/>
      <c r="T427" s="381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84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47"/>
      <c r="Z428" s="347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69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150</v>
      </c>
      <c r="W429" s="353">
        <f t="shared" ref="W429:W435" si="20">IFERROR(IF(V429="",0,CEILING((V429/$H429),1)*$H429),"")</f>
        <v>151.20000000000002</v>
      </c>
      <c r="X429" s="36">
        <f>IFERROR(IF(W429=0,"",ROUNDUP(W429/H429,0)*0.00753),"")</f>
        <v>0.27107999999999999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9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9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9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9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9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5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4301031173</v>
      </c>
      <c r="D434" s="369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38.5</v>
      </c>
      <c r="W434" s="353">
        <f t="shared" si="20"/>
        <v>39.9</v>
      </c>
      <c r="X434" s="36">
        <f>IFERROR(IF(W434=0,"",ROUNDUP(W434/H434,0)*0.00502),"")</f>
        <v>9.5380000000000006E-2</v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9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5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7"/>
      <c r="N436" s="379" t="s">
        <v>66</v>
      </c>
      <c r="O436" s="380"/>
      <c r="P436" s="380"/>
      <c r="Q436" s="380"/>
      <c r="R436" s="380"/>
      <c r="S436" s="380"/>
      <c r="T436" s="381"/>
      <c r="U436" s="37" t="s">
        <v>67</v>
      </c>
      <c r="V436" s="354">
        <f>IFERROR(V429/H429,"0")+IFERROR(V430/H430,"0")+IFERROR(V431/H431,"0")+IFERROR(V432/H432,"0")+IFERROR(V433/H433,"0")+IFERROR(V434/H434,"0")+IFERROR(V435/H435,"0")</f>
        <v>54.047619047619051</v>
      </c>
      <c r="W436" s="354">
        <f>IFERROR(W429/H429,"0")+IFERROR(W430/H430,"0")+IFERROR(W431/H431,"0")+IFERROR(W432/H432,"0")+IFERROR(W433/H433,"0")+IFERROR(W434/H434,"0")+IFERROR(W435/H435,"0")</f>
        <v>55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0.36646000000000001</v>
      </c>
      <c r="Y436" s="355"/>
      <c r="Z436" s="355"/>
    </row>
    <row r="437" spans="1:53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7"/>
      <c r="N437" s="379" t="s">
        <v>66</v>
      </c>
      <c r="O437" s="380"/>
      <c r="P437" s="380"/>
      <c r="Q437" s="380"/>
      <c r="R437" s="380"/>
      <c r="S437" s="380"/>
      <c r="T437" s="381"/>
      <c r="U437" s="37" t="s">
        <v>65</v>
      </c>
      <c r="V437" s="354">
        <f>IFERROR(SUM(V429:V435),"0")</f>
        <v>188.5</v>
      </c>
      <c r="W437" s="354">
        <f>IFERROR(SUM(W429:W435),"0")</f>
        <v>191.10000000000002</v>
      </c>
      <c r="X437" s="37"/>
      <c r="Y437" s="355"/>
      <c r="Z437" s="355"/>
    </row>
    <row r="438" spans="1:53" ht="14.25" hidden="1" customHeight="1" x14ac:dyDescent="0.25">
      <c r="A438" s="384" t="s">
        <v>92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47"/>
      <c r="Z438" s="347"/>
    </row>
    <row r="439" spans="1:53" ht="27" customHeight="1" x14ac:dyDescent="0.25">
      <c r="A439" s="54" t="s">
        <v>586</v>
      </c>
      <c r="B439" s="54" t="s">
        <v>587</v>
      </c>
      <c r="C439" s="31">
        <v>4301170010</v>
      </c>
      <c r="D439" s="369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11</v>
      </c>
      <c r="W439" s="353">
        <f>IFERROR(IF(V439="",0,CEILING((V439/$H439),1)*$H439),"")</f>
        <v>11.88</v>
      </c>
      <c r="X439" s="36">
        <f>IFERROR(IF(W439=0,"",ROUNDUP(W439/H439,0)*0.00627),"")</f>
        <v>5.6430000000000001E-2</v>
      </c>
      <c r="Y439" s="56"/>
      <c r="Z439" s="57"/>
      <c r="AD439" s="58"/>
      <c r="BA439" s="298" t="s">
        <v>1</v>
      </c>
    </row>
    <row r="440" spans="1:53" x14ac:dyDescent="0.2">
      <c r="A440" s="375"/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7"/>
      <c r="N440" s="379" t="s">
        <v>66</v>
      </c>
      <c r="O440" s="380"/>
      <c r="P440" s="380"/>
      <c r="Q440" s="380"/>
      <c r="R440" s="380"/>
      <c r="S440" s="380"/>
      <c r="T440" s="381"/>
      <c r="U440" s="37" t="s">
        <v>67</v>
      </c>
      <c r="V440" s="354">
        <f>IFERROR(V439/H439,"0")</f>
        <v>8.3333333333333321</v>
      </c>
      <c r="W440" s="354">
        <f>IFERROR(W439/H439,"0")</f>
        <v>9</v>
      </c>
      <c r="X440" s="354">
        <f>IFERROR(IF(X439="",0,X439),"0")</f>
        <v>5.6430000000000001E-2</v>
      </c>
      <c r="Y440" s="355"/>
      <c r="Z440" s="355"/>
    </row>
    <row r="441" spans="1:53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7"/>
      <c r="N441" s="379" t="s">
        <v>66</v>
      </c>
      <c r="O441" s="380"/>
      <c r="P441" s="380"/>
      <c r="Q441" s="380"/>
      <c r="R441" s="380"/>
      <c r="S441" s="380"/>
      <c r="T441" s="381"/>
      <c r="U441" s="37" t="s">
        <v>65</v>
      </c>
      <c r="V441" s="354">
        <f>IFERROR(SUM(V439:V439),"0")</f>
        <v>11</v>
      </c>
      <c r="W441" s="354">
        <f>IFERROR(SUM(W439:W439),"0")</f>
        <v>11.88</v>
      </c>
      <c r="X441" s="37"/>
      <c r="Y441" s="355"/>
      <c r="Z441" s="355"/>
    </row>
    <row r="442" spans="1:53" ht="14.25" hidden="1" customHeight="1" x14ac:dyDescent="0.25">
      <c r="A442" s="384" t="s">
        <v>588</v>
      </c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  <c r="X442" s="376"/>
      <c r="Y442" s="347"/>
      <c r="Z442" s="347"/>
    </row>
    <row r="443" spans="1:53" ht="27" customHeight="1" x14ac:dyDescent="0.25">
      <c r="A443" s="54" t="s">
        <v>589</v>
      </c>
      <c r="B443" s="54" t="s">
        <v>590</v>
      </c>
      <c r="C443" s="31">
        <v>4301040357</v>
      </c>
      <c r="D443" s="369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7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15</v>
      </c>
      <c r="W443" s="353">
        <f>IFERROR(IF(V443="",0,CEILING((V443/$H443),1)*$H443),"")</f>
        <v>15</v>
      </c>
      <c r="X443" s="36">
        <f>IFERROR(IF(W443=0,"",ROUNDUP(W443/H443,0)*0.00627),"")</f>
        <v>3.1350000000000003E-2</v>
      </c>
      <c r="Y443" s="56"/>
      <c r="Z443" s="57"/>
      <c r="AD443" s="58"/>
      <c r="BA443" s="299" t="s">
        <v>1</v>
      </c>
    </row>
    <row r="444" spans="1:53" x14ac:dyDescent="0.2">
      <c r="A444" s="375"/>
      <c r="B444" s="376"/>
      <c r="C444" s="376"/>
      <c r="D444" s="376"/>
      <c r="E444" s="376"/>
      <c r="F444" s="376"/>
      <c r="G444" s="376"/>
      <c r="H444" s="376"/>
      <c r="I444" s="376"/>
      <c r="J444" s="376"/>
      <c r="K444" s="376"/>
      <c r="L444" s="376"/>
      <c r="M444" s="377"/>
      <c r="N444" s="379" t="s">
        <v>66</v>
      </c>
      <c r="O444" s="380"/>
      <c r="P444" s="380"/>
      <c r="Q444" s="380"/>
      <c r="R444" s="380"/>
      <c r="S444" s="380"/>
      <c r="T444" s="381"/>
      <c r="U444" s="37" t="s">
        <v>67</v>
      </c>
      <c r="V444" s="354">
        <f>IFERROR(V443/H443,"0")</f>
        <v>5</v>
      </c>
      <c r="W444" s="354">
        <f>IFERROR(W443/H443,"0")</f>
        <v>5</v>
      </c>
      <c r="X444" s="354">
        <f>IFERROR(IF(X443="",0,X443),"0")</f>
        <v>3.1350000000000003E-2</v>
      </c>
      <c r="Y444" s="355"/>
      <c r="Z444" s="355"/>
    </row>
    <row r="445" spans="1:53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7"/>
      <c r="N445" s="379" t="s">
        <v>66</v>
      </c>
      <c r="O445" s="380"/>
      <c r="P445" s="380"/>
      <c r="Q445" s="380"/>
      <c r="R445" s="380"/>
      <c r="S445" s="380"/>
      <c r="T445" s="381"/>
      <c r="U445" s="37" t="s">
        <v>65</v>
      </c>
      <c r="V445" s="354">
        <f>IFERROR(SUM(V443:V443),"0")</f>
        <v>15</v>
      </c>
      <c r="W445" s="354">
        <f>IFERROR(SUM(W443:W443),"0")</f>
        <v>15</v>
      </c>
      <c r="X445" s="37"/>
      <c r="Y445" s="355"/>
      <c r="Z445" s="355"/>
    </row>
    <row r="446" spans="1:53" ht="27.75" hidden="1" customHeight="1" x14ac:dyDescent="0.2">
      <c r="A446" s="434" t="s">
        <v>591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8"/>
      <c r="Z446" s="48"/>
    </row>
    <row r="447" spans="1:53" ht="16.5" hidden="1" customHeight="1" x14ac:dyDescent="0.25">
      <c r="A447" s="383" t="s">
        <v>591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48"/>
      <c r="Z447" s="348"/>
    </row>
    <row r="448" spans="1:53" ht="14.25" hidden="1" customHeight="1" x14ac:dyDescent="0.25">
      <c r="A448" s="384" t="s">
        <v>105</v>
      </c>
      <c r="B448" s="376"/>
      <c r="C448" s="376"/>
      <c r="D448" s="376"/>
      <c r="E448" s="376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  <c r="X448" s="376"/>
      <c r="Y448" s="347"/>
      <c r="Z448" s="347"/>
    </row>
    <row r="449" spans="1:53" ht="27" customHeight="1" x14ac:dyDescent="0.25">
      <c r="A449" s="54" t="s">
        <v>592</v>
      </c>
      <c r="B449" s="54" t="s">
        <v>593</v>
      </c>
      <c r="C449" s="31">
        <v>4301011371</v>
      </c>
      <c r="D449" s="369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8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110</v>
      </c>
      <c r="W449" s="353">
        <f t="shared" ref="W449:W466" si="21">IFERROR(IF(V449="",0,CEILING((V449/$H449),1)*$H449),"")</f>
        <v>110.88000000000001</v>
      </c>
      <c r="X449" s="36">
        <f t="shared" ref="X449:X457" si="22">IFERROR(IF(W449=0,"",ROUNDUP(W449/H449,0)*0.01196),"")</f>
        <v>0.25115999999999999</v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69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1" t="s">
        <v>595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69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220</v>
      </c>
      <c r="W451" s="353">
        <f t="shared" si="21"/>
        <v>221.76000000000002</v>
      </c>
      <c r="X451" s="36">
        <f t="shared" si="22"/>
        <v>0.50231999999999999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69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3" t="s">
        <v>599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69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2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9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378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606</v>
      </c>
      <c r="B455" s="54" t="s">
        <v>607</v>
      </c>
      <c r="C455" s="31">
        <v>4301011365</v>
      </c>
      <c r="D455" s="369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7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250</v>
      </c>
      <c r="W455" s="353">
        <f t="shared" si="21"/>
        <v>253.44</v>
      </c>
      <c r="X455" s="36">
        <f t="shared" si="22"/>
        <v>0.57408000000000003</v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69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71" t="s">
        <v>609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9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707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4301011367</v>
      </c>
      <c r="D458" s="369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69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468" t="s">
        <v>616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69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69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8" t="s">
        <v>620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69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7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69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689" t="s">
        <v>624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9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4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627</v>
      </c>
      <c r="B465" s="54" t="s">
        <v>628</v>
      </c>
      <c r="C465" s="31">
        <v>4301011366</v>
      </c>
      <c r="D465" s="369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120</v>
      </c>
      <c r="W465" s="353">
        <f t="shared" si="21"/>
        <v>122.4</v>
      </c>
      <c r="X465" s="36">
        <f>IFERROR(IF(W465=0,"",ROUNDUP(W465/H465,0)*0.00937),"")</f>
        <v>0.31857999999999997</v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69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634" t="s">
        <v>630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5"/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7"/>
      <c r="N467" s="379" t="s">
        <v>66</v>
      </c>
      <c r="O467" s="380"/>
      <c r="P467" s="380"/>
      <c r="Q467" s="380"/>
      <c r="R467" s="380"/>
      <c r="S467" s="380"/>
      <c r="T467" s="381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143.18181818181819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145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1.6461399999999999</v>
      </c>
      <c r="Y467" s="355"/>
      <c r="Z467" s="355"/>
    </row>
    <row r="468" spans="1:53" x14ac:dyDescent="0.2">
      <c r="A468" s="376"/>
      <c r="B468" s="376"/>
      <c r="C468" s="376"/>
      <c r="D468" s="376"/>
      <c r="E468" s="376"/>
      <c r="F468" s="376"/>
      <c r="G468" s="376"/>
      <c r="H468" s="376"/>
      <c r="I468" s="376"/>
      <c r="J468" s="376"/>
      <c r="K468" s="376"/>
      <c r="L468" s="376"/>
      <c r="M468" s="377"/>
      <c r="N468" s="379" t="s">
        <v>66</v>
      </c>
      <c r="O468" s="380"/>
      <c r="P468" s="380"/>
      <c r="Q468" s="380"/>
      <c r="R468" s="380"/>
      <c r="S468" s="380"/>
      <c r="T468" s="381"/>
      <c r="U468" s="37" t="s">
        <v>65</v>
      </c>
      <c r="V468" s="354">
        <f>IFERROR(SUM(V449:V466),"0")</f>
        <v>700</v>
      </c>
      <c r="W468" s="354">
        <f>IFERROR(SUM(W449:W466),"0")</f>
        <v>708.48</v>
      </c>
      <c r="X468" s="37"/>
      <c r="Y468" s="355"/>
      <c r="Z468" s="355"/>
    </row>
    <row r="469" spans="1:53" ht="14.25" hidden="1" customHeight="1" x14ac:dyDescent="0.25">
      <c r="A469" s="384" t="s">
        <v>97</v>
      </c>
      <c r="B469" s="376"/>
      <c r="C469" s="376"/>
      <c r="D469" s="376"/>
      <c r="E469" s="376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  <c r="X469" s="376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69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220</v>
      </c>
      <c r="W470" s="353">
        <f>IFERROR(IF(V470="",0,CEILING((V470/$H470),1)*$H470),"")</f>
        <v>221.76000000000002</v>
      </c>
      <c r="X470" s="36">
        <f>IFERROR(IF(W470=0,"",ROUNDUP(W470/H470,0)*0.01196),"")</f>
        <v>0.50231999999999999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9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5"/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7"/>
      <c r="N472" s="379" t="s">
        <v>66</v>
      </c>
      <c r="O472" s="380"/>
      <c r="P472" s="380"/>
      <c r="Q472" s="380"/>
      <c r="R472" s="380"/>
      <c r="S472" s="380"/>
      <c r="T472" s="381"/>
      <c r="U472" s="37" t="s">
        <v>67</v>
      </c>
      <c r="V472" s="354">
        <f>IFERROR(V470/H470,"0")+IFERROR(V471/H471,"0")</f>
        <v>41.666666666666664</v>
      </c>
      <c r="W472" s="354">
        <f>IFERROR(W470/H470,"0")+IFERROR(W471/H471,"0")</f>
        <v>42</v>
      </c>
      <c r="X472" s="354">
        <f>IFERROR(IF(X470="",0,X470),"0")+IFERROR(IF(X471="",0,X471),"0")</f>
        <v>0.50231999999999999</v>
      </c>
      <c r="Y472" s="355"/>
      <c r="Z472" s="355"/>
    </row>
    <row r="473" spans="1:53" x14ac:dyDescent="0.2">
      <c r="A473" s="376"/>
      <c r="B473" s="376"/>
      <c r="C473" s="376"/>
      <c r="D473" s="376"/>
      <c r="E473" s="376"/>
      <c r="F473" s="376"/>
      <c r="G473" s="376"/>
      <c r="H473" s="376"/>
      <c r="I473" s="376"/>
      <c r="J473" s="376"/>
      <c r="K473" s="376"/>
      <c r="L473" s="376"/>
      <c r="M473" s="377"/>
      <c r="N473" s="379" t="s">
        <v>66</v>
      </c>
      <c r="O473" s="380"/>
      <c r="P473" s="380"/>
      <c r="Q473" s="380"/>
      <c r="R473" s="380"/>
      <c r="S473" s="380"/>
      <c r="T473" s="381"/>
      <c r="U473" s="37" t="s">
        <v>65</v>
      </c>
      <c r="V473" s="354">
        <f>IFERROR(SUM(V470:V471),"0")</f>
        <v>220</v>
      </c>
      <c r="W473" s="354">
        <f>IFERROR(SUM(W470:W471),"0")</f>
        <v>221.76000000000002</v>
      </c>
      <c r="X473" s="37"/>
      <c r="Y473" s="355"/>
      <c r="Z473" s="355"/>
    </row>
    <row r="474" spans="1:53" ht="14.25" hidden="1" customHeight="1" x14ac:dyDescent="0.25">
      <c r="A474" s="384" t="s">
        <v>60</v>
      </c>
      <c r="B474" s="376"/>
      <c r="C474" s="376"/>
      <c r="D474" s="376"/>
      <c r="E474" s="376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  <c r="X474" s="376"/>
      <c r="Y474" s="347"/>
      <c r="Z474" s="347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69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110</v>
      </c>
      <c r="W475" s="353">
        <f t="shared" ref="W475:W480" si="24">IFERROR(IF(V475="",0,CEILING((V475/$H475),1)*$H475),"")</f>
        <v>110.88000000000001</v>
      </c>
      <c r="X475" s="36">
        <f>IFERROR(IF(W475=0,"",ROUNDUP(W475/H475,0)*0.01196),"")</f>
        <v>0.25115999999999999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69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90</v>
      </c>
      <c r="W476" s="353">
        <f t="shared" si="24"/>
        <v>95.04</v>
      </c>
      <c r="X476" s="36">
        <f>IFERROR(IF(W476=0,"",ROUNDUP(W476/H476,0)*0.01196),"")</f>
        <v>0.21528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69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250</v>
      </c>
      <c r="W477" s="353">
        <f t="shared" si="24"/>
        <v>253.44</v>
      </c>
      <c r="X477" s="36">
        <f>IFERROR(IF(W477=0,"",ROUNDUP(W477/H477,0)*0.01196),"")</f>
        <v>0.57408000000000003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69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643</v>
      </c>
      <c r="B479" s="54" t="s">
        <v>644</v>
      </c>
      <c r="C479" s="31">
        <v>4301031251</v>
      </c>
      <c r="D479" s="369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7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30</v>
      </c>
      <c r="W479" s="353">
        <f t="shared" si="24"/>
        <v>32.4</v>
      </c>
      <c r="X479" s="36">
        <f>IFERROR(IF(W479=0,"",ROUNDUP(W479/H479,0)*0.00937),"")</f>
        <v>8.4330000000000002E-2</v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69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5"/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7"/>
      <c r="N481" s="379" t="s">
        <v>66</v>
      </c>
      <c r="O481" s="380"/>
      <c r="P481" s="380"/>
      <c r="Q481" s="380"/>
      <c r="R481" s="380"/>
      <c r="S481" s="380"/>
      <c r="T481" s="381"/>
      <c r="U481" s="37" t="s">
        <v>67</v>
      </c>
      <c r="V481" s="354">
        <f>IFERROR(V475/H475,"0")+IFERROR(V476/H476,"0")+IFERROR(V477/H477,"0")+IFERROR(V478/H478,"0")+IFERROR(V479/H479,"0")+IFERROR(V480/H480,"0")</f>
        <v>93.560606060606048</v>
      </c>
      <c r="W481" s="354">
        <f>IFERROR(W475/H475,"0")+IFERROR(W476/H476,"0")+IFERROR(W477/H477,"0")+IFERROR(W478/H478,"0")+IFERROR(W479/H479,"0")+IFERROR(W480/H480,"0")</f>
        <v>96</v>
      </c>
      <c r="X481" s="354">
        <f>IFERROR(IF(X475="",0,X475),"0")+IFERROR(IF(X476="",0,X476),"0")+IFERROR(IF(X477="",0,X477),"0")+IFERROR(IF(X478="",0,X478),"0")+IFERROR(IF(X479="",0,X479),"0")+IFERROR(IF(X480="",0,X480),"0")</f>
        <v>1.1248499999999999</v>
      </c>
      <c r="Y481" s="355"/>
      <c r="Z481" s="355"/>
    </row>
    <row r="482" spans="1:53" x14ac:dyDescent="0.2">
      <c r="A482" s="376"/>
      <c r="B482" s="376"/>
      <c r="C482" s="376"/>
      <c r="D482" s="376"/>
      <c r="E482" s="376"/>
      <c r="F482" s="376"/>
      <c r="G482" s="376"/>
      <c r="H482" s="376"/>
      <c r="I482" s="376"/>
      <c r="J482" s="376"/>
      <c r="K482" s="376"/>
      <c r="L482" s="376"/>
      <c r="M482" s="377"/>
      <c r="N482" s="379" t="s">
        <v>66</v>
      </c>
      <c r="O482" s="380"/>
      <c r="P482" s="380"/>
      <c r="Q482" s="380"/>
      <c r="R482" s="380"/>
      <c r="S482" s="380"/>
      <c r="T482" s="381"/>
      <c r="U482" s="37" t="s">
        <v>65</v>
      </c>
      <c r="V482" s="354">
        <f>IFERROR(SUM(V475:V480),"0")</f>
        <v>480</v>
      </c>
      <c r="W482" s="354">
        <f>IFERROR(SUM(W475:W480),"0")</f>
        <v>491.76</v>
      </c>
      <c r="X482" s="37"/>
      <c r="Y482" s="355"/>
      <c r="Z482" s="355"/>
    </row>
    <row r="483" spans="1:53" ht="14.25" hidden="1" customHeight="1" x14ac:dyDescent="0.25">
      <c r="A483" s="384" t="s">
        <v>68</v>
      </c>
      <c r="B483" s="376"/>
      <c r="C483" s="376"/>
      <c r="D483" s="376"/>
      <c r="E483" s="376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  <c r="X483" s="376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9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9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5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7"/>
      <c r="N486" s="379" t="s">
        <v>66</v>
      </c>
      <c r="O486" s="380"/>
      <c r="P486" s="380"/>
      <c r="Q486" s="380"/>
      <c r="R486" s="380"/>
      <c r="S486" s="380"/>
      <c r="T486" s="381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76"/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7"/>
      <c r="N487" s="379" t="s">
        <v>66</v>
      </c>
      <c r="O487" s="380"/>
      <c r="P487" s="380"/>
      <c r="Q487" s="380"/>
      <c r="R487" s="380"/>
      <c r="S487" s="380"/>
      <c r="T487" s="381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434" t="s">
        <v>651</v>
      </c>
      <c r="B488" s="435"/>
      <c r="C488" s="435"/>
      <c r="D488" s="435"/>
      <c r="E488" s="435"/>
      <c r="F488" s="435"/>
      <c r="G488" s="435"/>
      <c r="H488" s="435"/>
      <c r="I488" s="435"/>
      <c r="J488" s="435"/>
      <c r="K488" s="435"/>
      <c r="L488" s="435"/>
      <c r="M488" s="435"/>
      <c r="N488" s="435"/>
      <c r="O488" s="435"/>
      <c r="P488" s="435"/>
      <c r="Q488" s="435"/>
      <c r="R488" s="435"/>
      <c r="S488" s="435"/>
      <c r="T488" s="435"/>
      <c r="U488" s="435"/>
      <c r="V488" s="435"/>
      <c r="W488" s="435"/>
      <c r="X488" s="435"/>
      <c r="Y488" s="48"/>
      <c r="Z488" s="48"/>
    </row>
    <row r="489" spans="1:53" ht="16.5" hidden="1" customHeight="1" x14ac:dyDescent="0.25">
      <c r="A489" s="383" t="s">
        <v>652</v>
      </c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  <c r="X489" s="376"/>
      <c r="Y489" s="348"/>
      <c r="Z489" s="348"/>
    </row>
    <row r="490" spans="1:53" ht="14.25" hidden="1" customHeight="1" x14ac:dyDescent="0.25">
      <c r="A490" s="384" t="s">
        <v>105</v>
      </c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  <c r="X490" s="376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9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730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9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32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9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6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9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90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9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23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5"/>
      <c r="B496" s="376"/>
      <c r="C496" s="376"/>
      <c r="D496" s="376"/>
      <c r="E496" s="376"/>
      <c r="F496" s="376"/>
      <c r="G496" s="376"/>
      <c r="H496" s="376"/>
      <c r="I496" s="376"/>
      <c r="J496" s="376"/>
      <c r="K496" s="376"/>
      <c r="L496" s="376"/>
      <c r="M496" s="377"/>
      <c r="N496" s="379" t="s">
        <v>66</v>
      </c>
      <c r="O496" s="380"/>
      <c r="P496" s="380"/>
      <c r="Q496" s="380"/>
      <c r="R496" s="380"/>
      <c r="S496" s="380"/>
      <c r="T496" s="381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76"/>
      <c r="B497" s="376"/>
      <c r="C497" s="376"/>
      <c r="D497" s="376"/>
      <c r="E497" s="376"/>
      <c r="F497" s="376"/>
      <c r="G497" s="376"/>
      <c r="H497" s="376"/>
      <c r="I497" s="376"/>
      <c r="J497" s="376"/>
      <c r="K497" s="376"/>
      <c r="L497" s="376"/>
      <c r="M497" s="377"/>
      <c r="N497" s="379" t="s">
        <v>66</v>
      </c>
      <c r="O497" s="380"/>
      <c r="P497" s="380"/>
      <c r="Q497" s="380"/>
      <c r="R497" s="380"/>
      <c r="S497" s="380"/>
      <c r="T497" s="381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84" t="s">
        <v>97</v>
      </c>
      <c r="B498" s="376"/>
      <c r="C498" s="376"/>
      <c r="D498" s="376"/>
      <c r="E498" s="376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  <c r="X498" s="376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9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48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9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54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9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19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5"/>
      <c r="B502" s="376"/>
      <c r="C502" s="376"/>
      <c r="D502" s="376"/>
      <c r="E502" s="376"/>
      <c r="F502" s="376"/>
      <c r="G502" s="376"/>
      <c r="H502" s="376"/>
      <c r="I502" s="376"/>
      <c r="J502" s="376"/>
      <c r="K502" s="376"/>
      <c r="L502" s="376"/>
      <c r="M502" s="377"/>
      <c r="N502" s="379" t="s">
        <v>66</v>
      </c>
      <c r="O502" s="380"/>
      <c r="P502" s="380"/>
      <c r="Q502" s="380"/>
      <c r="R502" s="380"/>
      <c r="S502" s="380"/>
      <c r="T502" s="381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76"/>
      <c r="B503" s="376"/>
      <c r="C503" s="376"/>
      <c r="D503" s="376"/>
      <c r="E503" s="376"/>
      <c r="F503" s="376"/>
      <c r="G503" s="376"/>
      <c r="H503" s="376"/>
      <c r="I503" s="376"/>
      <c r="J503" s="376"/>
      <c r="K503" s="376"/>
      <c r="L503" s="376"/>
      <c r="M503" s="377"/>
      <c r="N503" s="379" t="s">
        <v>66</v>
      </c>
      <c r="O503" s="380"/>
      <c r="P503" s="380"/>
      <c r="Q503" s="380"/>
      <c r="R503" s="380"/>
      <c r="S503" s="380"/>
      <c r="T503" s="381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84" t="s">
        <v>60</v>
      </c>
      <c r="B504" s="376"/>
      <c r="C504" s="376"/>
      <c r="D504" s="376"/>
      <c r="E504" s="376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  <c r="X504" s="376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9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725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9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4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9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6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9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29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75"/>
      <c r="B509" s="376"/>
      <c r="C509" s="376"/>
      <c r="D509" s="376"/>
      <c r="E509" s="376"/>
      <c r="F509" s="376"/>
      <c r="G509" s="376"/>
      <c r="H509" s="376"/>
      <c r="I509" s="376"/>
      <c r="J509" s="376"/>
      <c r="K509" s="376"/>
      <c r="L509" s="376"/>
      <c r="M509" s="377"/>
      <c r="N509" s="379" t="s">
        <v>66</v>
      </c>
      <c r="O509" s="380"/>
      <c r="P509" s="380"/>
      <c r="Q509" s="380"/>
      <c r="R509" s="380"/>
      <c r="S509" s="380"/>
      <c r="T509" s="381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76"/>
      <c r="B510" s="376"/>
      <c r="C510" s="376"/>
      <c r="D510" s="376"/>
      <c r="E510" s="376"/>
      <c r="F510" s="376"/>
      <c r="G510" s="376"/>
      <c r="H510" s="376"/>
      <c r="I510" s="376"/>
      <c r="J510" s="376"/>
      <c r="K510" s="376"/>
      <c r="L510" s="376"/>
      <c r="M510" s="377"/>
      <c r="N510" s="379" t="s">
        <v>66</v>
      </c>
      <c r="O510" s="380"/>
      <c r="P510" s="380"/>
      <c r="Q510" s="380"/>
      <c r="R510" s="380"/>
      <c r="S510" s="380"/>
      <c r="T510" s="381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84" t="s">
        <v>68</v>
      </c>
      <c r="B511" s="376"/>
      <c r="C511" s="376"/>
      <c r="D511" s="376"/>
      <c r="E511" s="376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  <c r="X511" s="376"/>
      <c r="Y511" s="347"/>
      <c r="Z511" s="347"/>
    </row>
    <row r="512" spans="1:53" ht="27" customHeight="1" x14ac:dyDescent="0.25">
      <c r="A512" s="54" t="s">
        <v>689</v>
      </c>
      <c r="B512" s="54" t="s">
        <v>690</v>
      </c>
      <c r="C512" s="31">
        <v>4301051310</v>
      </c>
      <c r="D512" s="369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46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500</v>
      </c>
      <c r="W512" s="353">
        <f>IFERROR(IF(V512="",0,CEILING((V512/$H512),1)*$H512),"")</f>
        <v>507</v>
      </c>
      <c r="X512" s="36">
        <f>IFERROR(IF(W512=0,"",ROUNDUP(W512/H512,0)*0.02175),"")</f>
        <v>1.4137499999999998</v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9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88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9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2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9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8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9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22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x14ac:dyDescent="0.2">
      <c r="A517" s="375"/>
      <c r="B517" s="376"/>
      <c r="C517" s="376"/>
      <c r="D517" s="376"/>
      <c r="E517" s="376"/>
      <c r="F517" s="376"/>
      <c r="G517" s="376"/>
      <c r="H517" s="376"/>
      <c r="I517" s="376"/>
      <c r="J517" s="376"/>
      <c r="K517" s="376"/>
      <c r="L517" s="376"/>
      <c r="M517" s="377"/>
      <c r="N517" s="379" t="s">
        <v>66</v>
      </c>
      <c r="O517" s="380"/>
      <c r="P517" s="380"/>
      <c r="Q517" s="380"/>
      <c r="R517" s="380"/>
      <c r="S517" s="380"/>
      <c r="T517" s="381"/>
      <c r="U517" s="37" t="s">
        <v>67</v>
      </c>
      <c r="V517" s="354">
        <f>IFERROR(V512/H512,"0")+IFERROR(V513/H513,"0")+IFERROR(V514/H514,"0")+IFERROR(V515/H515,"0")+IFERROR(V516/H516,"0")</f>
        <v>64.102564102564102</v>
      </c>
      <c r="W517" s="354">
        <f>IFERROR(W512/H512,"0")+IFERROR(W513/H513,"0")+IFERROR(W514/H514,"0")+IFERROR(W515/H515,"0")+IFERROR(W516/H516,"0")</f>
        <v>65</v>
      </c>
      <c r="X517" s="354">
        <f>IFERROR(IF(X512="",0,X512),"0")+IFERROR(IF(X513="",0,X513),"0")+IFERROR(IF(X514="",0,X514),"0")+IFERROR(IF(X515="",0,X515),"0")+IFERROR(IF(X516="",0,X516),"0")</f>
        <v>1.4137499999999998</v>
      </c>
      <c r="Y517" s="355"/>
      <c r="Z517" s="355"/>
    </row>
    <row r="518" spans="1:53" x14ac:dyDescent="0.2">
      <c r="A518" s="376"/>
      <c r="B518" s="376"/>
      <c r="C518" s="376"/>
      <c r="D518" s="376"/>
      <c r="E518" s="376"/>
      <c r="F518" s="376"/>
      <c r="G518" s="376"/>
      <c r="H518" s="376"/>
      <c r="I518" s="376"/>
      <c r="J518" s="376"/>
      <c r="K518" s="376"/>
      <c r="L518" s="376"/>
      <c r="M518" s="377"/>
      <c r="N518" s="379" t="s">
        <v>66</v>
      </c>
      <c r="O518" s="380"/>
      <c r="P518" s="380"/>
      <c r="Q518" s="380"/>
      <c r="R518" s="380"/>
      <c r="S518" s="380"/>
      <c r="T518" s="381"/>
      <c r="U518" s="37" t="s">
        <v>65</v>
      </c>
      <c r="V518" s="354">
        <f>IFERROR(SUM(V512:V516),"0")</f>
        <v>500</v>
      </c>
      <c r="W518" s="354">
        <f>IFERROR(SUM(W512:W516),"0")</f>
        <v>507</v>
      </c>
      <c r="X518" s="37"/>
      <c r="Y518" s="355"/>
      <c r="Z518" s="355"/>
    </row>
    <row r="519" spans="1:53" ht="15" customHeight="1" x14ac:dyDescent="0.2">
      <c r="A519" s="727"/>
      <c r="B519" s="376"/>
      <c r="C519" s="376"/>
      <c r="D519" s="376"/>
      <c r="E519" s="376"/>
      <c r="F519" s="376"/>
      <c r="G519" s="376"/>
      <c r="H519" s="376"/>
      <c r="I519" s="376"/>
      <c r="J519" s="376"/>
      <c r="K519" s="376"/>
      <c r="L519" s="376"/>
      <c r="M519" s="371"/>
      <c r="N519" s="372" t="s">
        <v>703</v>
      </c>
      <c r="O519" s="373"/>
      <c r="P519" s="373"/>
      <c r="Q519" s="373"/>
      <c r="R519" s="373"/>
      <c r="S519" s="373"/>
      <c r="T519" s="374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14734.4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14913.240000000002</v>
      </c>
      <c r="X519" s="37"/>
      <c r="Y519" s="355"/>
      <c r="Z519" s="355"/>
    </row>
    <row r="520" spans="1:53" x14ac:dyDescent="0.2">
      <c r="A520" s="376"/>
      <c r="B520" s="376"/>
      <c r="C520" s="376"/>
      <c r="D520" s="376"/>
      <c r="E520" s="376"/>
      <c r="F520" s="376"/>
      <c r="G520" s="376"/>
      <c r="H520" s="376"/>
      <c r="I520" s="376"/>
      <c r="J520" s="376"/>
      <c r="K520" s="376"/>
      <c r="L520" s="376"/>
      <c r="M520" s="371"/>
      <c r="N520" s="372" t="s">
        <v>704</v>
      </c>
      <c r="O520" s="373"/>
      <c r="P520" s="373"/>
      <c r="Q520" s="373"/>
      <c r="R520" s="373"/>
      <c r="S520" s="373"/>
      <c r="T520" s="374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15962.875218497977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16153.539999999999</v>
      </c>
      <c r="X520" s="37"/>
      <c r="Y520" s="355"/>
      <c r="Z520" s="355"/>
    </row>
    <row r="521" spans="1:53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1"/>
      <c r="N521" s="372" t="s">
        <v>705</v>
      </c>
      <c r="O521" s="373"/>
      <c r="P521" s="373"/>
      <c r="Q521" s="373"/>
      <c r="R521" s="373"/>
      <c r="S521" s="373"/>
      <c r="T521" s="374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32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33</v>
      </c>
      <c r="X521" s="37"/>
      <c r="Y521" s="355"/>
      <c r="Z521" s="355"/>
    </row>
    <row r="522" spans="1:53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1"/>
      <c r="N522" s="372" t="s">
        <v>707</v>
      </c>
      <c r="O522" s="373"/>
      <c r="P522" s="373"/>
      <c r="Q522" s="373"/>
      <c r="R522" s="373"/>
      <c r="S522" s="373"/>
      <c r="T522" s="374"/>
      <c r="U522" s="37" t="s">
        <v>65</v>
      </c>
      <c r="V522" s="354">
        <f>GrossWeightTotal+PalletQtyTotal*25</f>
        <v>16762.875218497975</v>
      </c>
      <c r="W522" s="354">
        <f>GrossWeightTotalR+PalletQtyTotalR*25</f>
        <v>16978.54</v>
      </c>
      <c r="X522" s="37"/>
      <c r="Y522" s="355"/>
      <c r="Z522" s="355"/>
    </row>
    <row r="523" spans="1:53" x14ac:dyDescent="0.2">
      <c r="A523" s="376"/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1"/>
      <c r="N523" s="372" t="s">
        <v>708</v>
      </c>
      <c r="O523" s="373"/>
      <c r="P523" s="373"/>
      <c r="Q523" s="373"/>
      <c r="R523" s="373"/>
      <c r="S523" s="373"/>
      <c r="T523" s="374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4295.2627040902917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4328</v>
      </c>
      <c r="X523" s="37"/>
      <c r="Y523" s="355"/>
      <c r="Z523" s="355"/>
    </row>
    <row r="524" spans="1:53" ht="14.25" hidden="1" customHeight="1" x14ac:dyDescent="0.2">
      <c r="A524" s="376"/>
      <c r="B524" s="376"/>
      <c r="C524" s="376"/>
      <c r="D524" s="376"/>
      <c r="E524" s="376"/>
      <c r="F524" s="376"/>
      <c r="G524" s="376"/>
      <c r="H524" s="376"/>
      <c r="I524" s="376"/>
      <c r="J524" s="376"/>
      <c r="K524" s="376"/>
      <c r="L524" s="376"/>
      <c r="M524" s="371"/>
      <c r="N524" s="372" t="s">
        <v>709</v>
      </c>
      <c r="O524" s="373"/>
      <c r="P524" s="373"/>
      <c r="Q524" s="373"/>
      <c r="R524" s="373"/>
      <c r="S524" s="373"/>
      <c r="T524" s="374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38.032550000000008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76"/>
      <c r="E526" s="576"/>
      <c r="F526" s="577"/>
      <c r="G526" s="356" t="s">
        <v>225</v>
      </c>
      <c r="H526" s="576"/>
      <c r="I526" s="576"/>
      <c r="J526" s="576"/>
      <c r="K526" s="576"/>
      <c r="L526" s="576"/>
      <c r="M526" s="576"/>
      <c r="N526" s="576"/>
      <c r="O526" s="577"/>
      <c r="P526" s="345" t="s">
        <v>460</v>
      </c>
      <c r="Q526" s="356" t="s">
        <v>464</v>
      </c>
      <c r="R526" s="577"/>
      <c r="S526" s="356" t="s">
        <v>517</v>
      </c>
      <c r="T526" s="577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627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628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267.3</v>
      </c>
      <c r="D529" s="46">
        <f>IFERROR(W56*1,"0")+IFERROR(W57*1,"0")+IFERROR(W58*1,"0")+IFERROR(W59*1,"0")</f>
        <v>376.20000000000005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2224.6799999999998</v>
      </c>
      <c r="F529" s="46">
        <f>IFERROR(W132*1,"0")+IFERROR(W133*1,"0")+IFERROR(W134*1,"0")+IFERROR(W135*1,"0")</f>
        <v>673.2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1102.5000000000002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4127.1000000000004</v>
      </c>
      <c r="J529" s="46">
        <f>IFERROR(W206*1,"0")+IFERROR(W207*1,"0")+IFERROR(W208*1,"0")+IFERROR(W209*1,"0")+IFERROR(W210*1,"0")+IFERROR(W211*1,"0")+IFERROR(W215*1,"0")</f>
        <v>315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974.32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698.40000000000009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918.8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139.19999999999999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949.56000000000017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217.98000000000002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1422.0000000000002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507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6,90"/>
        <filter val="1 098,40"/>
        <filter val="1 150,00"/>
        <filter val="1 571,00"/>
        <filter val="100,00"/>
        <filter val="11,00"/>
        <filter val="110,00"/>
        <filter val="12,00"/>
        <filter val="12,50"/>
        <filter val="120,00"/>
        <filter val="136,50"/>
        <filter val="14 734,40"/>
        <filter val="140,00"/>
        <filter val="143,18"/>
        <filter val="144,35"/>
        <filter val="147,62"/>
        <filter val="15 962,88"/>
        <filter val="15,00"/>
        <filter val="150,00"/>
        <filter val="156,00"/>
        <filter val="16 762,88"/>
        <filter val="16,00"/>
        <filter val="17,33"/>
        <filter val="175,00"/>
        <filter val="18,33"/>
        <filter val="188,50"/>
        <filter val="19,23"/>
        <filter val="2 790,00"/>
        <filter val="20,00"/>
        <filter val="200,00"/>
        <filter val="202,50"/>
        <filter val="210,00"/>
        <filter val="212,96"/>
        <filter val="216,00"/>
        <filter val="220,00"/>
        <filter val="225,00"/>
        <filter val="226,67"/>
        <filter val="24,00"/>
        <filter val="245,00"/>
        <filter val="25,00"/>
        <filter val="250,00"/>
        <filter val="262,50"/>
        <filter val="27,00"/>
        <filter val="270,00"/>
        <filter val="280,00"/>
        <filter val="3,33"/>
        <filter val="3,85"/>
        <filter val="30,00"/>
        <filter val="300,00"/>
        <filter val="300,08"/>
        <filter val="315,00"/>
        <filter val="32"/>
        <filter val="33,00"/>
        <filter val="34,20"/>
        <filter val="35,00"/>
        <filter val="350,00"/>
        <filter val="360,00"/>
        <filter val="375,00"/>
        <filter val="38,50"/>
        <filter val="385,00"/>
        <filter val="39,60"/>
        <filter val="4 295,26"/>
        <filter val="40,00"/>
        <filter val="400,00"/>
        <filter val="402,62"/>
        <filter val="41,67"/>
        <filter val="440,00"/>
        <filter val="447,86"/>
        <filter val="45,60"/>
        <filter val="46,20"/>
        <filter val="470,80"/>
        <filter val="480,00"/>
        <filter val="490,00"/>
        <filter val="495,00"/>
        <filter val="5,00"/>
        <filter val="5,13"/>
        <filter val="50,00"/>
        <filter val="500,00"/>
        <filter val="512,50"/>
        <filter val="54,05"/>
        <filter val="58,00"/>
        <filter val="60,00"/>
        <filter val="600,00"/>
        <filter val="63,89"/>
        <filter val="630,00"/>
        <filter val="64,00"/>
        <filter val="64,10"/>
        <filter val="65,00"/>
        <filter val="670,00"/>
        <filter val="680,00"/>
        <filter val="7,00"/>
        <filter val="7,14"/>
        <filter val="70,00"/>
        <filter val="700,00"/>
        <filter val="8,10"/>
        <filter val="8,33"/>
        <filter val="8,40"/>
        <filter val="80,00"/>
        <filter val="80,56"/>
        <filter val="82,50"/>
        <filter val="84,00"/>
        <filter val="9,00"/>
        <filter val="90,00"/>
        <filter val="910,50"/>
        <filter val="92,00"/>
        <filter val="93,56"/>
      </filters>
    </filterColumn>
  </autoFilter>
  <mergeCells count="945"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B527:B528"/>
    <mergeCell ref="N491:R491"/>
    <mergeCell ref="D363:E363"/>
    <mergeCell ref="A511:X511"/>
    <mergeCell ref="D494:E494"/>
    <mergeCell ref="D493:E493"/>
    <mergeCell ref="A489:X489"/>
    <mergeCell ref="D501:E501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D126:E126"/>
    <mergeCell ref="A144:M145"/>
    <mergeCell ref="N181:R181"/>
    <mergeCell ref="N168:T168"/>
    <mergeCell ref="D259:E259"/>
    <mergeCell ref="N349:R349"/>
    <mergeCell ref="N74:R74"/>
    <mergeCell ref="D59:E59"/>
    <mergeCell ref="D51:E51"/>
    <mergeCell ref="N95:R95"/>
    <mergeCell ref="N70:R70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D182:E182"/>
    <mergeCell ref="N101:R101"/>
    <mergeCell ref="N393:R393"/>
    <mergeCell ref="D374:E374"/>
    <mergeCell ref="D295:E295"/>
    <mergeCell ref="D178:E178"/>
    <mergeCell ref="N157:T157"/>
    <mergeCell ref="N328:T328"/>
    <mergeCell ref="D349:E349"/>
    <mergeCell ref="A358:X358"/>
    <mergeCell ref="A92:M93"/>
    <mergeCell ref="N108:R108"/>
    <mergeCell ref="A197:X197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A383:X383"/>
    <mergeCell ref="N274:T274"/>
    <mergeCell ref="D372:E372"/>
    <mergeCell ref="A163:M164"/>
    <mergeCell ref="D284:E284"/>
    <mergeCell ref="N64:R64"/>
    <mergeCell ref="A321:M322"/>
    <mergeCell ref="N191:R191"/>
    <mergeCell ref="N362:R362"/>
    <mergeCell ref="N261:R261"/>
    <mergeCell ref="A138:X138"/>
    <mergeCell ref="N172:R172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V17:V18"/>
    <mergeCell ref="N266:R266"/>
    <mergeCell ref="A270:X270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N381:T381"/>
    <mergeCell ref="D133:E133"/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2024-03-07T11:15:23Z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