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40" windowHeight="1228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1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4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1"/>
  <sheetViews>
    <sheetView showGridLines="0" tabSelected="1" topLeftCell="F2" zoomScaleNormal="100" zoomScaleSheetLayoutView="100" workbookViewId="0">
      <selection activeCell="P8" sqref="P8:Q8"/>
    </sheetView>
  </sheetViews>
  <sheetFormatPr baseColWidth="8" defaultColWidth="9.140625" defaultRowHeight="12.75"/>
  <cols>
    <col width="9.140625" customWidth="1" style="38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81" min="17" max="17"/>
    <col width="6.140625" customWidth="1" style="381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81" min="23" max="23"/>
    <col width="11" customWidth="1" style="381" min="24" max="24"/>
    <col width="10" customWidth="1" style="381" min="25" max="25"/>
    <col width="11.5703125" customWidth="1" style="381" min="26" max="26"/>
    <col width="10.42578125" customWidth="1" style="381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81" min="31" max="31"/>
    <col width="9.140625" customWidth="1" style="381" min="32" max="16384"/>
  </cols>
  <sheetData>
    <row r="1" ht="45" customFormat="1" customHeight="1" s="728">
      <c r="A1" s="48" t="n"/>
      <c r="B1" s="48" t="n"/>
      <c r="C1" s="48" t="n"/>
      <c r="D1" s="747" t="inlineStr">
        <is>
          <t xml:space="preserve">  БЛАНК ЗАКАЗА </t>
        </is>
      </c>
      <c r="G1" s="14" t="inlineStr">
        <is>
          <t>КИ</t>
        </is>
      </c>
      <c r="H1" s="747" t="inlineStr">
        <is>
          <t>на отгрузку продукции с ООО Трейд-Сервис с</t>
        </is>
      </c>
      <c r="Q1" s="748" t="inlineStr">
        <is>
          <t>20.05.2024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28">
      <c r="A2" s="34" t="inlineStr">
        <is>
          <t>бланк создан</t>
        </is>
      </c>
      <c r="B2" s="35" t="inlineStr">
        <is>
          <t>15.05.2024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1" t="n"/>
      <c r="Q2" s="381" t="n"/>
      <c r="R2" s="381" t="n"/>
      <c r="S2" s="381" t="n"/>
      <c r="T2" s="381" t="n"/>
      <c r="U2" s="381" t="n"/>
      <c r="V2" s="381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2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1" t="n"/>
      <c r="P3" s="381" t="n"/>
      <c r="Q3" s="381" t="n"/>
      <c r="R3" s="381" t="n"/>
      <c r="S3" s="381" t="n"/>
      <c r="T3" s="381" t="n"/>
      <c r="U3" s="381" t="n"/>
      <c r="V3" s="381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2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28">
      <c r="A5" s="729" t="inlineStr">
        <is>
          <t xml:space="preserve">Ваш контактный телефон и имя: </t>
        </is>
      </c>
      <c r="B5" s="758" t="n"/>
      <c r="C5" s="759" t="n"/>
      <c r="D5" s="751" t="n"/>
      <c r="E5" s="760" t="n"/>
      <c r="F5" s="752" t="inlineStr">
        <is>
          <t>Комментарий к заказу:</t>
        </is>
      </c>
      <c r="G5" s="759" t="n"/>
      <c r="H5" s="751" t="n"/>
      <c r="I5" s="761" t="n"/>
      <c r="J5" s="761" t="n"/>
      <c r="K5" s="761" t="n"/>
      <c r="L5" s="760" t="n"/>
      <c r="M5" s="73" t="n"/>
      <c r="O5" s="29" t="inlineStr">
        <is>
          <t>Дата загрузки</t>
        </is>
      </c>
      <c r="P5" s="762" t="n">
        <v>45430</v>
      </c>
      <c r="Q5" s="763" t="n"/>
      <c r="S5" s="755" t="inlineStr">
        <is>
          <t>Способ доставки (доставка/самовывоз)</t>
        </is>
      </c>
      <c r="T5" s="764" t="n"/>
      <c r="U5" s="765" t="inlineStr">
        <is>
          <t>Самовывоз</t>
        </is>
      </c>
      <c r="V5" s="763" t="n"/>
      <c r="AA5" s="60" t="n"/>
      <c r="AB5" s="60" t="n"/>
      <c r="AC5" s="60" t="n"/>
    </row>
    <row r="6" ht="24" customFormat="1" customHeight="1" s="728">
      <c r="A6" s="729" t="inlineStr">
        <is>
          <t>Адрес доставки:</t>
        </is>
      </c>
      <c r="B6" s="758" t="n"/>
      <c r="C6" s="759" t="n"/>
      <c r="D6" s="730" t="inlineStr">
        <is>
          <t>КСК ТРЕЙД, ООО, Крым Респ, Симферополь г, Генерала Васильева ул, д. 44В, литера Ж, пом 5,</t>
        </is>
      </c>
      <c r="E6" s="766" t="n"/>
      <c r="F6" s="766" t="n"/>
      <c r="G6" s="766" t="n"/>
      <c r="H6" s="766" t="n"/>
      <c r="I6" s="766" t="n"/>
      <c r="J6" s="766" t="n"/>
      <c r="K6" s="766" t="n"/>
      <c r="L6" s="763" t="n"/>
      <c r="M6" s="74" t="n"/>
      <c r="O6" s="29" t="inlineStr">
        <is>
          <t>День недели</t>
        </is>
      </c>
      <c r="P6" s="731">
        <f>IF(P5=0," ",CHOOSE(WEEKDAY(P5,2),"Понедельник","Вторник","Среда","Четверг","Пятница","Суббота","Воскресенье"))</f>
        <v/>
      </c>
      <c r="Q6" s="767" t="n"/>
      <c r="S6" s="733" t="inlineStr">
        <is>
          <t>Наименование клиента</t>
        </is>
      </c>
      <c r="T6" s="764" t="n"/>
      <c r="U6" s="768" t="inlineStr">
        <is>
          <t>ОБЩЕСТВО С ОГРАНИЧЕННОЙ ОТВЕТСТВЕННОСТЬЮ "КСК ТРЕЙД"</t>
        </is>
      </c>
      <c r="V6" s="769" t="n"/>
      <c r="AA6" s="60" t="n"/>
      <c r="AB6" s="60" t="n"/>
      <c r="AC6" s="60" t="n"/>
    </row>
    <row r="7" hidden="1" ht="21.75" customFormat="1" customHeight="1" s="728">
      <c r="A7" s="65" t="n"/>
      <c r="B7" s="65" t="n"/>
      <c r="C7" s="65" t="n"/>
      <c r="D7" s="770">
        <f>IFERROR(VLOOKUP(DeliveryAddress,Table,3,0),1)</f>
        <v/>
      </c>
      <c r="E7" s="771" t="n"/>
      <c r="F7" s="771" t="n"/>
      <c r="G7" s="771" t="n"/>
      <c r="H7" s="771" t="n"/>
      <c r="I7" s="771" t="n"/>
      <c r="J7" s="771" t="n"/>
      <c r="K7" s="771" t="n"/>
      <c r="L7" s="772" t="n"/>
      <c r="M7" s="75" t="n"/>
      <c r="O7" s="29" t="n"/>
      <c r="P7" s="49" t="n"/>
      <c r="Q7" s="49" t="n"/>
      <c r="S7" s="381" t="n"/>
      <c r="T7" s="764" t="n"/>
      <c r="U7" s="773" t="n"/>
      <c r="V7" s="774" t="n"/>
      <c r="AA7" s="60" t="n"/>
      <c r="AB7" s="60" t="n"/>
      <c r="AC7" s="60" t="n"/>
    </row>
    <row r="8" ht="25.5" customFormat="1" customHeight="1" s="728">
      <c r="A8" s="743" t="inlineStr">
        <is>
          <t>Адрес сдачи груза:</t>
        </is>
      </c>
      <c r="B8" s="775" t="n"/>
      <c r="C8" s="776" t="n"/>
      <c r="D8" s="744" t="n"/>
      <c r="E8" s="777" t="n"/>
      <c r="F8" s="777" t="n"/>
      <c r="G8" s="777" t="n"/>
      <c r="H8" s="777" t="n"/>
      <c r="I8" s="777" t="n"/>
      <c r="J8" s="777" t="n"/>
      <c r="K8" s="777" t="n"/>
      <c r="L8" s="778" t="n"/>
      <c r="M8" s="76" t="n"/>
      <c r="O8" s="29" t="inlineStr">
        <is>
          <t>Время загрузки</t>
        </is>
      </c>
      <c r="P8" s="727" t="n">
        <v>0.3333333333333333</v>
      </c>
      <c r="Q8" s="772" t="n"/>
      <c r="S8" s="381" t="n"/>
      <c r="T8" s="764" t="n"/>
      <c r="U8" s="773" t="n"/>
      <c r="V8" s="774" t="n"/>
      <c r="AA8" s="60" t="n"/>
      <c r="AB8" s="60" t="n"/>
      <c r="AC8" s="60" t="n"/>
    </row>
    <row r="9" ht="39.95" customFormat="1" customHeight="1" s="728">
      <c r="A9" s="7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 t="n"/>
      <c r="C9" s="381" t="n"/>
      <c r="D9" s="720" t="inlineStr"/>
      <c r="E9" s="3" t="n"/>
      <c r="F9" s="7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 t="n"/>
      <c r="H9" s="7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45" t="n"/>
      <c r="O9" s="31" t="inlineStr">
        <is>
          <t>Дата доставки</t>
        </is>
      </c>
      <c r="P9" s="779" t="n"/>
      <c r="Q9" s="780" t="n"/>
      <c r="S9" s="381" t="n"/>
      <c r="T9" s="764" t="n"/>
      <c r="U9" s="781" t="n"/>
      <c r="V9" s="782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28">
      <c r="A10" s="7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 t="n"/>
      <c r="C10" s="381" t="n"/>
      <c r="D10" s="720" t="n"/>
      <c r="E10" s="3" t="n"/>
      <c r="F10" s="7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 t="n"/>
      <c r="H10" s="722">
        <f>IFERROR(VLOOKUP($D$10,Proxy,2,FALSE),"")</f>
        <v/>
      </c>
      <c r="I10" s="381" t="n"/>
      <c r="J10" s="381" t="n"/>
      <c r="K10" s="381" t="n"/>
      <c r="L10" s="381" t="n"/>
      <c r="M10" s="722" t="n"/>
      <c r="O10" s="31" t="inlineStr">
        <is>
          <t>Время доставки</t>
        </is>
      </c>
      <c r="P10" s="723" t="n"/>
      <c r="Q10" s="783" t="n"/>
      <c r="T10" s="29" t="inlineStr">
        <is>
          <t>КОД Аксапты Клиента</t>
        </is>
      </c>
      <c r="U10" s="784" t="inlineStr">
        <is>
          <t>590943</t>
        </is>
      </c>
      <c r="V10" s="769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2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26" t="n"/>
      <c r="Q11" s="763" t="n"/>
      <c r="T11" s="29" t="inlineStr">
        <is>
          <t>Тип заказа</t>
        </is>
      </c>
      <c r="U11" s="711" t="inlineStr">
        <is>
          <t>Основной заказ</t>
        </is>
      </c>
      <c r="V11" s="78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28">
      <c r="A12" s="710" t="inlineStr">
        <is>
          <t>Телефоны для заказов: 8(919)002-63-01  E-mail: kolbasa@abiproduct.ru  Телефон сотрудников склада: 8 (910) 775-52-91</t>
        </is>
      </c>
      <c r="B12" s="758" t="n"/>
      <c r="C12" s="758" t="n"/>
      <c r="D12" s="758" t="n"/>
      <c r="E12" s="758" t="n"/>
      <c r="F12" s="758" t="n"/>
      <c r="G12" s="758" t="n"/>
      <c r="H12" s="758" t="n"/>
      <c r="I12" s="758" t="n"/>
      <c r="J12" s="758" t="n"/>
      <c r="K12" s="758" t="n"/>
      <c r="L12" s="759" t="n"/>
      <c r="M12" s="77" t="n"/>
      <c r="O12" s="29" t="inlineStr">
        <is>
          <t>Время доставки 3 машины</t>
        </is>
      </c>
      <c r="P12" s="727" t="n"/>
      <c r="Q12" s="772" t="n"/>
      <c r="R12" s="28" t="n"/>
      <c r="T12" s="29" t="inlineStr"/>
      <c r="U12" s="728" t="n"/>
      <c r="V12" s="381" t="n"/>
      <c r="AA12" s="60" t="n"/>
      <c r="AB12" s="60" t="n"/>
      <c r="AC12" s="60" t="n"/>
    </row>
    <row r="13" ht="23.25" customFormat="1" customHeight="1" s="728">
      <c r="A13" s="710" t="inlineStr">
        <is>
          <t>График приема заказов: Заказы принимаются за ДВА дня до отгрузки Пн-Пт: с 9:00 до 14:00, Суб., Вс. - до 12:00</t>
        </is>
      </c>
      <c r="B13" s="758" t="n"/>
      <c r="C13" s="758" t="n"/>
      <c r="D13" s="758" t="n"/>
      <c r="E13" s="758" t="n"/>
      <c r="F13" s="758" t="n"/>
      <c r="G13" s="758" t="n"/>
      <c r="H13" s="758" t="n"/>
      <c r="I13" s="758" t="n"/>
      <c r="J13" s="758" t="n"/>
      <c r="K13" s="758" t="n"/>
      <c r="L13" s="759" t="n"/>
      <c r="M13" s="77" t="n"/>
      <c r="N13" s="31" t="n"/>
      <c r="O13" s="31" t="inlineStr">
        <is>
          <t>Время доставки 4 машины</t>
        </is>
      </c>
      <c r="P13" s="711" t="n"/>
      <c r="Q13" s="78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28">
      <c r="A14" s="710" t="inlineStr">
        <is>
          <t>Телефон менеджера по логистике: 8 (919) 012-30-55 - по вопросам доставки продукции</t>
        </is>
      </c>
      <c r="B14" s="758" t="n"/>
      <c r="C14" s="758" t="n"/>
      <c r="D14" s="758" t="n"/>
      <c r="E14" s="758" t="n"/>
      <c r="F14" s="758" t="n"/>
      <c r="G14" s="758" t="n"/>
      <c r="H14" s="758" t="n"/>
      <c r="I14" s="758" t="n"/>
      <c r="J14" s="758" t="n"/>
      <c r="K14" s="758" t="n"/>
      <c r="L14" s="75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28">
      <c r="A15" s="712" t="inlineStr">
        <is>
          <t>Телефон по работе с претензиями/жалобами (WhatSapp): 8 (980) 757-69-93       E-mail: Claims@abiproduct.ru</t>
        </is>
      </c>
      <c r="B15" s="758" t="n"/>
      <c r="C15" s="758" t="n"/>
      <c r="D15" s="758" t="n"/>
      <c r="E15" s="758" t="n"/>
      <c r="F15" s="758" t="n"/>
      <c r="G15" s="758" t="n"/>
      <c r="H15" s="758" t="n"/>
      <c r="I15" s="758" t="n"/>
      <c r="J15" s="758" t="n"/>
      <c r="K15" s="758" t="n"/>
      <c r="L15" s="759" t="n"/>
      <c r="M15" s="78" t="n"/>
      <c r="O15" s="714" t="inlineStr">
        <is>
          <t>Кликните на продукт, чтобы просмотреть изображение</t>
        </is>
      </c>
      <c r="W15" s="728" t="n"/>
      <c r="X15" s="728" t="n"/>
      <c r="Y15" s="728" t="n"/>
      <c r="Z15" s="728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85" t="n"/>
      <c r="P16" s="785" t="n"/>
      <c r="Q16" s="785" t="n"/>
      <c r="R16" s="785" t="n"/>
      <c r="S16" s="78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698" t="inlineStr">
        <is>
          <t>Код единицы продаж</t>
        </is>
      </c>
      <c r="B17" s="698" t="inlineStr">
        <is>
          <t>Код продукта</t>
        </is>
      </c>
      <c r="C17" s="716" t="inlineStr">
        <is>
          <t>Номер варианта</t>
        </is>
      </c>
      <c r="D17" s="698" t="inlineStr">
        <is>
          <t xml:space="preserve">Штрих-код </t>
        </is>
      </c>
      <c r="E17" s="786" t="n"/>
      <c r="F17" s="698" t="inlineStr">
        <is>
          <t>Вес нетто штуки, кг</t>
        </is>
      </c>
      <c r="G17" s="698" t="inlineStr">
        <is>
          <t>Кол-во штук в коробе, шт</t>
        </is>
      </c>
      <c r="H17" s="698" t="inlineStr">
        <is>
          <t>Вес нетто короба, кг</t>
        </is>
      </c>
      <c r="I17" s="698" t="inlineStr">
        <is>
          <t>Вес брутто короба, кг</t>
        </is>
      </c>
      <c r="J17" s="698" t="inlineStr">
        <is>
          <t>Кол-во кор. на паллте, шт</t>
        </is>
      </c>
      <c r="K17" s="698" t="inlineStr">
        <is>
          <t>Коробок в слое</t>
        </is>
      </c>
      <c r="L17" s="698" t="inlineStr">
        <is>
          <t>Завод</t>
        </is>
      </c>
      <c r="M17" s="698" t="inlineStr">
        <is>
          <t>Внешний код номенклатуры</t>
        </is>
      </c>
      <c r="N17" s="698" t="inlineStr">
        <is>
          <t>Срок годности, сут.</t>
        </is>
      </c>
      <c r="O17" s="698" t="inlineStr">
        <is>
          <t>Наименование</t>
        </is>
      </c>
      <c r="P17" s="787" t="n"/>
      <c r="Q17" s="787" t="n"/>
      <c r="R17" s="787" t="n"/>
      <c r="S17" s="786" t="n"/>
      <c r="T17" s="715" t="inlineStr">
        <is>
          <t>Доступно к отгрузке</t>
        </is>
      </c>
      <c r="U17" s="759" t="n"/>
      <c r="V17" s="698" t="inlineStr">
        <is>
          <t>Ед. изм.</t>
        </is>
      </c>
      <c r="W17" s="698" t="inlineStr">
        <is>
          <t>Заказ</t>
        </is>
      </c>
      <c r="X17" s="699" t="inlineStr">
        <is>
          <t>Заказ с округлением до короба</t>
        </is>
      </c>
      <c r="Y17" s="698" t="inlineStr">
        <is>
          <t>Объём заказа, м3</t>
        </is>
      </c>
      <c r="Z17" s="701" t="inlineStr">
        <is>
          <t>Примечание по продуктку</t>
        </is>
      </c>
      <c r="AA17" s="701" t="inlineStr">
        <is>
          <t>Признак "НОВИНКА"</t>
        </is>
      </c>
      <c r="AB17" s="701" t="inlineStr">
        <is>
          <t>Для формул</t>
        </is>
      </c>
      <c r="AC17" s="788" t="n"/>
      <c r="AD17" s="789" t="n"/>
      <c r="AE17" s="708" t="n"/>
      <c r="BB17" s="709" t="inlineStr">
        <is>
          <t>Вид продукции</t>
        </is>
      </c>
    </row>
    <row r="18" ht="14.25" customHeight="1">
      <c r="A18" s="790" t="n"/>
      <c r="B18" s="790" t="n"/>
      <c r="C18" s="790" t="n"/>
      <c r="D18" s="791" t="n"/>
      <c r="E18" s="792" t="n"/>
      <c r="F18" s="790" t="n"/>
      <c r="G18" s="790" t="n"/>
      <c r="H18" s="790" t="n"/>
      <c r="I18" s="790" t="n"/>
      <c r="J18" s="790" t="n"/>
      <c r="K18" s="790" t="n"/>
      <c r="L18" s="790" t="n"/>
      <c r="M18" s="790" t="n"/>
      <c r="N18" s="790" t="n"/>
      <c r="O18" s="791" t="n"/>
      <c r="P18" s="793" t="n"/>
      <c r="Q18" s="793" t="n"/>
      <c r="R18" s="793" t="n"/>
      <c r="S18" s="792" t="n"/>
      <c r="T18" s="715" t="inlineStr">
        <is>
          <t>начиная с</t>
        </is>
      </c>
      <c r="U18" s="715" t="inlineStr">
        <is>
          <t>до</t>
        </is>
      </c>
      <c r="V18" s="790" t="n"/>
      <c r="W18" s="790" t="n"/>
      <c r="X18" s="794" t="n"/>
      <c r="Y18" s="790" t="n"/>
      <c r="Z18" s="795" t="n"/>
      <c r="AA18" s="795" t="n"/>
      <c r="AB18" s="796" t="n"/>
      <c r="AC18" s="797" t="n"/>
      <c r="AD18" s="798" t="n"/>
      <c r="AE18" s="799" t="n"/>
      <c r="BB18" s="381" t="n"/>
    </row>
    <row r="19" ht="27.75" customHeight="1">
      <c r="A19" s="420" t="inlineStr">
        <is>
          <t>Ядрена копоть</t>
        </is>
      </c>
      <c r="B19" s="800" t="n"/>
      <c r="C19" s="800" t="n"/>
      <c r="D19" s="800" t="n"/>
      <c r="E19" s="800" t="n"/>
      <c r="F19" s="800" t="n"/>
      <c r="G19" s="800" t="n"/>
      <c r="H19" s="800" t="n"/>
      <c r="I19" s="800" t="n"/>
      <c r="J19" s="800" t="n"/>
      <c r="K19" s="800" t="n"/>
      <c r="L19" s="800" t="n"/>
      <c r="M19" s="800" t="n"/>
      <c r="N19" s="800" t="n"/>
      <c r="O19" s="800" t="n"/>
      <c r="P19" s="800" t="n"/>
      <c r="Q19" s="800" t="n"/>
      <c r="R19" s="800" t="n"/>
      <c r="S19" s="800" t="n"/>
      <c r="T19" s="800" t="n"/>
      <c r="U19" s="800" t="n"/>
      <c r="V19" s="800" t="n"/>
      <c r="W19" s="800" t="n"/>
      <c r="X19" s="800" t="n"/>
      <c r="Y19" s="800" t="n"/>
      <c r="Z19" s="55" t="n"/>
      <c r="AA19" s="55" t="n"/>
    </row>
    <row r="20" ht="16.5" customHeight="1">
      <c r="A20" s="421" t="inlineStr">
        <is>
          <t>Ядрена копоть</t>
        </is>
      </c>
      <c r="B20" s="381" t="n"/>
      <c r="C20" s="381" t="n"/>
      <c r="D20" s="381" t="n"/>
      <c r="E20" s="381" t="n"/>
      <c r="F20" s="381" t="n"/>
      <c r="G20" s="381" t="n"/>
      <c r="H20" s="381" t="n"/>
      <c r="I20" s="381" t="n"/>
      <c r="J20" s="381" t="n"/>
      <c r="K20" s="381" t="n"/>
      <c r="L20" s="381" t="n"/>
      <c r="M20" s="381" t="n"/>
      <c r="N20" s="381" t="n"/>
      <c r="O20" s="381" t="n"/>
      <c r="P20" s="381" t="n"/>
      <c r="Q20" s="381" t="n"/>
      <c r="R20" s="381" t="n"/>
      <c r="S20" s="381" t="n"/>
      <c r="T20" s="381" t="n"/>
      <c r="U20" s="381" t="n"/>
      <c r="V20" s="381" t="n"/>
      <c r="W20" s="381" t="n"/>
      <c r="X20" s="381" t="n"/>
      <c r="Y20" s="381" t="n"/>
      <c r="Z20" s="421" t="n"/>
      <c r="AA20" s="421" t="n"/>
    </row>
    <row r="21" ht="14.25" customHeight="1">
      <c r="A21" s="399" t="inlineStr">
        <is>
          <t>Копченые колбасы</t>
        </is>
      </c>
      <c r="B21" s="381" t="n"/>
      <c r="C21" s="381" t="n"/>
      <c r="D21" s="381" t="n"/>
      <c r="E21" s="381" t="n"/>
      <c r="F21" s="381" t="n"/>
      <c r="G21" s="381" t="n"/>
      <c r="H21" s="381" t="n"/>
      <c r="I21" s="381" t="n"/>
      <c r="J21" s="381" t="n"/>
      <c r="K21" s="381" t="n"/>
      <c r="L21" s="381" t="n"/>
      <c r="M21" s="381" t="n"/>
      <c r="N21" s="381" t="n"/>
      <c r="O21" s="381" t="n"/>
      <c r="P21" s="381" t="n"/>
      <c r="Q21" s="381" t="n"/>
      <c r="R21" s="381" t="n"/>
      <c r="S21" s="381" t="n"/>
      <c r="T21" s="381" t="n"/>
      <c r="U21" s="381" t="n"/>
      <c r="V21" s="381" t="n"/>
      <c r="W21" s="381" t="n"/>
      <c r="X21" s="381" t="n"/>
      <c r="Y21" s="381" t="n"/>
      <c r="Z21" s="399" t="n"/>
      <c r="AA21" s="399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84" t="n">
        <v>4680115885004</v>
      </c>
      <c r="E22" s="767" t="n"/>
      <c r="F22" s="801" t="n">
        <v>0.16</v>
      </c>
      <c r="G22" s="38" t="n">
        <v>10</v>
      </c>
      <c r="H22" s="801" t="n">
        <v>1.6</v>
      </c>
      <c r="I22" s="801" t="n">
        <v>1.7</v>
      </c>
      <c r="J22" s="38" t="n">
        <v>234</v>
      </c>
      <c r="K22" s="38" t="inlineStr">
        <is>
          <t>18</t>
        </is>
      </c>
      <c r="L22" s="39" t="inlineStr">
        <is>
          <t>СК2</t>
        </is>
      </c>
      <c r="M22" s="39" t="n"/>
      <c r="N22" s="38" t="n">
        <v>40</v>
      </c>
      <c r="O22" s="802" t="inlineStr">
        <is>
          <t>Копченые колбасы «Колбаски Рубленые» Фикс.вес NDX в/у 0,16 ТМ «Ядрена копоть»</t>
        </is>
      </c>
      <c r="P22" s="803" t="n"/>
      <c r="Q22" s="803" t="n"/>
      <c r="R22" s="803" t="n"/>
      <c r="S22" s="767" t="n"/>
      <c r="T22" s="40" t="inlineStr"/>
      <c r="U22" s="40" t="inlineStr"/>
      <c r="V22" s="41" t="inlineStr">
        <is>
          <t>кг</t>
        </is>
      </c>
      <c r="W22" s="804" t="n">
        <v>0</v>
      </c>
      <c r="X22" s="805">
        <f>IFERROR(IF(W22="",0,CEILING((W22/$H22),1)*$H22),"")</f>
        <v/>
      </c>
      <c r="Y22" s="42">
        <f>IFERROR(IF(X22=0,"",ROUNDUP(X22/H22,0)*0.00502),"")</f>
        <v/>
      </c>
      <c r="Z22" s="69" t="inlineStr"/>
      <c r="AA22" s="70" t="inlineStr">
        <is>
          <t>Новинка</t>
        </is>
      </c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SU002447</t>
        </is>
      </c>
      <c r="B23" s="64" t="inlineStr">
        <is>
          <t>P002730</t>
        </is>
      </c>
      <c r="C23" s="37" t="n">
        <v>4301031106</v>
      </c>
      <c r="D23" s="384" t="n">
        <v>4607091389258</v>
      </c>
      <c r="E23" s="767" t="n"/>
      <c r="F23" s="801" t="n">
        <v>0.3</v>
      </c>
      <c r="G23" s="38" t="n">
        <v>6</v>
      </c>
      <c r="H23" s="801" t="n">
        <v>1.8</v>
      </c>
      <c r="I23" s="801" t="n">
        <v>2</v>
      </c>
      <c r="J23" s="38" t="n">
        <v>156</v>
      </c>
      <c r="K23" s="38" t="inlineStr">
        <is>
          <t>12</t>
        </is>
      </c>
      <c r="L23" s="39" t="inlineStr">
        <is>
          <t>СК2</t>
        </is>
      </c>
      <c r="M23" s="39" t="n"/>
      <c r="N23" s="38" t="n">
        <v>35</v>
      </c>
      <c r="O23" s="80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3" s="803" t="n"/>
      <c r="Q23" s="803" t="n"/>
      <c r="R23" s="803" t="n"/>
      <c r="S23" s="767" t="n"/>
      <c r="T23" s="40" t="inlineStr"/>
      <c r="U23" s="40" t="inlineStr"/>
      <c r="V23" s="41" t="inlineStr">
        <is>
          <t>кг</t>
        </is>
      </c>
      <c r="W23" s="804" t="n">
        <v>0</v>
      </c>
      <c r="X23" s="805">
        <f>IFERROR(IF(W23="",0,CEILING((W23/$H23),1)*$H23),"")</f>
        <v/>
      </c>
      <c r="Y23" s="42">
        <f>IFERROR(IF(X23=0,"",ROUNDUP(X23/H23,0)*0.00753),"")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393" t="n"/>
      <c r="B24" s="381" t="n"/>
      <c r="C24" s="381" t="n"/>
      <c r="D24" s="381" t="n"/>
      <c r="E24" s="381" t="n"/>
      <c r="F24" s="381" t="n"/>
      <c r="G24" s="381" t="n"/>
      <c r="H24" s="381" t="n"/>
      <c r="I24" s="381" t="n"/>
      <c r="J24" s="381" t="n"/>
      <c r="K24" s="381" t="n"/>
      <c r="L24" s="381" t="n"/>
      <c r="M24" s="381" t="n"/>
      <c r="N24" s="807" t="n"/>
      <c r="O24" s="808" t="inlineStr">
        <is>
          <t>Итого</t>
        </is>
      </c>
      <c r="P24" s="775" t="n"/>
      <c r="Q24" s="775" t="n"/>
      <c r="R24" s="775" t="n"/>
      <c r="S24" s="775" t="n"/>
      <c r="T24" s="775" t="n"/>
      <c r="U24" s="776" t="n"/>
      <c r="V24" s="43" t="inlineStr">
        <is>
          <t>кор</t>
        </is>
      </c>
      <c r="W24" s="809">
        <f>IFERROR(W22/H22,"0")+IFERROR(W23/H23,"0")</f>
        <v/>
      </c>
      <c r="X24" s="809">
        <f>IFERROR(X22/H22,"0")+IFERROR(X23/H23,"0")</f>
        <v/>
      </c>
      <c r="Y24" s="809">
        <f>IFERROR(IF(Y22="",0,Y22),"0")+IFERROR(IF(Y23="",0,Y23),"0")</f>
        <v/>
      </c>
      <c r="Z24" s="810" t="n"/>
      <c r="AA24" s="810" t="n"/>
    </row>
    <row r="25">
      <c r="A25" s="381" t="n"/>
      <c r="B25" s="381" t="n"/>
      <c r="C25" s="381" t="n"/>
      <c r="D25" s="381" t="n"/>
      <c r="E25" s="381" t="n"/>
      <c r="F25" s="381" t="n"/>
      <c r="G25" s="381" t="n"/>
      <c r="H25" s="381" t="n"/>
      <c r="I25" s="381" t="n"/>
      <c r="J25" s="381" t="n"/>
      <c r="K25" s="381" t="n"/>
      <c r="L25" s="381" t="n"/>
      <c r="M25" s="381" t="n"/>
      <c r="N25" s="807" t="n"/>
      <c r="O25" s="808" t="inlineStr">
        <is>
          <t>Итого</t>
        </is>
      </c>
      <c r="P25" s="775" t="n"/>
      <c r="Q25" s="775" t="n"/>
      <c r="R25" s="775" t="n"/>
      <c r="S25" s="775" t="n"/>
      <c r="T25" s="775" t="n"/>
      <c r="U25" s="776" t="n"/>
      <c r="V25" s="43" t="inlineStr">
        <is>
          <t>кг</t>
        </is>
      </c>
      <c r="W25" s="809">
        <f>IFERROR(SUM(W22:W23),"0")</f>
        <v/>
      </c>
      <c r="X25" s="809">
        <f>IFERROR(SUM(X22:X23),"0")</f>
        <v/>
      </c>
      <c r="Y25" s="43" t="n"/>
      <c r="Z25" s="810" t="n"/>
      <c r="AA25" s="810" t="n"/>
    </row>
    <row r="26" ht="14.25" customHeight="1">
      <c r="A26" s="399" t="inlineStr">
        <is>
          <t>Сосиски</t>
        </is>
      </c>
      <c r="B26" s="381" t="n"/>
      <c r="C26" s="381" t="n"/>
      <c r="D26" s="381" t="n"/>
      <c r="E26" s="381" t="n"/>
      <c r="F26" s="381" t="n"/>
      <c r="G26" s="381" t="n"/>
      <c r="H26" s="381" t="n"/>
      <c r="I26" s="381" t="n"/>
      <c r="J26" s="381" t="n"/>
      <c r="K26" s="381" t="n"/>
      <c r="L26" s="381" t="n"/>
      <c r="M26" s="381" t="n"/>
      <c r="N26" s="381" t="n"/>
      <c r="O26" s="381" t="n"/>
      <c r="P26" s="381" t="n"/>
      <c r="Q26" s="381" t="n"/>
      <c r="R26" s="381" t="n"/>
      <c r="S26" s="381" t="n"/>
      <c r="T26" s="381" t="n"/>
      <c r="U26" s="381" t="n"/>
      <c r="V26" s="381" t="n"/>
      <c r="W26" s="381" t="n"/>
      <c r="X26" s="381" t="n"/>
      <c r="Y26" s="381" t="n"/>
      <c r="Z26" s="399" t="n"/>
      <c r="AA26" s="39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84" t="n">
        <v>4607091383881</v>
      </c>
      <c r="E27" s="767" t="n"/>
      <c r="F27" s="801" t="n">
        <v>0.33</v>
      </c>
      <c r="G27" s="38" t="n">
        <v>6</v>
      </c>
      <c r="H27" s="801" t="n">
        <v>1.98</v>
      </c>
      <c r="I27" s="80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11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03" t="n"/>
      <c r="Q27" s="803" t="n"/>
      <c r="R27" s="803" t="n"/>
      <c r="S27" s="767" t="n"/>
      <c r="T27" s="40" t="inlineStr"/>
      <c r="U27" s="40" t="inlineStr"/>
      <c r="V27" s="41" t="inlineStr">
        <is>
          <t>кг</t>
        </is>
      </c>
      <c r="W27" s="804" t="n">
        <v>0</v>
      </c>
      <c r="X27" s="805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4" t="n">
        <v>4607091388237</v>
      </c>
      <c r="E28" s="767" t="n"/>
      <c r="F28" s="801" t="n">
        <v>0.42</v>
      </c>
      <c r="G28" s="38" t="n">
        <v>6</v>
      </c>
      <c r="H28" s="801" t="n">
        <v>2.52</v>
      </c>
      <c r="I28" s="80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1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03" t="n"/>
      <c r="Q28" s="803" t="n"/>
      <c r="R28" s="803" t="n"/>
      <c r="S28" s="767" t="n"/>
      <c r="T28" s="40" t="inlineStr"/>
      <c r="U28" s="40" t="inlineStr"/>
      <c r="V28" s="41" t="inlineStr">
        <is>
          <t>кг</t>
        </is>
      </c>
      <c r="W28" s="804" t="n">
        <v>0</v>
      </c>
      <c r="X28" s="805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4" t="n">
        <v>4607091383935</v>
      </c>
      <c r="E29" s="767" t="n"/>
      <c r="F29" s="801" t="n">
        <v>0.33</v>
      </c>
      <c r="G29" s="38" t="n">
        <v>6</v>
      </c>
      <c r="H29" s="801" t="n">
        <v>1.98</v>
      </c>
      <c r="I29" s="80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1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9" s="803" t="n"/>
      <c r="Q29" s="803" t="n"/>
      <c r="R29" s="803" t="n"/>
      <c r="S29" s="767" t="n"/>
      <c r="T29" s="40" t="inlineStr"/>
      <c r="U29" s="40" t="inlineStr"/>
      <c r="V29" s="41" t="inlineStr">
        <is>
          <t>кг</t>
        </is>
      </c>
      <c r="W29" s="804" t="n">
        <v>0</v>
      </c>
      <c r="X29" s="805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84" t="n">
        <v>4607091383935</v>
      </c>
      <c r="E30" s="767" t="n"/>
      <c r="F30" s="801" t="n">
        <v>0.33</v>
      </c>
      <c r="G30" s="38" t="n">
        <v>6</v>
      </c>
      <c r="H30" s="801" t="n">
        <v>1.98</v>
      </c>
      <c r="I30" s="80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14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30" s="803" t="n"/>
      <c r="Q30" s="803" t="n"/>
      <c r="R30" s="803" t="n"/>
      <c r="S30" s="767" t="n"/>
      <c r="T30" s="40" t="inlineStr"/>
      <c r="U30" s="40" t="inlineStr"/>
      <c r="V30" s="41" t="inlineStr">
        <is>
          <t>кг</t>
        </is>
      </c>
      <c r="W30" s="804" t="n">
        <v>0</v>
      </c>
      <c r="X30" s="805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84" t="n">
        <v>4680115881853</v>
      </c>
      <c r="E31" s="767" t="n"/>
      <c r="F31" s="801" t="n">
        <v>0.33</v>
      </c>
      <c r="G31" s="38" t="n">
        <v>6</v>
      </c>
      <c r="H31" s="801" t="n">
        <v>1.98</v>
      </c>
      <c r="I31" s="80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1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803" t="n"/>
      <c r="Q31" s="803" t="n"/>
      <c r="R31" s="803" t="n"/>
      <c r="S31" s="767" t="n"/>
      <c r="T31" s="40" t="inlineStr"/>
      <c r="U31" s="40" t="inlineStr"/>
      <c r="V31" s="41" t="inlineStr">
        <is>
          <t>кг</t>
        </is>
      </c>
      <c r="W31" s="804" t="n">
        <v>0</v>
      </c>
      <c r="X31" s="805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84" t="n">
        <v>4607091383911</v>
      </c>
      <c r="E32" s="767" t="n"/>
      <c r="F32" s="801" t="n">
        <v>0.33</v>
      </c>
      <c r="G32" s="38" t="n">
        <v>6</v>
      </c>
      <c r="H32" s="801" t="n">
        <v>1.98</v>
      </c>
      <c r="I32" s="80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16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803" t="n"/>
      <c r="Q32" s="803" t="n"/>
      <c r="R32" s="803" t="n"/>
      <c r="S32" s="767" t="n"/>
      <c r="T32" s="40" t="inlineStr"/>
      <c r="U32" s="40" t="inlineStr"/>
      <c r="V32" s="41" t="inlineStr">
        <is>
          <t>кг</t>
        </is>
      </c>
      <c r="W32" s="804" t="n">
        <v>0</v>
      </c>
      <c r="X32" s="805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84" t="n">
        <v>4607091388244</v>
      </c>
      <c r="E33" s="767" t="n"/>
      <c r="F33" s="801" t="n">
        <v>0.42</v>
      </c>
      <c r="G33" s="38" t="n">
        <v>6</v>
      </c>
      <c r="H33" s="801" t="n">
        <v>2.52</v>
      </c>
      <c r="I33" s="80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17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803" t="n"/>
      <c r="Q33" s="803" t="n"/>
      <c r="R33" s="803" t="n"/>
      <c r="S33" s="767" t="n"/>
      <c r="T33" s="40" t="inlineStr"/>
      <c r="U33" s="40" t="inlineStr"/>
      <c r="V33" s="41" t="inlineStr">
        <is>
          <t>кг</t>
        </is>
      </c>
      <c r="W33" s="804" t="n">
        <v>0</v>
      </c>
      <c r="X33" s="805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393" t="n"/>
      <c r="B34" s="381" t="n"/>
      <c r="C34" s="381" t="n"/>
      <c r="D34" s="381" t="n"/>
      <c r="E34" s="381" t="n"/>
      <c r="F34" s="381" t="n"/>
      <c r="G34" s="381" t="n"/>
      <c r="H34" s="381" t="n"/>
      <c r="I34" s="381" t="n"/>
      <c r="J34" s="381" t="n"/>
      <c r="K34" s="381" t="n"/>
      <c r="L34" s="381" t="n"/>
      <c r="M34" s="381" t="n"/>
      <c r="N34" s="807" t="n"/>
      <c r="O34" s="808" t="inlineStr">
        <is>
          <t>Итого</t>
        </is>
      </c>
      <c r="P34" s="775" t="n"/>
      <c r="Q34" s="775" t="n"/>
      <c r="R34" s="775" t="n"/>
      <c r="S34" s="775" t="n"/>
      <c r="T34" s="775" t="n"/>
      <c r="U34" s="776" t="n"/>
      <c r="V34" s="43" t="inlineStr">
        <is>
          <t>кор</t>
        </is>
      </c>
      <c r="W34" s="809">
        <f>IFERROR(W27/H27,"0")+IFERROR(W28/H28,"0")+IFERROR(W29/H29,"0")+IFERROR(W30/H30,"0")+IFERROR(W31/H31,"0")+IFERROR(W32/H32,"0")+IFERROR(W33/H33,"0")</f>
        <v/>
      </c>
      <c r="X34" s="809">
        <f>IFERROR(X27/H27,"0")+IFERROR(X28/H28,"0")+IFERROR(X29/H29,"0")+IFERROR(X30/H30,"0")+IFERROR(X31/H31,"0")+IFERROR(X32/H32,"0")+IFERROR(X33/H33,"0")</f>
        <v/>
      </c>
      <c r="Y34" s="809">
        <f>IFERROR(IF(Y27="",0,Y27),"0")+IFERROR(IF(Y28="",0,Y28),"0")+IFERROR(IF(Y29="",0,Y29),"0")+IFERROR(IF(Y30="",0,Y30),"0")+IFERROR(IF(Y31="",0,Y31),"0")+IFERROR(IF(Y32="",0,Y32),"0")+IFERROR(IF(Y33="",0,Y33),"0")</f>
        <v/>
      </c>
      <c r="Z34" s="810" t="n"/>
      <c r="AA34" s="810" t="n"/>
    </row>
    <row r="35">
      <c r="A35" s="381" t="n"/>
      <c r="B35" s="381" t="n"/>
      <c r="C35" s="381" t="n"/>
      <c r="D35" s="381" t="n"/>
      <c r="E35" s="381" t="n"/>
      <c r="F35" s="381" t="n"/>
      <c r="G35" s="381" t="n"/>
      <c r="H35" s="381" t="n"/>
      <c r="I35" s="381" t="n"/>
      <c r="J35" s="381" t="n"/>
      <c r="K35" s="381" t="n"/>
      <c r="L35" s="381" t="n"/>
      <c r="M35" s="381" t="n"/>
      <c r="N35" s="807" t="n"/>
      <c r="O35" s="808" t="inlineStr">
        <is>
          <t>Итого</t>
        </is>
      </c>
      <c r="P35" s="775" t="n"/>
      <c r="Q35" s="775" t="n"/>
      <c r="R35" s="775" t="n"/>
      <c r="S35" s="775" t="n"/>
      <c r="T35" s="775" t="n"/>
      <c r="U35" s="776" t="n"/>
      <c r="V35" s="43" t="inlineStr">
        <is>
          <t>кг</t>
        </is>
      </c>
      <c r="W35" s="809">
        <f>IFERROR(SUM(W27:W33),"0")</f>
        <v/>
      </c>
      <c r="X35" s="809">
        <f>IFERROR(SUM(X27:X33),"0")</f>
        <v/>
      </c>
      <c r="Y35" s="43" t="n"/>
      <c r="Z35" s="810" t="n"/>
      <c r="AA35" s="810" t="n"/>
    </row>
    <row r="36" ht="14.25" customHeight="1">
      <c r="A36" s="399" t="inlineStr">
        <is>
          <t>Сырокопченые колбасы</t>
        </is>
      </c>
      <c r="B36" s="381" t="n"/>
      <c r="C36" s="381" t="n"/>
      <c r="D36" s="381" t="n"/>
      <c r="E36" s="381" t="n"/>
      <c r="F36" s="381" t="n"/>
      <c r="G36" s="381" t="n"/>
      <c r="H36" s="381" t="n"/>
      <c r="I36" s="381" t="n"/>
      <c r="J36" s="381" t="n"/>
      <c r="K36" s="381" t="n"/>
      <c r="L36" s="381" t="n"/>
      <c r="M36" s="381" t="n"/>
      <c r="N36" s="381" t="n"/>
      <c r="O36" s="381" t="n"/>
      <c r="P36" s="381" t="n"/>
      <c r="Q36" s="381" t="n"/>
      <c r="R36" s="381" t="n"/>
      <c r="S36" s="381" t="n"/>
      <c r="T36" s="381" t="n"/>
      <c r="U36" s="381" t="n"/>
      <c r="V36" s="381" t="n"/>
      <c r="W36" s="381" t="n"/>
      <c r="X36" s="381" t="n"/>
      <c r="Y36" s="381" t="n"/>
      <c r="Z36" s="399" t="n"/>
      <c r="AA36" s="399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84" t="n">
        <v>4607091388503</v>
      </c>
      <c r="E37" s="767" t="n"/>
      <c r="F37" s="801" t="n">
        <v>0.05</v>
      </c>
      <c r="G37" s="38" t="n">
        <v>12</v>
      </c>
      <c r="H37" s="801" t="n">
        <v>0.6</v>
      </c>
      <c r="I37" s="80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1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803" t="n"/>
      <c r="Q37" s="803" t="n"/>
      <c r="R37" s="803" t="n"/>
      <c r="S37" s="767" t="n"/>
      <c r="T37" s="40" t="inlineStr"/>
      <c r="U37" s="40" t="inlineStr"/>
      <c r="V37" s="41" t="inlineStr">
        <is>
          <t>кг</t>
        </is>
      </c>
      <c r="W37" s="804" t="n">
        <v>0</v>
      </c>
      <c r="X37" s="805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393" t="n"/>
      <c r="B38" s="381" t="n"/>
      <c r="C38" s="381" t="n"/>
      <c r="D38" s="381" t="n"/>
      <c r="E38" s="381" t="n"/>
      <c r="F38" s="381" t="n"/>
      <c r="G38" s="381" t="n"/>
      <c r="H38" s="381" t="n"/>
      <c r="I38" s="381" t="n"/>
      <c r="J38" s="381" t="n"/>
      <c r="K38" s="381" t="n"/>
      <c r="L38" s="381" t="n"/>
      <c r="M38" s="381" t="n"/>
      <c r="N38" s="807" t="n"/>
      <c r="O38" s="808" t="inlineStr">
        <is>
          <t>Итого</t>
        </is>
      </c>
      <c r="P38" s="775" t="n"/>
      <c r="Q38" s="775" t="n"/>
      <c r="R38" s="775" t="n"/>
      <c r="S38" s="775" t="n"/>
      <c r="T38" s="775" t="n"/>
      <c r="U38" s="776" t="n"/>
      <c r="V38" s="43" t="inlineStr">
        <is>
          <t>кор</t>
        </is>
      </c>
      <c r="W38" s="809">
        <f>IFERROR(W37/H37,"0")</f>
        <v/>
      </c>
      <c r="X38" s="809">
        <f>IFERROR(X37/H37,"0")</f>
        <v/>
      </c>
      <c r="Y38" s="809">
        <f>IFERROR(IF(Y37="",0,Y37),"0")</f>
        <v/>
      </c>
      <c r="Z38" s="810" t="n"/>
      <c r="AA38" s="810" t="n"/>
    </row>
    <row r="39">
      <c r="A39" s="381" t="n"/>
      <c r="B39" s="381" t="n"/>
      <c r="C39" s="381" t="n"/>
      <c r="D39" s="381" t="n"/>
      <c r="E39" s="381" t="n"/>
      <c r="F39" s="381" t="n"/>
      <c r="G39" s="381" t="n"/>
      <c r="H39" s="381" t="n"/>
      <c r="I39" s="381" t="n"/>
      <c r="J39" s="381" t="n"/>
      <c r="K39" s="381" t="n"/>
      <c r="L39" s="381" t="n"/>
      <c r="M39" s="381" t="n"/>
      <c r="N39" s="807" t="n"/>
      <c r="O39" s="808" t="inlineStr">
        <is>
          <t>Итого</t>
        </is>
      </c>
      <c r="P39" s="775" t="n"/>
      <c r="Q39" s="775" t="n"/>
      <c r="R39" s="775" t="n"/>
      <c r="S39" s="775" t="n"/>
      <c r="T39" s="775" t="n"/>
      <c r="U39" s="776" t="n"/>
      <c r="V39" s="43" t="inlineStr">
        <is>
          <t>кг</t>
        </is>
      </c>
      <c r="W39" s="809">
        <f>IFERROR(SUM(W37:W37),"0")</f>
        <v/>
      </c>
      <c r="X39" s="809">
        <f>IFERROR(SUM(X37:X37),"0")</f>
        <v/>
      </c>
      <c r="Y39" s="43" t="n"/>
      <c r="Z39" s="810" t="n"/>
      <c r="AA39" s="810" t="n"/>
    </row>
    <row r="40" ht="14.25" customHeight="1">
      <c r="A40" s="399" t="inlineStr">
        <is>
          <t>Продукты из мяса птицы копчено-вареные</t>
        </is>
      </c>
      <c r="B40" s="381" t="n"/>
      <c r="C40" s="381" t="n"/>
      <c r="D40" s="381" t="n"/>
      <c r="E40" s="381" t="n"/>
      <c r="F40" s="381" t="n"/>
      <c r="G40" s="381" t="n"/>
      <c r="H40" s="381" t="n"/>
      <c r="I40" s="381" t="n"/>
      <c r="J40" s="381" t="n"/>
      <c r="K40" s="381" t="n"/>
      <c r="L40" s="381" t="n"/>
      <c r="M40" s="381" t="n"/>
      <c r="N40" s="381" t="n"/>
      <c r="O40" s="381" t="n"/>
      <c r="P40" s="381" t="n"/>
      <c r="Q40" s="381" t="n"/>
      <c r="R40" s="381" t="n"/>
      <c r="S40" s="381" t="n"/>
      <c r="T40" s="381" t="n"/>
      <c r="U40" s="381" t="n"/>
      <c r="V40" s="381" t="n"/>
      <c r="W40" s="381" t="n"/>
      <c r="X40" s="381" t="n"/>
      <c r="Y40" s="381" t="n"/>
      <c r="Z40" s="399" t="n"/>
      <c r="AA40" s="399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84" t="n">
        <v>4607091388282</v>
      </c>
      <c r="E41" s="767" t="n"/>
      <c r="F41" s="801" t="n">
        <v>0.3</v>
      </c>
      <c r="G41" s="38" t="n">
        <v>6</v>
      </c>
      <c r="H41" s="801" t="n">
        <v>1.8</v>
      </c>
      <c r="I41" s="80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1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803" t="n"/>
      <c r="Q41" s="803" t="n"/>
      <c r="R41" s="803" t="n"/>
      <c r="S41" s="767" t="n"/>
      <c r="T41" s="40" t="inlineStr"/>
      <c r="U41" s="40" t="inlineStr"/>
      <c r="V41" s="41" t="inlineStr">
        <is>
          <t>кг</t>
        </is>
      </c>
      <c r="W41" s="804" t="n">
        <v>0</v>
      </c>
      <c r="X41" s="805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393" t="n"/>
      <c r="B42" s="381" t="n"/>
      <c r="C42" s="381" t="n"/>
      <c r="D42" s="381" t="n"/>
      <c r="E42" s="381" t="n"/>
      <c r="F42" s="381" t="n"/>
      <c r="G42" s="381" t="n"/>
      <c r="H42" s="381" t="n"/>
      <c r="I42" s="381" t="n"/>
      <c r="J42" s="381" t="n"/>
      <c r="K42" s="381" t="n"/>
      <c r="L42" s="381" t="n"/>
      <c r="M42" s="381" t="n"/>
      <c r="N42" s="807" t="n"/>
      <c r="O42" s="808" t="inlineStr">
        <is>
          <t>Итого</t>
        </is>
      </c>
      <c r="P42" s="775" t="n"/>
      <c r="Q42" s="775" t="n"/>
      <c r="R42" s="775" t="n"/>
      <c r="S42" s="775" t="n"/>
      <c r="T42" s="775" t="n"/>
      <c r="U42" s="776" t="n"/>
      <c r="V42" s="43" t="inlineStr">
        <is>
          <t>кор</t>
        </is>
      </c>
      <c r="W42" s="809">
        <f>IFERROR(W41/H41,"0")</f>
        <v/>
      </c>
      <c r="X42" s="809">
        <f>IFERROR(X41/H41,"0")</f>
        <v/>
      </c>
      <c r="Y42" s="809">
        <f>IFERROR(IF(Y41="",0,Y41),"0")</f>
        <v/>
      </c>
      <c r="Z42" s="810" t="n"/>
      <c r="AA42" s="810" t="n"/>
    </row>
    <row r="43">
      <c r="A43" s="381" t="n"/>
      <c r="B43" s="381" t="n"/>
      <c r="C43" s="381" t="n"/>
      <c r="D43" s="381" t="n"/>
      <c r="E43" s="381" t="n"/>
      <c r="F43" s="381" t="n"/>
      <c r="G43" s="381" t="n"/>
      <c r="H43" s="381" t="n"/>
      <c r="I43" s="381" t="n"/>
      <c r="J43" s="381" t="n"/>
      <c r="K43" s="381" t="n"/>
      <c r="L43" s="381" t="n"/>
      <c r="M43" s="381" t="n"/>
      <c r="N43" s="807" t="n"/>
      <c r="O43" s="808" t="inlineStr">
        <is>
          <t>Итого</t>
        </is>
      </c>
      <c r="P43" s="775" t="n"/>
      <c r="Q43" s="775" t="n"/>
      <c r="R43" s="775" t="n"/>
      <c r="S43" s="775" t="n"/>
      <c r="T43" s="775" t="n"/>
      <c r="U43" s="776" t="n"/>
      <c r="V43" s="43" t="inlineStr">
        <is>
          <t>кг</t>
        </is>
      </c>
      <c r="W43" s="809">
        <f>IFERROR(SUM(W41:W41),"0")</f>
        <v/>
      </c>
      <c r="X43" s="809">
        <f>IFERROR(SUM(X41:X41),"0")</f>
        <v/>
      </c>
      <c r="Y43" s="43" t="n"/>
      <c r="Z43" s="810" t="n"/>
      <c r="AA43" s="810" t="n"/>
    </row>
    <row r="44" ht="14.25" customHeight="1">
      <c r="A44" s="399" t="inlineStr">
        <is>
          <t>Сыровяленые колбасы</t>
        </is>
      </c>
      <c r="B44" s="381" t="n"/>
      <c r="C44" s="381" t="n"/>
      <c r="D44" s="381" t="n"/>
      <c r="E44" s="381" t="n"/>
      <c r="F44" s="381" t="n"/>
      <c r="G44" s="381" t="n"/>
      <c r="H44" s="381" t="n"/>
      <c r="I44" s="381" t="n"/>
      <c r="J44" s="381" t="n"/>
      <c r="K44" s="381" t="n"/>
      <c r="L44" s="381" t="n"/>
      <c r="M44" s="381" t="n"/>
      <c r="N44" s="381" t="n"/>
      <c r="O44" s="381" t="n"/>
      <c r="P44" s="381" t="n"/>
      <c r="Q44" s="381" t="n"/>
      <c r="R44" s="381" t="n"/>
      <c r="S44" s="381" t="n"/>
      <c r="T44" s="381" t="n"/>
      <c r="U44" s="381" t="n"/>
      <c r="V44" s="381" t="n"/>
      <c r="W44" s="381" t="n"/>
      <c r="X44" s="381" t="n"/>
      <c r="Y44" s="381" t="n"/>
      <c r="Z44" s="399" t="n"/>
      <c r="AA44" s="399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84" t="n">
        <v>4607091389111</v>
      </c>
      <c r="E45" s="767" t="n"/>
      <c r="F45" s="801" t="n">
        <v>0.025</v>
      </c>
      <c r="G45" s="38" t="n">
        <v>10</v>
      </c>
      <c r="H45" s="801" t="n">
        <v>0.25</v>
      </c>
      <c r="I45" s="80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2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803" t="n"/>
      <c r="Q45" s="803" t="n"/>
      <c r="R45" s="803" t="n"/>
      <c r="S45" s="767" t="n"/>
      <c r="T45" s="40" t="inlineStr"/>
      <c r="U45" s="40" t="inlineStr"/>
      <c r="V45" s="41" t="inlineStr">
        <is>
          <t>кг</t>
        </is>
      </c>
      <c r="W45" s="804" t="n">
        <v>0</v>
      </c>
      <c r="X45" s="805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393" t="n"/>
      <c r="B46" s="381" t="n"/>
      <c r="C46" s="381" t="n"/>
      <c r="D46" s="381" t="n"/>
      <c r="E46" s="381" t="n"/>
      <c r="F46" s="381" t="n"/>
      <c r="G46" s="381" t="n"/>
      <c r="H46" s="381" t="n"/>
      <c r="I46" s="381" t="n"/>
      <c r="J46" s="381" t="n"/>
      <c r="K46" s="381" t="n"/>
      <c r="L46" s="381" t="n"/>
      <c r="M46" s="381" t="n"/>
      <c r="N46" s="807" t="n"/>
      <c r="O46" s="808" t="inlineStr">
        <is>
          <t>Итого</t>
        </is>
      </c>
      <c r="P46" s="775" t="n"/>
      <c r="Q46" s="775" t="n"/>
      <c r="R46" s="775" t="n"/>
      <c r="S46" s="775" t="n"/>
      <c r="T46" s="775" t="n"/>
      <c r="U46" s="776" t="n"/>
      <c r="V46" s="43" t="inlineStr">
        <is>
          <t>кор</t>
        </is>
      </c>
      <c r="W46" s="809">
        <f>IFERROR(W45/H45,"0")</f>
        <v/>
      </c>
      <c r="X46" s="809">
        <f>IFERROR(X45/H45,"0")</f>
        <v/>
      </c>
      <c r="Y46" s="809">
        <f>IFERROR(IF(Y45="",0,Y45),"0")</f>
        <v/>
      </c>
      <c r="Z46" s="810" t="n"/>
      <c r="AA46" s="810" t="n"/>
    </row>
    <row r="47">
      <c r="A47" s="381" t="n"/>
      <c r="B47" s="381" t="n"/>
      <c r="C47" s="381" t="n"/>
      <c r="D47" s="381" t="n"/>
      <c r="E47" s="381" t="n"/>
      <c r="F47" s="381" t="n"/>
      <c r="G47" s="381" t="n"/>
      <c r="H47" s="381" t="n"/>
      <c r="I47" s="381" t="n"/>
      <c r="J47" s="381" t="n"/>
      <c r="K47" s="381" t="n"/>
      <c r="L47" s="381" t="n"/>
      <c r="M47" s="381" t="n"/>
      <c r="N47" s="807" t="n"/>
      <c r="O47" s="808" t="inlineStr">
        <is>
          <t>Итого</t>
        </is>
      </c>
      <c r="P47" s="775" t="n"/>
      <c r="Q47" s="775" t="n"/>
      <c r="R47" s="775" t="n"/>
      <c r="S47" s="775" t="n"/>
      <c r="T47" s="775" t="n"/>
      <c r="U47" s="776" t="n"/>
      <c r="V47" s="43" t="inlineStr">
        <is>
          <t>кг</t>
        </is>
      </c>
      <c r="W47" s="809">
        <f>IFERROR(SUM(W45:W45),"0")</f>
        <v/>
      </c>
      <c r="X47" s="809">
        <f>IFERROR(SUM(X45:X45),"0")</f>
        <v/>
      </c>
      <c r="Y47" s="43" t="n"/>
      <c r="Z47" s="810" t="n"/>
      <c r="AA47" s="810" t="n"/>
    </row>
    <row r="48" ht="27.75" customHeight="1">
      <c r="A48" s="420" t="inlineStr">
        <is>
          <t>Вязанка</t>
        </is>
      </c>
      <c r="B48" s="800" t="n"/>
      <c r="C48" s="800" t="n"/>
      <c r="D48" s="800" t="n"/>
      <c r="E48" s="800" t="n"/>
      <c r="F48" s="800" t="n"/>
      <c r="G48" s="800" t="n"/>
      <c r="H48" s="800" t="n"/>
      <c r="I48" s="800" t="n"/>
      <c r="J48" s="800" t="n"/>
      <c r="K48" s="800" t="n"/>
      <c r="L48" s="800" t="n"/>
      <c r="M48" s="800" t="n"/>
      <c r="N48" s="800" t="n"/>
      <c r="O48" s="800" t="n"/>
      <c r="P48" s="800" t="n"/>
      <c r="Q48" s="800" t="n"/>
      <c r="R48" s="800" t="n"/>
      <c r="S48" s="800" t="n"/>
      <c r="T48" s="800" t="n"/>
      <c r="U48" s="800" t="n"/>
      <c r="V48" s="800" t="n"/>
      <c r="W48" s="800" t="n"/>
      <c r="X48" s="800" t="n"/>
      <c r="Y48" s="800" t="n"/>
      <c r="Z48" s="55" t="n"/>
      <c r="AA48" s="55" t="n"/>
    </row>
    <row r="49" ht="16.5" customHeight="1">
      <c r="A49" s="421" t="inlineStr">
        <is>
          <t>Столичная</t>
        </is>
      </c>
      <c r="B49" s="381" t="n"/>
      <c r="C49" s="381" t="n"/>
      <c r="D49" s="381" t="n"/>
      <c r="E49" s="381" t="n"/>
      <c r="F49" s="381" t="n"/>
      <c r="G49" s="381" t="n"/>
      <c r="H49" s="381" t="n"/>
      <c r="I49" s="381" t="n"/>
      <c r="J49" s="381" t="n"/>
      <c r="K49" s="381" t="n"/>
      <c r="L49" s="381" t="n"/>
      <c r="M49" s="381" t="n"/>
      <c r="N49" s="381" t="n"/>
      <c r="O49" s="381" t="n"/>
      <c r="P49" s="381" t="n"/>
      <c r="Q49" s="381" t="n"/>
      <c r="R49" s="381" t="n"/>
      <c r="S49" s="381" t="n"/>
      <c r="T49" s="381" t="n"/>
      <c r="U49" s="381" t="n"/>
      <c r="V49" s="381" t="n"/>
      <c r="W49" s="381" t="n"/>
      <c r="X49" s="381" t="n"/>
      <c r="Y49" s="381" t="n"/>
      <c r="Z49" s="421" t="n"/>
      <c r="AA49" s="421" t="n"/>
    </row>
    <row r="50" ht="14.25" customHeight="1">
      <c r="A50" s="399" t="inlineStr">
        <is>
          <t>Ветчины</t>
        </is>
      </c>
      <c r="B50" s="381" t="n"/>
      <c r="C50" s="381" t="n"/>
      <c r="D50" s="381" t="n"/>
      <c r="E50" s="381" t="n"/>
      <c r="F50" s="381" t="n"/>
      <c r="G50" s="381" t="n"/>
      <c r="H50" s="381" t="n"/>
      <c r="I50" s="381" t="n"/>
      <c r="J50" s="381" t="n"/>
      <c r="K50" s="381" t="n"/>
      <c r="L50" s="381" t="n"/>
      <c r="M50" s="381" t="n"/>
      <c r="N50" s="381" t="n"/>
      <c r="O50" s="381" t="n"/>
      <c r="P50" s="381" t="n"/>
      <c r="Q50" s="381" t="n"/>
      <c r="R50" s="381" t="n"/>
      <c r="S50" s="381" t="n"/>
      <c r="T50" s="381" t="n"/>
      <c r="U50" s="381" t="n"/>
      <c r="V50" s="381" t="n"/>
      <c r="W50" s="381" t="n"/>
      <c r="X50" s="381" t="n"/>
      <c r="Y50" s="381" t="n"/>
      <c r="Z50" s="399" t="n"/>
      <c r="AA50" s="399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84" t="n">
        <v>4680115881440</v>
      </c>
      <c r="E51" s="767" t="n"/>
      <c r="F51" s="801" t="n">
        <v>1.35</v>
      </c>
      <c r="G51" s="38" t="n">
        <v>8</v>
      </c>
      <c r="H51" s="801" t="n">
        <v>10.8</v>
      </c>
      <c r="I51" s="80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21">
        <f>HYPERLINK("https://abi.ru/products/Охлажденные/Вязанка/Столичная/Ветчины/P003234/","Ветчины «Филейская» Весовые Вектор ТМ «Вязанка»")</f>
        <v/>
      </c>
      <c r="P51" s="803" t="n"/>
      <c r="Q51" s="803" t="n"/>
      <c r="R51" s="803" t="n"/>
      <c r="S51" s="767" t="n"/>
      <c r="T51" s="40" t="inlineStr"/>
      <c r="U51" s="40" t="inlineStr"/>
      <c r="V51" s="41" t="inlineStr">
        <is>
          <t>кг</t>
        </is>
      </c>
      <c r="W51" s="804" t="n">
        <v>120</v>
      </c>
      <c r="X51" s="805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84" t="n">
        <v>4680115881433</v>
      </c>
      <c r="E52" s="767" t="n"/>
      <c r="F52" s="801" t="n">
        <v>0.45</v>
      </c>
      <c r="G52" s="38" t="n">
        <v>6</v>
      </c>
      <c r="H52" s="801" t="n">
        <v>2.7</v>
      </c>
      <c r="I52" s="80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22">
        <f>HYPERLINK("https://abi.ru/products/Охлажденные/Вязанка/Столичная/Ветчины/P003226/","Ветчины «Филейская» Фикс.вес 0,45 Вектор ТМ «Вязанка»")</f>
        <v/>
      </c>
      <c r="P52" s="803" t="n"/>
      <c r="Q52" s="803" t="n"/>
      <c r="R52" s="803" t="n"/>
      <c r="S52" s="767" t="n"/>
      <c r="T52" s="40" t="inlineStr"/>
      <c r="U52" s="40" t="inlineStr"/>
      <c r="V52" s="41" t="inlineStr">
        <is>
          <t>кг</t>
        </is>
      </c>
      <c r="W52" s="804" t="n">
        <v>135</v>
      </c>
      <c r="X52" s="805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393" t="n"/>
      <c r="B53" s="381" t="n"/>
      <c r="C53" s="381" t="n"/>
      <c r="D53" s="381" t="n"/>
      <c r="E53" s="381" t="n"/>
      <c r="F53" s="381" t="n"/>
      <c r="G53" s="381" t="n"/>
      <c r="H53" s="381" t="n"/>
      <c r="I53" s="381" t="n"/>
      <c r="J53" s="381" t="n"/>
      <c r="K53" s="381" t="n"/>
      <c r="L53" s="381" t="n"/>
      <c r="M53" s="381" t="n"/>
      <c r="N53" s="807" t="n"/>
      <c r="O53" s="808" t="inlineStr">
        <is>
          <t>Итого</t>
        </is>
      </c>
      <c r="P53" s="775" t="n"/>
      <c r="Q53" s="775" t="n"/>
      <c r="R53" s="775" t="n"/>
      <c r="S53" s="775" t="n"/>
      <c r="T53" s="775" t="n"/>
      <c r="U53" s="776" t="n"/>
      <c r="V53" s="43" t="inlineStr">
        <is>
          <t>кор</t>
        </is>
      </c>
      <c r="W53" s="809">
        <f>IFERROR(W51/H51,"0")+IFERROR(W52/H52,"0")</f>
        <v/>
      </c>
      <c r="X53" s="809">
        <f>IFERROR(X51/H51,"0")+IFERROR(X52/H52,"0")</f>
        <v/>
      </c>
      <c r="Y53" s="809">
        <f>IFERROR(IF(Y51="",0,Y51),"0")+IFERROR(IF(Y52="",0,Y52),"0")</f>
        <v/>
      </c>
      <c r="Z53" s="810" t="n"/>
      <c r="AA53" s="810" t="n"/>
    </row>
    <row r="54">
      <c r="A54" s="381" t="n"/>
      <c r="B54" s="381" t="n"/>
      <c r="C54" s="381" t="n"/>
      <c r="D54" s="381" t="n"/>
      <c r="E54" s="381" t="n"/>
      <c r="F54" s="381" t="n"/>
      <c r="G54" s="381" t="n"/>
      <c r="H54" s="381" t="n"/>
      <c r="I54" s="381" t="n"/>
      <c r="J54" s="381" t="n"/>
      <c r="K54" s="381" t="n"/>
      <c r="L54" s="381" t="n"/>
      <c r="M54" s="381" t="n"/>
      <c r="N54" s="807" t="n"/>
      <c r="O54" s="808" t="inlineStr">
        <is>
          <t>Итого</t>
        </is>
      </c>
      <c r="P54" s="775" t="n"/>
      <c r="Q54" s="775" t="n"/>
      <c r="R54" s="775" t="n"/>
      <c r="S54" s="775" t="n"/>
      <c r="T54" s="775" t="n"/>
      <c r="U54" s="776" t="n"/>
      <c r="V54" s="43" t="inlineStr">
        <is>
          <t>кг</t>
        </is>
      </c>
      <c r="W54" s="809">
        <f>IFERROR(SUM(W51:W52),"0")</f>
        <v/>
      </c>
      <c r="X54" s="809">
        <f>IFERROR(SUM(X51:X52),"0")</f>
        <v/>
      </c>
      <c r="Y54" s="43" t="n"/>
      <c r="Z54" s="810" t="n"/>
      <c r="AA54" s="810" t="n"/>
    </row>
    <row r="55" ht="16.5" customHeight="1">
      <c r="A55" s="421" t="inlineStr">
        <is>
          <t>Классическая</t>
        </is>
      </c>
      <c r="B55" s="381" t="n"/>
      <c r="C55" s="381" t="n"/>
      <c r="D55" s="381" t="n"/>
      <c r="E55" s="381" t="n"/>
      <c r="F55" s="381" t="n"/>
      <c r="G55" s="381" t="n"/>
      <c r="H55" s="381" t="n"/>
      <c r="I55" s="381" t="n"/>
      <c r="J55" s="381" t="n"/>
      <c r="K55" s="381" t="n"/>
      <c r="L55" s="381" t="n"/>
      <c r="M55" s="381" t="n"/>
      <c r="N55" s="381" t="n"/>
      <c r="O55" s="381" t="n"/>
      <c r="P55" s="381" t="n"/>
      <c r="Q55" s="381" t="n"/>
      <c r="R55" s="381" t="n"/>
      <c r="S55" s="381" t="n"/>
      <c r="T55" s="381" t="n"/>
      <c r="U55" s="381" t="n"/>
      <c r="V55" s="381" t="n"/>
      <c r="W55" s="381" t="n"/>
      <c r="X55" s="381" t="n"/>
      <c r="Y55" s="381" t="n"/>
      <c r="Z55" s="421" t="n"/>
      <c r="AA55" s="421" t="n"/>
    </row>
    <row r="56" ht="14.25" customHeight="1">
      <c r="A56" s="399" t="inlineStr">
        <is>
          <t>Вареные колбасы</t>
        </is>
      </c>
      <c r="B56" s="381" t="n"/>
      <c r="C56" s="381" t="n"/>
      <c r="D56" s="381" t="n"/>
      <c r="E56" s="381" t="n"/>
      <c r="F56" s="381" t="n"/>
      <c r="G56" s="381" t="n"/>
      <c r="H56" s="381" t="n"/>
      <c r="I56" s="381" t="n"/>
      <c r="J56" s="381" t="n"/>
      <c r="K56" s="381" t="n"/>
      <c r="L56" s="381" t="n"/>
      <c r="M56" s="381" t="n"/>
      <c r="N56" s="381" t="n"/>
      <c r="O56" s="381" t="n"/>
      <c r="P56" s="381" t="n"/>
      <c r="Q56" s="381" t="n"/>
      <c r="R56" s="381" t="n"/>
      <c r="S56" s="381" t="n"/>
      <c r="T56" s="381" t="n"/>
      <c r="U56" s="381" t="n"/>
      <c r="V56" s="381" t="n"/>
      <c r="W56" s="381" t="n"/>
      <c r="X56" s="381" t="n"/>
      <c r="Y56" s="381" t="n"/>
      <c r="Z56" s="399" t="n"/>
      <c r="AA56" s="399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84" t="n">
        <v>4680115881426</v>
      </c>
      <c r="E57" s="767" t="n"/>
      <c r="F57" s="801" t="n">
        <v>1.35</v>
      </c>
      <c r="G57" s="38" t="n">
        <v>8</v>
      </c>
      <c r="H57" s="801" t="n">
        <v>10.8</v>
      </c>
      <c r="I57" s="80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2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803" t="n"/>
      <c r="Q57" s="803" t="n"/>
      <c r="R57" s="803" t="n"/>
      <c r="S57" s="767" t="n"/>
      <c r="T57" s="40" t="inlineStr"/>
      <c r="U57" s="40" t="inlineStr"/>
      <c r="V57" s="41" t="inlineStr">
        <is>
          <t>кг</t>
        </is>
      </c>
      <c r="W57" s="804" t="n">
        <v>200</v>
      </c>
      <c r="X57" s="805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84" t="n">
        <v>4680115881426</v>
      </c>
      <c r="E58" s="767" t="n"/>
      <c r="F58" s="801" t="n">
        <v>1.35</v>
      </c>
      <c r="G58" s="38" t="n">
        <v>8</v>
      </c>
      <c r="H58" s="801" t="n">
        <v>10.8</v>
      </c>
      <c r="I58" s="80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2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803" t="n"/>
      <c r="Q58" s="803" t="n"/>
      <c r="R58" s="803" t="n"/>
      <c r="S58" s="767" t="n"/>
      <c r="T58" s="40" t="inlineStr"/>
      <c r="U58" s="40" t="inlineStr"/>
      <c r="V58" s="41" t="inlineStr">
        <is>
          <t>кг</t>
        </is>
      </c>
      <c r="W58" s="804" t="n">
        <v>0</v>
      </c>
      <c r="X58" s="805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84" t="n">
        <v>4680115881419</v>
      </c>
      <c r="E59" s="767" t="n"/>
      <c r="F59" s="801" t="n">
        <v>0.45</v>
      </c>
      <c r="G59" s="38" t="n">
        <v>10</v>
      </c>
      <c r="H59" s="801" t="n">
        <v>4.5</v>
      </c>
      <c r="I59" s="80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2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803" t="n"/>
      <c r="Q59" s="803" t="n"/>
      <c r="R59" s="803" t="n"/>
      <c r="S59" s="767" t="n"/>
      <c r="T59" s="40" t="inlineStr"/>
      <c r="U59" s="40" t="inlineStr"/>
      <c r="V59" s="41" t="inlineStr">
        <is>
          <t>кг</t>
        </is>
      </c>
      <c r="W59" s="804" t="n">
        <v>225</v>
      </c>
      <c r="X59" s="805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84" t="n">
        <v>4680115881525</v>
      </c>
      <c r="E60" s="767" t="n"/>
      <c r="F60" s="801" t="n">
        <v>0.4</v>
      </c>
      <c r="G60" s="38" t="n">
        <v>10</v>
      </c>
      <c r="H60" s="801" t="n">
        <v>4</v>
      </c>
      <c r="I60" s="80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26" t="inlineStr">
        <is>
          <t>Колбаса вареная Филейская ТМ Вязанка ТС Классическая полиамид ф/в 0,4 кг</t>
        </is>
      </c>
      <c r="P60" s="803" t="n"/>
      <c r="Q60" s="803" t="n"/>
      <c r="R60" s="803" t="n"/>
      <c r="S60" s="767" t="n"/>
      <c r="T60" s="40" t="inlineStr"/>
      <c r="U60" s="40" t="inlineStr"/>
      <c r="V60" s="41" t="inlineStr">
        <is>
          <t>кг</t>
        </is>
      </c>
      <c r="W60" s="804" t="n">
        <v>0</v>
      </c>
      <c r="X60" s="805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393" t="n"/>
      <c r="B61" s="381" t="n"/>
      <c r="C61" s="381" t="n"/>
      <c r="D61" s="381" t="n"/>
      <c r="E61" s="381" t="n"/>
      <c r="F61" s="381" t="n"/>
      <c r="G61" s="381" t="n"/>
      <c r="H61" s="381" t="n"/>
      <c r="I61" s="381" t="n"/>
      <c r="J61" s="381" t="n"/>
      <c r="K61" s="381" t="n"/>
      <c r="L61" s="381" t="n"/>
      <c r="M61" s="381" t="n"/>
      <c r="N61" s="807" t="n"/>
      <c r="O61" s="808" t="inlineStr">
        <is>
          <t>Итого</t>
        </is>
      </c>
      <c r="P61" s="775" t="n"/>
      <c r="Q61" s="775" t="n"/>
      <c r="R61" s="775" t="n"/>
      <c r="S61" s="775" t="n"/>
      <c r="T61" s="775" t="n"/>
      <c r="U61" s="776" t="n"/>
      <c r="V61" s="43" t="inlineStr">
        <is>
          <t>кор</t>
        </is>
      </c>
      <c r="W61" s="809">
        <f>IFERROR(W57/H57,"0")+IFERROR(W58/H58,"0")+IFERROR(W59/H59,"0")+IFERROR(W60/H60,"0")</f>
        <v/>
      </c>
      <c r="X61" s="809">
        <f>IFERROR(X57/H57,"0")+IFERROR(X58/H58,"0")+IFERROR(X59/H59,"0")+IFERROR(X60/H60,"0")</f>
        <v/>
      </c>
      <c r="Y61" s="809">
        <f>IFERROR(IF(Y57="",0,Y57),"0")+IFERROR(IF(Y58="",0,Y58),"0")+IFERROR(IF(Y59="",0,Y59),"0")+IFERROR(IF(Y60="",0,Y60),"0")</f>
        <v/>
      </c>
      <c r="Z61" s="810" t="n"/>
      <c r="AA61" s="810" t="n"/>
    </row>
    <row r="62">
      <c r="A62" s="381" t="n"/>
      <c r="B62" s="381" t="n"/>
      <c r="C62" s="381" t="n"/>
      <c r="D62" s="381" t="n"/>
      <c r="E62" s="381" t="n"/>
      <c r="F62" s="381" t="n"/>
      <c r="G62" s="381" t="n"/>
      <c r="H62" s="381" t="n"/>
      <c r="I62" s="381" t="n"/>
      <c r="J62" s="381" t="n"/>
      <c r="K62" s="381" t="n"/>
      <c r="L62" s="381" t="n"/>
      <c r="M62" s="381" t="n"/>
      <c r="N62" s="807" t="n"/>
      <c r="O62" s="808" t="inlineStr">
        <is>
          <t>Итого</t>
        </is>
      </c>
      <c r="P62" s="775" t="n"/>
      <c r="Q62" s="775" t="n"/>
      <c r="R62" s="775" t="n"/>
      <c r="S62" s="775" t="n"/>
      <c r="T62" s="775" t="n"/>
      <c r="U62" s="776" t="n"/>
      <c r="V62" s="43" t="inlineStr">
        <is>
          <t>кг</t>
        </is>
      </c>
      <c r="W62" s="809">
        <f>IFERROR(SUM(W57:W60),"0")</f>
        <v/>
      </c>
      <c r="X62" s="809">
        <f>IFERROR(SUM(X57:X60),"0")</f>
        <v/>
      </c>
      <c r="Y62" s="43" t="n"/>
      <c r="Z62" s="810" t="n"/>
      <c r="AA62" s="810" t="n"/>
    </row>
    <row r="63" ht="16.5" customHeight="1">
      <c r="A63" s="421" t="inlineStr">
        <is>
          <t>Вязанка</t>
        </is>
      </c>
      <c r="B63" s="381" t="n"/>
      <c r="C63" s="381" t="n"/>
      <c r="D63" s="381" t="n"/>
      <c r="E63" s="381" t="n"/>
      <c r="F63" s="381" t="n"/>
      <c r="G63" s="381" t="n"/>
      <c r="H63" s="381" t="n"/>
      <c r="I63" s="381" t="n"/>
      <c r="J63" s="381" t="n"/>
      <c r="K63" s="381" t="n"/>
      <c r="L63" s="381" t="n"/>
      <c r="M63" s="381" t="n"/>
      <c r="N63" s="381" t="n"/>
      <c r="O63" s="381" t="n"/>
      <c r="P63" s="381" t="n"/>
      <c r="Q63" s="381" t="n"/>
      <c r="R63" s="381" t="n"/>
      <c r="S63" s="381" t="n"/>
      <c r="T63" s="381" t="n"/>
      <c r="U63" s="381" t="n"/>
      <c r="V63" s="381" t="n"/>
      <c r="W63" s="381" t="n"/>
      <c r="X63" s="381" t="n"/>
      <c r="Y63" s="381" t="n"/>
      <c r="Z63" s="421" t="n"/>
      <c r="AA63" s="421" t="n"/>
    </row>
    <row r="64" ht="14.25" customHeight="1">
      <c r="A64" s="399" t="inlineStr">
        <is>
          <t>Вареные колбасы</t>
        </is>
      </c>
      <c r="B64" s="381" t="n"/>
      <c r="C64" s="381" t="n"/>
      <c r="D64" s="381" t="n"/>
      <c r="E64" s="381" t="n"/>
      <c r="F64" s="381" t="n"/>
      <c r="G64" s="381" t="n"/>
      <c r="H64" s="381" t="n"/>
      <c r="I64" s="381" t="n"/>
      <c r="J64" s="381" t="n"/>
      <c r="K64" s="381" t="n"/>
      <c r="L64" s="381" t="n"/>
      <c r="M64" s="381" t="n"/>
      <c r="N64" s="381" t="n"/>
      <c r="O64" s="381" t="n"/>
      <c r="P64" s="381" t="n"/>
      <c r="Q64" s="381" t="n"/>
      <c r="R64" s="381" t="n"/>
      <c r="S64" s="381" t="n"/>
      <c r="T64" s="381" t="n"/>
      <c r="U64" s="381" t="n"/>
      <c r="V64" s="381" t="n"/>
      <c r="W64" s="381" t="n"/>
      <c r="X64" s="381" t="n"/>
      <c r="Y64" s="381" t="n"/>
      <c r="Z64" s="399" t="n"/>
      <c r="AA64" s="399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4" t="n">
        <v>4607091382945</v>
      </c>
      <c r="E65" s="767" t="n"/>
      <c r="F65" s="801" t="n">
        <v>1.4</v>
      </c>
      <c r="G65" s="38" t="n">
        <v>8</v>
      </c>
      <c r="H65" s="801" t="n">
        <v>11.2</v>
      </c>
      <c r="I65" s="80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2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803" t="n"/>
      <c r="Q65" s="803" t="n"/>
      <c r="R65" s="803" t="n"/>
      <c r="S65" s="767" t="n"/>
      <c r="T65" s="40" t="inlineStr"/>
      <c r="U65" s="40" t="inlineStr"/>
      <c r="V65" s="41" t="inlineStr">
        <is>
          <t>кг</t>
        </is>
      </c>
      <c r="W65" s="804" t="n">
        <v>0</v>
      </c>
      <c r="X65" s="805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84" t="n">
        <v>4607091385670</v>
      </c>
      <c r="E66" s="767" t="n"/>
      <c r="F66" s="801" t="n">
        <v>1.35</v>
      </c>
      <c r="G66" s="38" t="n">
        <v>8</v>
      </c>
      <c r="H66" s="801" t="n">
        <v>10.8</v>
      </c>
      <c r="I66" s="80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2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6" s="803" t="n"/>
      <c r="Q66" s="803" t="n"/>
      <c r="R66" s="803" t="n"/>
      <c r="S66" s="767" t="n"/>
      <c r="T66" s="40" t="inlineStr"/>
      <c r="U66" s="40" t="inlineStr"/>
      <c r="V66" s="41" t="inlineStr">
        <is>
          <t>кг</t>
        </is>
      </c>
      <c r="W66" s="804" t="n">
        <v>0</v>
      </c>
      <c r="X66" s="805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4" t="n">
        <v>4607091385670</v>
      </c>
      <c r="E67" s="767" t="n"/>
      <c r="F67" s="801" t="n">
        <v>1.4</v>
      </c>
      <c r="G67" s="38" t="n">
        <v>8</v>
      </c>
      <c r="H67" s="801" t="n">
        <v>11.2</v>
      </c>
      <c r="I67" s="80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29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7" s="803" t="n"/>
      <c r="Q67" s="803" t="n"/>
      <c r="R67" s="803" t="n"/>
      <c r="S67" s="767" t="n"/>
      <c r="T67" s="40" t="inlineStr"/>
      <c r="U67" s="40" t="inlineStr"/>
      <c r="V67" s="41" t="inlineStr">
        <is>
          <t>кг</t>
        </is>
      </c>
      <c r="W67" s="804" t="n">
        <v>100</v>
      </c>
      <c r="X67" s="805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84" t="n">
        <v>4680115883956</v>
      </c>
      <c r="E68" s="767" t="n"/>
      <c r="F68" s="801" t="n">
        <v>1.4</v>
      </c>
      <c r="G68" s="38" t="n">
        <v>8</v>
      </c>
      <c r="H68" s="801" t="n">
        <v>11.2</v>
      </c>
      <c r="I68" s="80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3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803" t="n"/>
      <c r="Q68" s="803" t="n"/>
      <c r="R68" s="803" t="n"/>
      <c r="S68" s="767" t="n"/>
      <c r="T68" s="40" t="inlineStr"/>
      <c r="U68" s="40" t="inlineStr"/>
      <c r="V68" s="41" t="inlineStr">
        <is>
          <t>кг</t>
        </is>
      </c>
      <c r="W68" s="804" t="n">
        <v>0</v>
      </c>
      <c r="X68" s="805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84" t="n">
        <v>4680115881327</v>
      </c>
      <c r="E69" s="767" t="n"/>
      <c r="F69" s="801" t="n">
        <v>1.35</v>
      </c>
      <c r="G69" s="38" t="n">
        <v>8</v>
      </c>
      <c r="H69" s="801" t="n">
        <v>10.8</v>
      </c>
      <c r="I69" s="80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31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803" t="n"/>
      <c r="Q69" s="803" t="n"/>
      <c r="R69" s="803" t="n"/>
      <c r="S69" s="767" t="n"/>
      <c r="T69" s="40" t="inlineStr"/>
      <c r="U69" s="40" t="inlineStr"/>
      <c r="V69" s="41" t="inlineStr">
        <is>
          <t>кг</t>
        </is>
      </c>
      <c r="W69" s="804" t="n">
        <v>100</v>
      </c>
      <c r="X69" s="805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84" t="n">
        <v>4680115882133</v>
      </c>
      <c r="E70" s="767" t="n"/>
      <c r="F70" s="801" t="n">
        <v>1.4</v>
      </c>
      <c r="G70" s="38" t="n">
        <v>8</v>
      </c>
      <c r="H70" s="801" t="n">
        <v>11.2</v>
      </c>
      <c r="I70" s="80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32">
        <f>HYPERLINK("https://abi.ru/products/Охлажденные/Вязанка/Вязанка/Вареные колбасы/P003902/","Вареные колбасы «Сливушка» Вес П/а ТМ «Вязанка»")</f>
        <v/>
      </c>
      <c r="P70" s="803" t="n"/>
      <c r="Q70" s="803" t="n"/>
      <c r="R70" s="803" t="n"/>
      <c r="S70" s="767" t="n"/>
      <c r="T70" s="40" t="inlineStr"/>
      <c r="U70" s="40" t="inlineStr"/>
      <c r="V70" s="41" t="inlineStr">
        <is>
          <t>кг</t>
        </is>
      </c>
      <c r="W70" s="804" t="n">
        <v>0</v>
      </c>
      <c r="X70" s="805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84" t="n">
        <v>4680115882133</v>
      </c>
      <c r="E71" s="767" t="n"/>
      <c r="F71" s="801" t="n">
        <v>1.35</v>
      </c>
      <c r="G71" s="38" t="n">
        <v>8</v>
      </c>
      <c r="H71" s="801" t="n">
        <v>10.8</v>
      </c>
      <c r="I71" s="80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33">
        <f>HYPERLINK("https://abi.ru/products/Охлажденные/Вязанка/Вязанка/Вареные колбасы/P003357/","Вареные колбасы «Сливушка» Вес П/а ТМ «Вязанка»")</f>
        <v/>
      </c>
      <c r="P71" s="803" t="n"/>
      <c r="Q71" s="803" t="n"/>
      <c r="R71" s="803" t="n"/>
      <c r="S71" s="767" t="n"/>
      <c r="T71" s="40" t="inlineStr"/>
      <c r="U71" s="40" t="inlineStr"/>
      <c r="V71" s="41" t="inlineStr">
        <is>
          <t>кг</t>
        </is>
      </c>
      <c r="W71" s="804" t="n">
        <v>0</v>
      </c>
      <c r="X71" s="805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84" t="n">
        <v>4607091382952</v>
      </c>
      <c r="E72" s="767" t="n"/>
      <c r="F72" s="801" t="n">
        <v>0.5</v>
      </c>
      <c r="G72" s="38" t="n">
        <v>6</v>
      </c>
      <c r="H72" s="801" t="n">
        <v>3</v>
      </c>
      <c r="I72" s="80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3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803" t="n"/>
      <c r="Q72" s="803" t="n"/>
      <c r="R72" s="803" t="n"/>
      <c r="S72" s="767" t="n"/>
      <c r="T72" s="40" t="inlineStr"/>
      <c r="U72" s="40" t="inlineStr"/>
      <c r="V72" s="41" t="inlineStr">
        <is>
          <t>кг</t>
        </is>
      </c>
      <c r="W72" s="804" t="n">
        <v>40</v>
      </c>
      <c r="X72" s="805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84" t="n">
        <v>4607091385687</v>
      </c>
      <c r="E73" s="767" t="n"/>
      <c r="F73" s="801" t="n">
        <v>0.4</v>
      </c>
      <c r="G73" s="38" t="n">
        <v>10</v>
      </c>
      <c r="H73" s="801" t="n">
        <v>4</v>
      </c>
      <c r="I73" s="80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3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3" s="803" t="n"/>
      <c r="Q73" s="803" t="n"/>
      <c r="R73" s="803" t="n"/>
      <c r="S73" s="767" t="n"/>
      <c r="T73" s="40" t="inlineStr"/>
      <c r="U73" s="40" t="inlineStr"/>
      <c r="V73" s="41" t="inlineStr">
        <is>
          <t>кг</t>
        </is>
      </c>
      <c r="W73" s="804" t="n">
        <v>80</v>
      </c>
      <c r="X73" s="805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84" t="n">
        <v>4680115882539</v>
      </c>
      <c r="E74" s="767" t="n"/>
      <c r="F74" s="801" t="n">
        <v>0.37</v>
      </c>
      <c r="G74" s="38" t="n">
        <v>10</v>
      </c>
      <c r="H74" s="801" t="n">
        <v>3.7</v>
      </c>
      <c r="I74" s="80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3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4" s="803" t="n"/>
      <c r="Q74" s="803" t="n"/>
      <c r="R74" s="803" t="n"/>
      <c r="S74" s="767" t="n"/>
      <c r="T74" s="40" t="inlineStr"/>
      <c r="U74" s="40" t="inlineStr"/>
      <c r="V74" s="41" t="inlineStr">
        <is>
          <t>кг</t>
        </is>
      </c>
      <c r="W74" s="804" t="n">
        <v>0</v>
      </c>
      <c r="X74" s="805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84" t="n">
        <v>4607091384604</v>
      </c>
      <c r="E75" s="767" t="n"/>
      <c r="F75" s="801" t="n">
        <v>0.4</v>
      </c>
      <c r="G75" s="38" t="n">
        <v>10</v>
      </c>
      <c r="H75" s="801" t="n">
        <v>4</v>
      </c>
      <c r="I75" s="80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3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803" t="n"/>
      <c r="Q75" s="803" t="n"/>
      <c r="R75" s="803" t="n"/>
      <c r="S75" s="767" t="n"/>
      <c r="T75" s="40" t="inlineStr"/>
      <c r="U75" s="40" t="inlineStr"/>
      <c r="V75" s="41" t="inlineStr">
        <is>
          <t>кг</t>
        </is>
      </c>
      <c r="W75" s="804" t="n">
        <v>0</v>
      </c>
      <c r="X75" s="805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84" t="n">
        <v>4680115880283</v>
      </c>
      <c r="E76" s="767" t="n"/>
      <c r="F76" s="801" t="n">
        <v>0.6</v>
      </c>
      <c r="G76" s="38" t="n">
        <v>8</v>
      </c>
      <c r="H76" s="801" t="n">
        <v>4.8</v>
      </c>
      <c r="I76" s="80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3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803" t="n"/>
      <c r="Q76" s="803" t="n"/>
      <c r="R76" s="803" t="n"/>
      <c r="S76" s="767" t="n"/>
      <c r="T76" s="40" t="inlineStr"/>
      <c r="U76" s="40" t="inlineStr"/>
      <c r="V76" s="41" t="inlineStr">
        <is>
          <t>кг</t>
        </is>
      </c>
      <c r="W76" s="804" t="n">
        <v>0</v>
      </c>
      <c r="X76" s="805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84" t="n">
        <v>4680115883949</v>
      </c>
      <c r="E77" s="767" t="n"/>
      <c r="F77" s="801" t="n">
        <v>0.37</v>
      </c>
      <c r="G77" s="38" t="n">
        <v>10</v>
      </c>
      <c r="H77" s="801" t="n">
        <v>3.7</v>
      </c>
      <c r="I77" s="80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39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803" t="n"/>
      <c r="Q77" s="803" t="n"/>
      <c r="R77" s="803" t="n"/>
      <c r="S77" s="767" t="n"/>
      <c r="T77" s="40" t="inlineStr"/>
      <c r="U77" s="40" t="inlineStr"/>
      <c r="V77" s="41" t="inlineStr">
        <is>
          <t>кг</t>
        </is>
      </c>
      <c r="W77" s="804" t="n">
        <v>0</v>
      </c>
      <c r="X77" s="805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84" t="n">
        <v>4680115881518</v>
      </c>
      <c r="E78" s="767" t="n"/>
      <c r="F78" s="801" t="n">
        <v>0.4</v>
      </c>
      <c r="G78" s="38" t="n">
        <v>10</v>
      </c>
      <c r="H78" s="801" t="n">
        <v>4</v>
      </c>
      <c r="I78" s="801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9" t="n"/>
      <c r="N78" s="38" t="n">
        <v>50</v>
      </c>
      <c r="O78" s="84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803" t="n"/>
      <c r="Q78" s="803" t="n"/>
      <c r="R78" s="803" t="n"/>
      <c r="S78" s="767" t="n"/>
      <c r="T78" s="40" t="inlineStr"/>
      <c r="U78" s="40" t="inlineStr"/>
      <c r="V78" s="41" t="inlineStr">
        <is>
          <t>кг</t>
        </is>
      </c>
      <c r="W78" s="804" t="n">
        <v>0</v>
      </c>
      <c r="X78" s="805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84" t="n">
        <v>4680115881303</v>
      </c>
      <c r="E79" s="767" t="n"/>
      <c r="F79" s="801" t="n">
        <v>0.45</v>
      </c>
      <c r="G79" s="38" t="n">
        <v>10</v>
      </c>
      <c r="H79" s="801" t="n">
        <v>4.5</v>
      </c>
      <c r="I79" s="801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9" t="n"/>
      <c r="N79" s="38" t="n">
        <v>50</v>
      </c>
      <c r="O79" s="84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803" t="n"/>
      <c r="Q79" s="803" t="n"/>
      <c r="R79" s="803" t="n"/>
      <c r="S79" s="767" t="n"/>
      <c r="T79" s="40" t="inlineStr"/>
      <c r="U79" s="40" t="inlineStr"/>
      <c r="V79" s="41" t="inlineStr">
        <is>
          <t>кг</t>
        </is>
      </c>
      <c r="W79" s="804" t="n">
        <v>540</v>
      </c>
      <c r="X79" s="805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84" t="n">
        <v>4680115882577</v>
      </c>
      <c r="E80" s="767" t="n"/>
      <c r="F80" s="801" t="n">
        <v>0.4</v>
      </c>
      <c r="G80" s="38" t="n">
        <v>8</v>
      </c>
      <c r="H80" s="801" t="n">
        <v>3.2</v>
      </c>
      <c r="I80" s="80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4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803" t="n"/>
      <c r="Q80" s="803" t="n"/>
      <c r="R80" s="803" t="n"/>
      <c r="S80" s="767" t="n"/>
      <c r="T80" s="40" t="inlineStr"/>
      <c r="U80" s="40" t="inlineStr"/>
      <c r="V80" s="41" t="inlineStr">
        <is>
          <t>кг</t>
        </is>
      </c>
      <c r="W80" s="804" t="n">
        <v>100</v>
      </c>
      <c r="X80" s="805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84" t="n">
        <v>4680115882577</v>
      </c>
      <c r="E81" s="767" t="n"/>
      <c r="F81" s="801" t="n">
        <v>0.4</v>
      </c>
      <c r="G81" s="38" t="n">
        <v>8</v>
      </c>
      <c r="H81" s="801" t="n">
        <v>3.2</v>
      </c>
      <c r="I81" s="801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843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803" t="n"/>
      <c r="Q81" s="803" t="n"/>
      <c r="R81" s="803" t="n"/>
      <c r="S81" s="767" t="n"/>
      <c r="T81" s="40" t="inlineStr"/>
      <c r="U81" s="40" t="inlineStr"/>
      <c r="V81" s="41" t="inlineStr">
        <is>
          <t>кг</t>
        </is>
      </c>
      <c r="W81" s="804" t="n">
        <v>0</v>
      </c>
      <c r="X81" s="805">
        <f>IFERROR(IF(W81="",0,CEILING((W81/$H81),1)*$H81),"")</f>
        <v/>
      </c>
      <c r="Y81" s="42">
        <f>IFERROR(IF(X81=0,"",ROUNDUP(X81/H81,0)*0.00753),"")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84" t="n">
        <v>4680115882720</v>
      </c>
      <c r="E82" s="767" t="n"/>
      <c r="F82" s="801" t="n">
        <v>0.45</v>
      </c>
      <c r="G82" s="38" t="n">
        <v>10</v>
      </c>
      <c r="H82" s="801" t="n">
        <v>4.5</v>
      </c>
      <c r="I82" s="801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9" t="n"/>
      <c r="N82" s="38" t="n">
        <v>90</v>
      </c>
      <c r="O82" s="844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803" t="n"/>
      <c r="Q82" s="803" t="n"/>
      <c r="R82" s="803" t="n"/>
      <c r="S82" s="767" t="n"/>
      <c r="T82" s="40" t="inlineStr"/>
      <c r="U82" s="40" t="inlineStr"/>
      <c r="V82" s="41" t="inlineStr">
        <is>
          <t>кг</t>
        </is>
      </c>
      <c r="W82" s="804" t="n">
        <v>0</v>
      </c>
      <c r="X82" s="805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84" t="n">
        <v>4680115880269</v>
      </c>
      <c r="E83" s="767" t="n"/>
      <c r="F83" s="801" t="n">
        <v>0.375</v>
      </c>
      <c r="G83" s="38" t="n">
        <v>10</v>
      </c>
      <c r="H83" s="801" t="n">
        <v>3.75</v>
      </c>
      <c r="I83" s="801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4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803" t="n"/>
      <c r="Q83" s="803" t="n"/>
      <c r="R83" s="803" t="n"/>
      <c r="S83" s="767" t="n"/>
      <c r="T83" s="40" t="inlineStr"/>
      <c r="U83" s="40" t="inlineStr"/>
      <c r="V83" s="41" t="inlineStr">
        <is>
          <t>кг</t>
        </is>
      </c>
      <c r="W83" s="804" t="n">
        <v>0</v>
      </c>
      <c r="X83" s="805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84" t="n">
        <v>4680115880429</v>
      </c>
      <c r="E84" s="767" t="n"/>
      <c r="F84" s="801" t="n">
        <v>0.45</v>
      </c>
      <c r="G84" s="38" t="n">
        <v>10</v>
      </c>
      <c r="H84" s="801" t="n">
        <v>4.5</v>
      </c>
      <c r="I84" s="80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4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803" t="n"/>
      <c r="Q84" s="803" t="n"/>
      <c r="R84" s="803" t="n"/>
      <c r="S84" s="767" t="n"/>
      <c r="T84" s="40" t="inlineStr"/>
      <c r="U84" s="40" t="inlineStr"/>
      <c r="V84" s="41" t="inlineStr">
        <is>
          <t>кг</t>
        </is>
      </c>
      <c r="W84" s="804" t="n">
        <v>270</v>
      </c>
      <c r="X84" s="805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84" t="n">
        <v>4680115881457</v>
      </c>
      <c r="E85" s="767" t="n"/>
      <c r="F85" s="801" t="n">
        <v>0.75</v>
      </c>
      <c r="G85" s="38" t="n">
        <v>6</v>
      </c>
      <c r="H85" s="801" t="n">
        <v>4.5</v>
      </c>
      <c r="I85" s="801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4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803" t="n"/>
      <c r="Q85" s="803" t="n"/>
      <c r="R85" s="803" t="n"/>
      <c r="S85" s="767" t="n"/>
      <c r="T85" s="40" t="inlineStr"/>
      <c r="U85" s="40" t="inlineStr"/>
      <c r="V85" s="41" t="inlineStr">
        <is>
          <t>кг</t>
        </is>
      </c>
      <c r="W85" s="804" t="n">
        <v>0</v>
      </c>
      <c r="X85" s="805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>
      <c r="A86" s="393" t="n"/>
      <c r="B86" s="381" t="n"/>
      <c r="C86" s="381" t="n"/>
      <c r="D86" s="381" t="n"/>
      <c r="E86" s="381" t="n"/>
      <c r="F86" s="381" t="n"/>
      <c r="G86" s="381" t="n"/>
      <c r="H86" s="381" t="n"/>
      <c r="I86" s="381" t="n"/>
      <c r="J86" s="381" t="n"/>
      <c r="K86" s="381" t="n"/>
      <c r="L86" s="381" t="n"/>
      <c r="M86" s="381" t="n"/>
      <c r="N86" s="807" t="n"/>
      <c r="O86" s="808" t="inlineStr">
        <is>
          <t>Итого</t>
        </is>
      </c>
      <c r="P86" s="775" t="n"/>
      <c r="Q86" s="775" t="n"/>
      <c r="R86" s="775" t="n"/>
      <c r="S86" s="775" t="n"/>
      <c r="T86" s="775" t="n"/>
      <c r="U86" s="776" t="n"/>
      <c r="V86" s="43" t="inlineStr">
        <is>
          <t>кор</t>
        </is>
      </c>
      <c r="W86" s="80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80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80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810" t="n"/>
      <c r="AA86" s="810" t="n"/>
    </row>
    <row r="87">
      <c r="A87" s="381" t="n"/>
      <c r="B87" s="381" t="n"/>
      <c r="C87" s="381" t="n"/>
      <c r="D87" s="381" t="n"/>
      <c r="E87" s="381" t="n"/>
      <c r="F87" s="381" t="n"/>
      <c r="G87" s="381" t="n"/>
      <c r="H87" s="381" t="n"/>
      <c r="I87" s="381" t="n"/>
      <c r="J87" s="381" t="n"/>
      <c r="K87" s="381" t="n"/>
      <c r="L87" s="381" t="n"/>
      <c r="M87" s="381" t="n"/>
      <c r="N87" s="807" t="n"/>
      <c r="O87" s="808" t="inlineStr">
        <is>
          <t>Итого</t>
        </is>
      </c>
      <c r="P87" s="775" t="n"/>
      <c r="Q87" s="775" t="n"/>
      <c r="R87" s="775" t="n"/>
      <c r="S87" s="775" t="n"/>
      <c r="T87" s="775" t="n"/>
      <c r="U87" s="776" t="n"/>
      <c r="V87" s="43" t="inlineStr">
        <is>
          <t>кг</t>
        </is>
      </c>
      <c r="W87" s="809">
        <f>IFERROR(SUM(W65:W85),"0")</f>
        <v/>
      </c>
      <c r="X87" s="809">
        <f>IFERROR(SUM(X65:X85),"0")</f>
        <v/>
      </c>
      <c r="Y87" s="43" t="n"/>
      <c r="Z87" s="810" t="n"/>
      <c r="AA87" s="810" t="n"/>
    </row>
    <row r="88" ht="14.25" customHeight="1">
      <c r="A88" s="399" t="inlineStr">
        <is>
          <t>Ветчины</t>
        </is>
      </c>
      <c r="B88" s="381" t="n"/>
      <c r="C88" s="381" t="n"/>
      <c r="D88" s="381" t="n"/>
      <c r="E88" s="381" t="n"/>
      <c r="F88" s="381" t="n"/>
      <c r="G88" s="381" t="n"/>
      <c r="H88" s="381" t="n"/>
      <c r="I88" s="381" t="n"/>
      <c r="J88" s="381" t="n"/>
      <c r="K88" s="381" t="n"/>
      <c r="L88" s="381" t="n"/>
      <c r="M88" s="381" t="n"/>
      <c r="N88" s="381" t="n"/>
      <c r="O88" s="381" t="n"/>
      <c r="P88" s="381" t="n"/>
      <c r="Q88" s="381" t="n"/>
      <c r="R88" s="381" t="n"/>
      <c r="S88" s="381" t="n"/>
      <c r="T88" s="381" t="n"/>
      <c r="U88" s="381" t="n"/>
      <c r="V88" s="381" t="n"/>
      <c r="W88" s="381" t="n"/>
      <c r="X88" s="381" t="n"/>
      <c r="Y88" s="381" t="n"/>
      <c r="Z88" s="399" t="n"/>
      <c r="AA88" s="399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84" t="n">
        <v>4680115881488</v>
      </c>
      <c r="E89" s="767" t="n"/>
      <c r="F89" s="801" t="n">
        <v>1.35</v>
      </c>
      <c r="G89" s="38" t="n">
        <v>8</v>
      </c>
      <c r="H89" s="801" t="n">
        <v>10.8</v>
      </c>
      <c r="I89" s="801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9" t="n"/>
      <c r="N89" s="38" t="n">
        <v>50</v>
      </c>
      <c r="O89" s="848">
        <f>HYPERLINK("https://abi.ru/products/Охлажденные/Вязанка/Вязанка/Ветчины/P003236/","Ветчины Сливушка с индейкой Вязанка вес П/а Вязанка")</f>
        <v/>
      </c>
      <c r="P89" s="803" t="n"/>
      <c r="Q89" s="803" t="n"/>
      <c r="R89" s="803" t="n"/>
      <c r="S89" s="767" t="n"/>
      <c r="T89" s="40" t="inlineStr"/>
      <c r="U89" s="40" t="inlineStr"/>
      <c r="V89" s="41" t="inlineStr">
        <is>
          <t>кг</t>
        </is>
      </c>
      <c r="W89" s="804" t="n">
        <v>0</v>
      </c>
      <c r="X89" s="805">
        <f>IFERROR(IF(W89="",0,CEILING((W89/$H89),1)*$H89),"")</f>
        <v/>
      </c>
      <c r="Y89" s="42">
        <f>IFERROR(IF(X89=0,"",ROUNDUP(X89/H89,0)*0.02175),"")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84" t="n">
        <v>4680115882751</v>
      </c>
      <c r="E90" s="767" t="n"/>
      <c r="F90" s="801" t="n">
        <v>0.45</v>
      </c>
      <c r="G90" s="38" t="n">
        <v>10</v>
      </c>
      <c r="H90" s="801" t="n">
        <v>4.5</v>
      </c>
      <c r="I90" s="801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9" t="n"/>
      <c r="N90" s="38" t="n">
        <v>90</v>
      </c>
      <c r="O90" s="849">
        <f>HYPERLINK("https://abi.ru/products/Охлажденные/Вязанка/Вязанка/Ветчины/P003188/","Ветчины «Филейская #Живой_пар» ф/в 0,45 п/а ТМ «Вязанка»")</f>
        <v/>
      </c>
      <c r="P90" s="803" t="n"/>
      <c r="Q90" s="803" t="n"/>
      <c r="R90" s="803" t="n"/>
      <c r="S90" s="767" t="n"/>
      <c r="T90" s="40" t="inlineStr"/>
      <c r="U90" s="40" t="inlineStr"/>
      <c r="V90" s="41" t="inlineStr">
        <is>
          <t>кг</t>
        </is>
      </c>
      <c r="W90" s="804" t="n">
        <v>0</v>
      </c>
      <c r="X90" s="805">
        <f>IFERROR(IF(W90="",0,CEILING((W90/$H90),1)*$H90),"")</f>
        <v/>
      </c>
      <c r="Y90" s="42">
        <f>IFERROR(IF(X90=0,"",ROUNDUP(X90/H90,0)*0.00937),"")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84" t="n">
        <v>4680115882775</v>
      </c>
      <c r="E91" s="767" t="n"/>
      <c r="F91" s="801" t="n">
        <v>0.3</v>
      </c>
      <c r="G91" s="38" t="n">
        <v>8</v>
      </c>
      <c r="H91" s="801" t="n">
        <v>2.4</v>
      </c>
      <c r="I91" s="801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9" t="n"/>
      <c r="N91" s="38" t="n">
        <v>50</v>
      </c>
      <c r="O91" s="850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803" t="n"/>
      <c r="Q91" s="803" t="n"/>
      <c r="R91" s="803" t="n"/>
      <c r="S91" s="767" t="n"/>
      <c r="T91" s="40" t="inlineStr"/>
      <c r="U91" s="40" t="inlineStr"/>
      <c r="V91" s="41" t="inlineStr">
        <is>
          <t>кг</t>
        </is>
      </c>
      <c r="W91" s="804" t="n">
        <v>0</v>
      </c>
      <c r="X91" s="805">
        <f>IFERROR(IF(W91="",0,CEILING((W91/$H91),1)*$H91),"")</f>
        <v/>
      </c>
      <c r="Y91" s="42">
        <f>IFERROR(IF(X91=0,"",ROUNDUP(X91/H91,0)*0.00502),"")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84" t="n">
        <v>4680115880658</v>
      </c>
      <c r="E92" s="767" t="n"/>
      <c r="F92" s="801" t="n">
        <v>0.4</v>
      </c>
      <c r="G92" s="38" t="n">
        <v>6</v>
      </c>
      <c r="H92" s="801" t="n">
        <v>2.4</v>
      </c>
      <c r="I92" s="801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50</v>
      </c>
      <c r="O92" s="851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803" t="n"/>
      <c r="Q92" s="803" t="n"/>
      <c r="R92" s="803" t="n"/>
      <c r="S92" s="767" t="n"/>
      <c r="T92" s="40" t="inlineStr"/>
      <c r="U92" s="40" t="inlineStr"/>
      <c r="V92" s="41" t="inlineStr">
        <is>
          <t>кг</t>
        </is>
      </c>
      <c r="W92" s="804" t="n">
        <v>0</v>
      </c>
      <c r="X92" s="805">
        <f>IFERROR(IF(W92="",0,CEILING((W92/$H92),1)*$H92),"")</f>
        <v/>
      </c>
      <c r="Y92" s="42">
        <f>IFERROR(IF(X92=0,"",ROUNDUP(X92/H92,0)*0.00753),"")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>
      <c r="A93" s="393" t="n"/>
      <c r="B93" s="381" t="n"/>
      <c r="C93" s="381" t="n"/>
      <c r="D93" s="381" t="n"/>
      <c r="E93" s="381" t="n"/>
      <c r="F93" s="381" t="n"/>
      <c r="G93" s="381" t="n"/>
      <c r="H93" s="381" t="n"/>
      <c r="I93" s="381" t="n"/>
      <c r="J93" s="381" t="n"/>
      <c r="K93" s="381" t="n"/>
      <c r="L93" s="381" t="n"/>
      <c r="M93" s="381" t="n"/>
      <c r="N93" s="807" t="n"/>
      <c r="O93" s="808" t="inlineStr">
        <is>
          <t>Итого</t>
        </is>
      </c>
      <c r="P93" s="775" t="n"/>
      <c r="Q93" s="775" t="n"/>
      <c r="R93" s="775" t="n"/>
      <c r="S93" s="775" t="n"/>
      <c r="T93" s="775" t="n"/>
      <c r="U93" s="776" t="n"/>
      <c r="V93" s="43" t="inlineStr">
        <is>
          <t>кор</t>
        </is>
      </c>
      <c r="W93" s="809">
        <f>IFERROR(W89/H89,"0")+IFERROR(W90/H90,"0")+IFERROR(W91/H91,"0")+IFERROR(W92/H92,"0")</f>
        <v/>
      </c>
      <c r="X93" s="809">
        <f>IFERROR(X89/H89,"0")+IFERROR(X90/H90,"0")+IFERROR(X91/H91,"0")+IFERROR(X92/H92,"0")</f>
        <v/>
      </c>
      <c r="Y93" s="809">
        <f>IFERROR(IF(Y89="",0,Y89),"0")+IFERROR(IF(Y90="",0,Y90),"0")+IFERROR(IF(Y91="",0,Y91),"0")+IFERROR(IF(Y92="",0,Y92),"0")</f>
        <v/>
      </c>
      <c r="Z93" s="810" t="n"/>
      <c r="AA93" s="810" t="n"/>
    </row>
    <row r="94">
      <c r="A94" s="381" t="n"/>
      <c r="B94" s="381" t="n"/>
      <c r="C94" s="381" t="n"/>
      <c r="D94" s="381" t="n"/>
      <c r="E94" s="381" t="n"/>
      <c r="F94" s="381" t="n"/>
      <c r="G94" s="381" t="n"/>
      <c r="H94" s="381" t="n"/>
      <c r="I94" s="381" t="n"/>
      <c r="J94" s="381" t="n"/>
      <c r="K94" s="381" t="n"/>
      <c r="L94" s="381" t="n"/>
      <c r="M94" s="381" t="n"/>
      <c r="N94" s="807" t="n"/>
      <c r="O94" s="808" t="inlineStr">
        <is>
          <t>Итого</t>
        </is>
      </c>
      <c r="P94" s="775" t="n"/>
      <c r="Q94" s="775" t="n"/>
      <c r="R94" s="775" t="n"/>
      <c r="S94" s="775" t="n"/>
      <c r="T94" s="775" t="n"/>
      <c r="U94" s="776" t="n"/>
      <c r="V94" s="43" t="inlineStr">
        <is>
          <t>кг</t>
        </is>
      </c>
      <c r="W94" s="809">
        <f>IFERROR(SUM(W89:W92),"0")</f>
        <v/>
      </c>
      <c r="X94" s="809">
        <f>IFERROR(SUM(X89:X92),"0")</f>
        <v/>
      </c>
      <c r="Y94" s="43" t="n"/>
      <c r="Z94" s="810" t="n"/>
      <c r="AA94" s="810" t="n"/>
    </row>
    <row r="95" ht="14.25" customHeight="1">
      <c r="A95" s="399" t="inlineStr">
        <is>
          <t>Копченые колбасы</t>
        </is>
      </c>
      <c r="B95" s="381" t="n"/>
      <c r="C95" s="381" t="n"/>
      <c r="D95" s="381" t="n"/>
      <c r="E95" s="381" t="n"/>
      <c r="F95" s="381" t="n"/>
      <c r="G95" s="381" t="n"/>
      <c r="H95" s="381" t="n"/>
      <c r="I95" s="381" t="n"/>
      <c r="J95" s="381" t="n"/>
      <c r="K95" s="381" t="n"/>
      <c r="L95" s="381" t="n"/>
      <c r="M95" s="381" t="n"/>
      <c r="N95" s="381" t="n"/>
      <c r="O95" s="381" t="n"/>
      <c r="P95" s="381" t="n"/>
      <c r="Q95" s="381" t="n"/>
      <c r="R95" s="381" t="n"/>
      <c r="S95" s="381" t="n"/>
      <c r="T95" s="381" t="n"/>
      <c r="U95" s="381" t="n"/>
      <c r="V95" s="381" t="n"/>
      <c r="W95" s="381" t="n"/>
      <c r="X95" s="381" t="n"/>
      <c r="Y95" s="381" t="n"/>
      <c r="Z95" s="399" t="n"/>
      <c r="AA95" s="399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84" t="n">
        <v>4607091387667</v>
      </c>
      <c r="E96" s="767" t="n"/>
      <c r="F96" s="801" t="n">
        <v>0.9</v>
      </c>
      <c r="G96" s="38" t="n">
        <v>10</v>
      </c>
      <c r="H96" s="801" t="n">
        <v>9</v>
      </c>
      <c r="I96" s="801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9" t="n"/>
      <c r="N96" s="38" t="n">
        <v>40</v>
      </c>
      <c r="O96" s="85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803" t="n"/>
      <c r="Q96" s="803" t="n"/>
      <c r="R96" s="803" t="n"/>
      <c r="S96" s="767" t="n"/>
      <c r="T96" s="40" t="inlineStr"/>
      <c r="U96" s="40" t="inlineStr"/>
      <c r="V96" s="41" t="inlineStr">
        <is>
          <t>кг</t>
        </is>
      </c>
      <c r="W96" s="804" t="n">
        <v>0</v>
      </c>
      <c r="X96" s="805">
        <f>IFERROR(IF(W96="",0,CEILING((W96/$H96),1)*$H96),"")</f>
        <v/>
      </c>
      <c r="Y96" s="42">
        <f>IFERROR(IF(X96=0,"",ROUNDUP(X96/H96,0)*0.02175),"")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84" t="n">
        <v>4607091387636</v>
      </c>
      <c r="E97" s="767" t="n"/>
      <c r="F97" s="801" t="n">
        <v>0.7</v>
      </c>
      <c r="G97" s="38" t="n">
        <v>6</v>
      </c>
      <c r="H97" s="801" t="n">
        <v>4.2</v>
      </c>
      <c r="I97" s="801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9" t="n"/>
      <c r="N97" s="38" t="n">
        <v>40</v>
      </c>
      <c r="O97" s="85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803" t="n"/>
      <c r="Q97" s="803" t="n"/>
      <c r="R97" s="803" t="n"/>
      <c r="S97" s="767" t="n"/>
      <c r="T97" s="40" t="inlineStr"/>
      <c r="U97" s="40" t="inlineStr"/>
      <c r="V97" s="41" t="inlineStr">
        <is>
          <t>кг</t>
        </is>
      </c>
      <c r="W97" s="804" t="n">
        <v>0</v>
      </c>
      <c r="X97" s="805">
        <f>IFERROR(IF(W97="",0,CEILING((W97/$H97),1)*$H97),"")</f>
        <v/>
      </c>
      <c r="Y97" s="42">
        <f>IFERROR(IF(X97=0,"",ROUNDUP(X97/H97,0)*0.00937),"")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4" t="n">
        <v>4607091382426</v>
      </c>
      <c r="E98" s="767" t="n"/>
      <c r="F98" s="801" t="n">
        <v>0.9</v>
      </c>
      <c r="G98" s="38" t="n">
        <v>10</v>
      </c>
      <c r="H98" s="801" t="n">
        <v>9</v>
      </c>
      <c r="I98" s="801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9" t="n"/>
      <c r="N98" s="38" t="n">
        <v>40</v>
      </c>
      <c r="O98" s="85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803" t="n"/>
      <c r="Q98" s="803" t="n"/>
      <c r="R98" s="803" t="n"/>
      <c r="S98" s="767" t="n"/>
      <c r="T98" s="40" t="inlineStr"/>
      <c r="U98" s="40" t="inlineStr"/>
      <c r="V98" s="41" t="inlineStr">
        <is>
          <t>кг</t>
        </is>
      </c>
      <c r="W98" s="804" t="n">
        <v>0</v>
      </c>
      <c r="X98" s="805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4" t="n">
        <v>4607091386547</v>
      </c>
      <c r="E99" s="767" t="n"/>
      <c r="F99" s="801" t="n">
        <v>0.35</v>
      </c>
      <c r="G99" s="38" t="n">
        <v>8</v>
      </c>
      <c r="H99" s="801" t="n">
        <v>2.8</v>
      </c>
      <c r="I99" s="801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5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803" t="n"/>
      <c r="Q99" s="803" t="n"/>
      <c r="R99" s="803" t="n"/>
      <c r="S99" s="767" t="n"/>
      <c r="T99" s="40" t="inlineStr"/>
      <c r="U99" s="40" t="inlineStr"/>
      <c r="V99" s="41" t="inlineStr">
        <is>
          <t>кг</t>
        </is>
      </c>
      <c r="W99" s="804" t="n">
        <v>0</v>
      </c>
      <c r="X99" s="805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4" t="n">
        <v>4607091382464</v>
      </c>
      <c r="E100" s="767" t="n"/>
      <c r="F100" s="801" t="n">
        <v>0.35</v>
      </c>
      <c r="G100" s="38" t="n">
        <v>8</v>
      </c>
      <c r="H100" s="801" t="n">
        <v>2.8</v>
      </c>
      <c r="I100" s="80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5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0" s="803" t="n"/>
      <c r="Q100" s="803" t="n"/>
      <c r="R100" s="803" t="n"/>
      <c r="S100" s="767" t="n"/>
      <c r="T100" s="40" t="inlineStr"/>
      <c r="U100" s="40" t="inlineStr"/>
      <c r="V100" s="41" t="inlineStr">
        <is>
          <t>кг</t>
        </is>
      </c>
      <c r="W100" s="804" t="n">
        <v>0</v>
      </c>
      <c r="X100" s="805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4" t="n">
        <v>4680115883444</v>
      </c>
      <c r="E101" s="767" t="n"/>
      <c r="F101" s="801" t="n">
        <v>0.35</v>
      </c>
      <c r="G101" s="38" t="n">
        <v>8</v>
      </c>
      <c r="H101" s="801" t="n">
        <v>2.8</v>
      </c>
      <c r="I101" s="80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5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1" s="803" t="n"/>
      <c r="Q101" s="803" t="n"/>
      <c r="R101" s="803" t="n"/>
      <c r="S101" s="767" t="n"/>
      <c r="T101" s="40" t="inlineStr"/>
      <c r="U101" s="40" t="inlineStr"/>
      <c r="V101" s="41" t="inlineStr">
        <is>
          <t>кг</t>
        </is>
      </c>
      <c r="W101" s="804" t="n">
        <v>0</v>
      </c>
      <c r="X101" s="805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4" t="n">
        <v>4680115883444</v>
      </c>
      <c r="E102" s="767" t="n"/>
      <c r="F102" s="801" t="n">
        <v>0.35</v>
      </c>
      <c r="G102" s="38" t="n">
        <v>8</v>
      </c>
      <c r="H102" s="801" t="n">
        <v>2.8</v>
      </c>
      <c r="I102" s="80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5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2" s="803" t="n"/>
      <c r="Q102" s="803" t="n"/>
      <c r="R102" s="803" t="n"/>
      <c r="S102" s="767" t="n"/>
      <c r="T102" s="40" t="inlineStr"/>
      <c r="U102" s="40" t="inlineStr"/>
      <c r="V102" s="41" t="inlineStr">
        <is>
          <t>кг</t>
        </is>
      </c>
      <c r="W102" s="804" t="n">
        <v>56</v>
      </c>
      <c r="X102" s="805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>
      <c r="A103" s="393" t="n"/>
      <c r="B103" s="381" t="n"/>
      <c r="C103" s="381" t="n"/>
      <c r="D103" s="381" t="n"/>
      <c r="E103" s="381" t="n"/>
      <c r="F103" s="381" t="n"/>
      <c r="G103" s="381" t="n"/>
      <c r="H103" s="381" t="n"/>
      <c r="I103" s="381" t="n"/>
      <c r="J103" s="381" t="n"/>
      <c r="K103" s="381" t="n"/>
      <c r="L103" s="381" t="n"/>
      <c r="M103" s="381" t="n"/>
      <c r="N103" s="807" t="n"/>
      <c r="O103" s="808" t="inlineStr">
        <is>
          <t>Итого</t>
        </is>
      </c>
      <c r="P103" s="775" t="n"/>
      <c r="Q103" s="775" t="n"/>
      <c r="R103" s="775" t="n"/>
      <c r="S103" s="775" t="n"/>
      <c r="T103" s="775" t="n"/>
      <c r="U103" s="776" t="n"/>
      <c r="V103" s="43" t="inlineStr">
        <is>
          <t>кор</t>
        </is>
      </c>
      <c r="W103" s="809">
        <f>IFERROR(W96/H96,"0")+IFERROR(W97/H97,"0")+IFERROR(W98/H98,"0")+IFERROR(W99/H99,"0")+IFERROR(W100/H100,"0")+IFERROR(W101/H101,"0")+IFERROR(W102/H102,"0")</f>
        <v/>
      </c>
      <c r="X103" s="809">
        <f>IFERROR(X96/H96,"0")+IFERROR(X97/H97,"0")+IFERROR(X98/H98,"0")+IFERROR(X99/H99,"0")+IFERROR(X100/H100,"0")+IFERROR(X101/H101,"0")+IFERROR(X102/H102,"0")</f>
        <v/>
      </c>
      <c r="Y103" s="809">
        <f>IFERROR(IF(Y96="",0,Y96),"0")+IFERROR(IF(Y97="",0,Y97),"0")+IFERROR(IF(Y98="",0,Y98),"0")+IFERROR(IF(Y99="",0,Y99),"0")+IFERROR(IF(Y100="",0,Y100),"0")+IFERROR(IF(Y101="",0,Y101),"0")+IFERROR(IF(Y102="",0,Y102),"0")</f>
        <v/>
      </c>
      <c r="Z103" s="810" t="n"/>
      <c r="AA103" s="810" t="n"/>
    </row>
    <row r="104">
      <c r="A104" s="381" t="n"/>
      <c r="B104" s="381" t="n"/>
      <c r="C104" s="381" t="n"/>
      <c r="D104" s="381" t="n"/>
      <c r="E104" s="381" t="n"/>
      <c r="F104" s="381" t="n"/>
      <c r="G104" s="381" t="n"/>
      <c r="H104" s="381" t="n"/>
      <c r="I104" s="381" t="n"/>
      <c r="J104" s="381" t="n"/>
      <c r="K104" s="381" t="n"/>
      <c r="L104" s="381" t="n"/>
      <c r="M104" s="381" t="n"/>
      <c r="N104" s="807" t="n"/>
      <c r="O104" s="808" t="inlineStr">
        <is>
          <t>Итого</t>
        </is>
      </c>
      <c r="P104" s="775" t="n"/>
      <c r="Q104" s="775" t="n"/>
      <c r="R104" s="775" t="n"/>
      <c r="S104" s="775" t="n"/>
      <c r="T104" s="775" t="n"/>
      <c r="U104" s="776" t="n"/>
      <c r="V104" s="43" t="inlineStr">
        <is>
          <t>кг</t>
        </is>
      </c>
      <c r="W104" s="809">
        <f>IFERROR(SUM(W96:W102),"0")</f>
        <v/>
      </c>
      <c r="X104" s="809">
        <f>IFERROR(SUM(X96:X102),"0")</f>
        <v/>
      </c>
      <c r="Y104" s="43" t="n"/>
      <c r="Z104" s="810" t="n"/>
      <c r="AA104" s="810" t="n"/>
    </row>
    <row r="105" ht="14.25" customHeight="1">
      <c r="A105" s="399" t="inlineStr">
        <is>
          <t>Сосиски</t>
        </is>
      </c>
      <c r="B105" s="381" t="n"/>
      <c r="C105" s="381" t="n"/>
      <c r="D105" s="381" t="n"/>
      <c r="E105" s="381" t="n"/>
      <c r="F105" s="381" t="n"/>
      <c r="G105" s="381" t="n"/>
      <c r="H105" s="381" t="n"/>
      <c r="I105" s="381" t="n"/>
      <c r="J105" s="381" t="n"/>
      <c r="K105" s="381" t="n"/>
      <c r="L105" s="381" t="n"/>
      <c r="M105" s="381" t="n"/>
      <c r="N105" s="381" t="n"/>
      <c r="O105" s="381" t="n"/>
      <c r="P105" s="381" t="n"/>
      <c r="Q105" s="381" t="n"/>
      <c r="R105" s="381" t="n"/>
      <c r="S105" s="381" t="n"/>
      <c r="T105" s="381" t="n"/>
      <c r="U105" s="381" t="n"/>
      <c r="V105" s="381" t="n"/>
      <c r="W105" s="381" t="n"/>
      <c r="X105" s="381" t="n"/>
      <c r="Y105" s="381" t="n"/>
      <c r="Z105" s="399" t="n"/>
      <c r="AA105" s="399" t="n"/>
    </row>
    <row r="106" ht="16.5" customHeight="1">
      <c r="A106" s="64" t="inlineStr">
        <is>
          <t>SU003313</t>
        </is>
      </c>
      <c r="B106" s="64" t="inlineStr">
        <is>
          <t>P004017</t>
        </is>
      </c>
      <c r="C106" s="37" t="n">
        <v>4301051693</v>
      </c>
      <c r="D106" s="384" t="n">
        <v>4680115884915</v>
      </c>
      <c r="E106" s="767" t="n"/>
      <c r="F106" s="801" t="n">
        <v>0.3</v>
      </c>
      <c r="G106" s="38" t="n">
        <v>6</v>
      </c>
      <c r="H106" s="801" t="n">
        <v>1.8</v>
      </c>
      <c r="I106" s="801" t="n">
        <v>2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9" t="n"/>
      <c r="N106" s="38" t="n">
        <v>30</v>
      </c>
      <c r="O106" s="859" t="inlineStr">
        <is>
          <t>Сосиски «Молочные ГОСТ» ф/в 0,3 ц/о ТМ «Вязанка»</t>
        </is>
      </c>
      <c r="P106" s="803" t="n"/>
      <c r="Q106" s="803" t="n"/>
      <c r="R106" s="803" t="n"/>
      <c r="S106" s="767" t="n"/>
      <c r="T106" s="40" t="inlineStr"/>
      <c r="U106" s="40" t="inlineStr"/>
      <c r="V106" s="41" t="inlineStr">
        <is>
          <t>кг</t>
        </is>
      </c>
      <c r="W106" s="804" t="n">
        <v>0</v>
      </c>
      <c r="X106" s="805">
        <f>IFERROR(IF(W106="",0,CEILING((W106/$H106),1)*$H106),"")</f>
        <v/>
      </c>
      <c r="Y106" s="42">
        <f>IFERROR(IF(X106=0,"",ROUNDUP(X106/H106,0)*0.00753),"")</f>
        <v/>
      </c>
      <c r="Z106" s="69" t="inlineStr"/>
      <c r="AA106" s="70" t="inlineStr">
        <is>
          <t>Новинка</t>
        </is>
      </c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16.5" customHeight="1">
      <c r="A107" s="64" t="inlineStr">
        <is>
          <t>SU002825</t>
        </is>
      </c>
      <c r="B107" s="64" t="inlineStr">
        <is>
          <t>P003232</t>
        </is>
      </c>
      <c r="C107" s="37" t="n">
        <v>4301051395</v>
      </c>
      <c r="D107" s="384" t="n">
        <v>4680115884311</v>
      </c>
      <c r="E107" s="767" t="n"/>
      <c r="F107" s="801" t="n">
        <v>0.3</v>
      </c>
      <c r="G107" s="38" t="n">
        <v>6</v>
      </c>
      <c r="H107" s="801" t="n">
        <v>1.8</v>
      </c>
      <c r="I107" s="801" t="n">
        <v>2.066</v>
      </c>
      <c r="J107" s="38" t="n">
        <v>156</v>
      </c>
      <c r="K107" s="38" t="inlineStr">
        <is>
          <t>12</t>
        </is>
      </c>
      <c r="L107" s="39" t="inlineStr">
        <is>
          <t>СК2</t>
        </is>
      </c>
      <c r="M107" s="39" t="n"/>
      <c r="N107" s="38" t="n">
        <v>30</v>
      </c>
      <c r="O107" s="860" t="inlineStr">
        <is>
          <t>Сосиски «Филейские» Фикс.вес 0,3 ц/о мгс ТМ «Вязанка»</t>
        </is>
      </c>
      <c r="P107" s="803" t="n"/>
      <c r="Q107" s="803" t="n"/>
      <c r="R107" s="803" t="n"/>
      <c r="S107" s="767" t="n"/>
      <c r="T107" s="40" t="inlineStr"/>
      <c r="U107" s="40" t="inlineStr"/>
      <c r="V107" s="41" t="inlineStr">
        <is>
          <t>кг</t>
        </is>
      </c>
      <c r="W107" s="804" t="n">
        <v>0</v>
      </c>
      <c r="X107" s="805">
        <f>IFERROR(IF(W107="",0,CEILING((W107/$H107),1)*$H107),"")</f>
        <v/>
      </c>
      <c r="Y107" s="42">
        <f>IFERROR(IF(X107=0,"",ROUNDUP(X107/H107,0)*0.00753),"")</f>
        <v/>
      </c>
      <c r="Z107" s="69" t="inlineStr"/>
      <c r="AA107" s="70" t="inlineStr">
        <is>
          <t>Новинка</t>
        </is>
      </c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4" t="n">
        <v>4607091386967</v>
      </c>
      <c r="E108" s="767" t="n"/>
      <c r="F108" s="801" t="n">
        <v>1.35</v>
      </c>
      <c r="G108" s="38" t="n">
        <v>6</v>
      </c>
      <c r="H108" s="801" t="n">
        <v>8.1</v>
      </c>
      <c r="I108" s="801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61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803" t="n"/>
      <c r="Q108" s="803" t="n"/>
      <c r="R108" s="803" t="n"/>
      <c r="S108" s="767" t="n"/>
      <c r="T108" s="40" t="inlineStr"/>
      <c r="U108" s="40" t="inlineStr"/>
      <c r="V108" s="41" t="inlineStr">
        <is>
          <t>кг</t>
        </is>
      </c>
      <c r="W108" s="804" t="n">
        <v>0</v>
      </c>
      <c r="X108" s="805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4" t="n">
        <v>4607091386967</v>
      </c>
      <c r="E109" s="767" t="n"/>
      <c r="F109" s="801" t="n">
        <v>1.4</v>
      </c>
      <c r="G109" s="38" t="n">
        <v>6</v>
      </c>
      <c r="H109" s="801" t="n">
        <v>8.4</v>
      </c>
      <c r="I109" s="801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45</v>
      </c>
      <c r="O109" s="862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9" s="803" t="n"/>
      <c r="Q109" s="803" t="n"/>
      <c r="R109" s="803" t="n"/>
      <c r="S109" s="767" t="n"/>
      <c r="T109" s="40" t="inlineStr"/>
      <c r="U109" s="40" t="inlineStr"/>
      <c r="V109" s="41" t="inlineStr">
        <is>
          <t>кг</t>
        </is>
      </c>
      <c r="W109" s="804" t="n">
        <v>100</v>
      </c>
      <c r="X109" s="805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4" t="n">
        <v>4607091385304</v>
      </c>
      <c r="E110" s="767" t="n"/>
      <c r="F110" s="801" t="n">
        <v>1.4</v>
      </c>
      <c r="G110" s="38" t="n">
        <v>6</v>
      </c>
      <c r="H110" s="801" t="n">
        <v>8.4</v>
      </c>
      <c r="I110" s="801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9" t="n"/>
      <c r="N110" s="38" t="n">
        <v>40</v>
      </c>
      <c r="O110" s="863">
        <f>HYPERLINK("https://abi.ru/products/Охлажденные/Вязанка/Вязанка/Сосиски/P003904/","Сосиски «Рубленые» Весовые п/а мгс УВВ ТМ «Вязанка»")</f>
        <v/>
      </c>
      <c r="P110" s="803" t="n"/>
      <c r="Q110" s="803" t="n"/>
      <c r="R110" s="803" t="n"/>
      <c r="S110" s="767" t="n"/>
      <c r="T110" s="40" t="inlineStr"/>
      <c r="U110" s="40" t="inlineStr"/>
      <c r="V110" s="41" t="inlineStr">
        <is>
          <t>кг</t>
        </is>
      </c>
      <c r="W110" s="804" t="n">
        <v>20</v>
      </c>
      <c r="X110" s="805">
        <f>IFERROR(IF(W110="",0,CEILING((W110/$H110),1)*$H110),"")</f>
        <v/>
      </c>
      <c r="Y110" s="42">
        <f>IFERROR(IF(X110=0,"",ROUNDUP(X110/H110,0)*0.02175),"")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SU001527</t>
        </is>
      </c>
      <c r="B111" s="64" t="inlineStr">
        <is>
          <t>P003992</t>
        </is>
      </c>
      <c r="C111" s="37" t="n">
        <v>4301051648</v>
      </c>
      <c r="D111" s="384" t="n">
        <v>4607091386264</v>
      </c>
      <c r="E111" s="767" t="n"/>
      <c r="F111" s="801" t="n">
        <v>0.5</v>
      </c>
      <c r="G111" s="38" t="n">
        <v>6</v>
      </c>
      <c r="H111" s="801" t="n">
        <v>3</v>
      </c>
      <c r="I111" s="801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9" t="n"/>
      <c r="N111" s="38" t="n">
        <v>31</v>
      </c>
      <c r="O111" s="864">
        <f>HYPERLINK("https://abi.ru/products/Охлажденные/Вязанка/Вязанка/Сосиски/P003992/","Сосиски «Венские» Фикс.вес 0,5 п/а мгс ТМ «Вязанка»")</f>
        <v/>
      </c>
      <c r="P111" s="803" t="n"/>
      <c r="Q111" s="803" t="n"/>
      <c r="R111" s="803" t="n"/>
      <c r="S111" s="767" t="n"/>
      <c r="T111" s="40" t="inlineStr"/>
      <c r="U111" s="40" t="inlineStr"/>
      <c r="V111" s="41" t="inlineStr">
        <is>
          <t>кг</t>
        </is>
      </c>
      <c r="W111" s="804" t="n">
        <v>0</v>
      </c>
      <c r="X111" s="805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4" t="n">
        <v>4680115882584</v>
      </c>
      <c r="E112" s="767" t="n"/>
      <c r="F112" s="801" t="n">
        <v>0.33</v>
      </c>
      <c r="G112" s="38" t="n">
        <v>8</v>
      </c>
      <c r="H112" s="801" t="n">
        <v>2.64</v>
      </c>
      <c r="I112" s="801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65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2" s="803" t="n"/>
      <c r="Q112" s="803" t="n"/>
      <c r="R112" s="803" t="n"/>
      <c r="S112" s="767" t="n"/>
      <c r="T112" s="40" t="inlineStr"/>
      <c r="U112" s="40" t="inlineStr"/>
      <c r="V112" s="41" t="inlineStr">
        <is>
          <t>кг</t>
        </is>
      </c>
      <c r="W112" s="804" t="n">
        <v>0</v>
      </c>
      <c r="X112" s="805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4" t="n">
        <v>4680115882584</v>
      </c>
      <c r="E113" s="767" t="n"/>
      <c r="F113" s="801" t="n">
        <v>0.33</v>
      </c>
      <c r="G113" s="38" t="n">
        <v>8</v>
      </c>
      <c r="H113" s="801" t="n">
        <v>2.64</v>
      </c>
      <c r="I113" s="801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9" t="n"/>
      <c r="N113" s="38" t="n">
        <v>60</v>
      </c>
      <c r="O113" s="866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3" s="803" t="n"/>
      <c r="Q113" s="803" t="n"/>
      <c r="R113" s="803" t="n"/>
      <c r="S113" s="767" t="n"/>
      <c r="T113" s="40" t="inlineStr"/>
      <c r="U113" s="40" t="inlineStr"/>
      <c r="V113" s="41" t="inlineStr">
        <is>
          <t>кг</t>
        </is>
      </c>
      <c r="W113" s="804" t="n">
        <v>82.5</v>
      </c>
      <c r="X113" s="805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4" t="n">
        <v>4607091385731</v>
      </c>
      <c r="E114" s="767" t="n"/>
      <c r="F114" s="801" t="n">
        <v>0.45</v>
      </c>
      <c r="G114" s="38" t="n">
        <v>6</v>
      </c>
      <c r="H114" s="801" t="n">
        <v>2.7</v>
      </c>
      <c r="I114" s="801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67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4" s="803" t="n"/>
      <c r="Q114" s="803" t="n"/>
      <c r="R114" s="803" t="n"/>
      <c r="S114" s="767" t="n"/>
      <c r="T114" s="40" t="inlineStr"/>
      <c r="U114" s="40" t="inlineStr"/>
      <c r="V114" s="41" t="inlineStr">
        <is>
          <t>кг</t>
        </is>
      </c>
      <c r="W114" s="804" t="n">
        <v>315</v>
      </c>
      <c r="X114" s="805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4" t="n">
        <v>4680115880214</v>
      </c>
      <c r="E115" s="767" t="n"/>
      <c r="F115" s="801" t="n">
        <v>0.45</v>
      </c>
      <c r="G115" s="38" t="n">
        <v>6</v>
      </c>
      <c r="H115" s="801" t="n">
        <v>2.7</v>
      </c>
      <c r="I115" s="801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68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5" s="803" t="n"/>
      <c r="Q115" s="803" t="n"/>
      <c r="R115" s="803" t="n"/>
      <c r="S115" s="767" t="n"/>
      <c r="T115" s="40" t="inlineStr"/>
      <c r="U115" s="40" t="inlineStr"/>
      <c r="V115" s="41" t="inlineStr">
        <is>
          <t>кг</t>
        </is>
      </c>
      <c r="W115" s="804" t="n">
        <v>0</v>
      </c>
      <c r="X115" s="805">
        <f>IFERROR(IF(W115="",0,CEILING((W115/$H115),1)*$H115),"")</f>
        <v/>
      </c>
      <c r="Y115" s="42">
        <f>IFERROR(IF(X115=0,"",ROUNDUP(X115/H115,0)*0.00937),"")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4" t="n">
        <v>4680115880894</v>
      </c>
      <c r="E116" s="767" t="n"/>
      <c r="F116" s="801" t="n">
        <v>0.33</v>
      </c>
      <c r="G116" s="38" t="n">
        <v>6</v>
      </c>
      <c r="H116" s="801" t="n">
        <v>1.98</v>
      </c>
      <c r="I116" s="801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9" t="n"/>
      <c r="N116" s="38" t="n">
        <v>45</v>
      </c>
      <c r="O116" s="869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6" s="803" t="n"/>
      <c r="Q116" s="803" t="n"/>
      <c r="R116" s="803" t="n"/>
      <c r="S116" s="767" t="n"/>
      <c r="T116" s="40" t="inlineStr"/>
      <c r="U116" s="40" t="inlineStr"/>
      <c r="V116" s="41" t="inlineStr">
        <is>
          <t>кг</t>
        </is>
      </c>
      <c r="W116" s="804" t="n">
        <v>0</v>
      </c>
      <c r="X116" s="805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4" t="n">
        <v>4607091385427</v>
      </c>
      <c r="E117" s="767" t="n"/>
      <c r="F117" s="801" t="n">
        <v>0.5</v>
      </c>
      <c r="G117" s="38" t="n">
        <v>6</v>
      </c>
      <c r="H117" s="801" t="n">
        <v>3</v>
      </c>
      <c r="I117" s="801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40</v>
      </c>
      <c r="O117" s="870">
        <f>HYPERLINK("https://abi.ru/products/Охлажденные/Вязанка/Вязанка/Сосиски/P003030/","Сосиски Рубленые Вязанка Фикс.вес 0,5 п/а мгс Вязанка")</f>
        <v/>
      </c>
      <c r="P117" s="803" t="n"/>
      <c r="Q117" s="803" t="n"/>
      <c r="R117" s="803" t="n"/>
      <c r="S117" s="767" t="n"/>
      <c r="T117" s="40" t="inlineStr"/>
      <c r="U117" s="40" t="inlineStr"/>
      <c r="V117" s="41" t="inlineStr">
        <is>
          <t>кг</t>
        </is>
      </c>
      <c r="W117" s="804" t="n">
        <v>20</v>
      </c>
      <c r="X117" s="805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4" t="n">
        <v>4680115882645</v>
      </c>
      <c r="E118" s="767" t="n"/>
      <c r="F118" s="801" t="n">
        <v>0.3</v>
      </c>
      <c r="G118" s="38" t="n">
        <v>6</v>
      </c>
      <c r="H118" s="801" t="n">
        <v>1.8</v>
      </c>
      <c r="I118" s="801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71">
        <f>HYPERLINK("https://abi.ru/products/Охлажденные/Вязанка/Вязанка/Сосиски/P003464/","Сосиски «Сливушки с сыром» ф/в 0,3 п/а ТМ «Вязанка»")</f>
        <v/>
      </c>
      <c r="P118" s="803" t="n"/>
      <c r="Q118" s="803" t="n"/>
      <c r="R118" s="803" t="n"/>
      <c r="S118" s="767" t="n"/>
      <c r="T118" s="40" t="inlineStr"/>
      <c r="U118" s="40" t="inlineStr"/>
      <c r="V118" s="41" t="inlineStr">
        <is>
          <t>кг</t>
        </is>
      </c>
      <c r="W118" s="804" t="n">
        <v>0</v>
      </c>
      <c r="X118" s="805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SU003288</t>
        </is>
      </c>
      <c r="B119" s="64" t="inlineStr">
        <is>
          <t>P003983</t>
        </is>
      </c>
      <c r="C119" s="37" t="n">
        <v>4301051641</v>
      </c>
      <c r="D119" s="384" t="n">
        <v>4680115884403</v>
      </c>
      <c r="E119" s="767" t="n"/>
      <c r="F119" s="801" t="n">
        <v>0.3</v>
      </c>
      <c r="G119" s="38" t="n">
        <v>6</v>
      </c>
      <c r="H119" s="801" t="n">
        <v>1.8</v>
      </c>
      <c r="I119" s="801" t="n">
        <v>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30</v>
      </c>
      <c r="O119" s="872">
        <f>HYPERLINK("https://abi.ru/products/Охлажденные/Вязанка/Вязанка/Сосиски/P003983/","Сосиски «Филейские рубленые» ф/в 0,3 ц/о ТМ «Вязанка»")</f>
        <v/>
      </c>
      <c r="P119" s="803" t="n"/>
      <c r="Q119" s="803" t="n"/>
      <c r="R119" s="803" t="n"/>
      <c r="S119" s="767" t="n"/>
      <c r="T119" s="40" t="inlineStr"/>
      <c r="U119" s="40" t="inlineStr"/>
      <c r="V119" s="41" t="inlineStr">
        <is>
          <t>кг</t>
        </is>
      </c>
      <c r="W119" s="804" t="n">
        <v>0</v>
      </c>
      <c r="X119" s="805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>
      <c r="A120" s="393" t="n"/>
      <c r="B120" s="381" t="n"/>
      <c r="C120" s="381" t="n"/>
      <c r="D120" s="381" t="n"/>
      <c r="E120" s="381" t="n"/>
      <c r="F120" s="381" t="n"/>
      <c r="G120" s="381" t="n"/>
      <c r="H120" s="381" t="n"/>
      <c r="I120" s="381" t="n"/>
      <c r="J120" s="381" t="n"/>
      <c r="K120" s="381" t="n"/>
      <c r="L120" s="381" t="n"/>
      <c r="M120" s="381" t="n"/>
      <c r="N120" s="807" t="n"/>
      <c r="O120" s="808" t="inlineStr">
        <is>
          <t>Итого</t>
        </is>
      </c>
      <c r="P120" s="775" t="n"/>
      <c r="Q120" s="775" t="n"/>
      <c r="R120" s="775" t="n"/>
      <c r="S120" s="775" t="n"/>
      <c r="T120" s="775" t="n"/>
      <c r="U120" s="776" t="n"/>
      <c r="V120" s="43" t="inlineStr">
        <is>
          <t>кор</t>
        </is>
      </c>
      <c r="W120" s="80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80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/>
      </c>
      <c r="Y120" s="80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/>
      </c>
      <c r="Z120" s="810" t="n"/>
      <c r="AA120" s="810" t="n"/>
    </row>
    <row r="121">
      <c r="A121" s="381" t="n"/>
      <c r="B121" s="381" t="n"/>
      <c r="C121" s="381" t="n"/>
      <c r="D121" s="381" t="n"/>
      <c r="E121" s="381" t="n"/>
      <c r="F121" s="381" t="n"/>
      <c r="G121" s="381" t="n"/>
      <c r="H121" s="381" t="n"/>
      <c r="I121" s="381" t="n"/>
      <c r="J121" s="381" t="n"/>
      <c r="K121" s="381" t="n"/>
      <c r="L121" s="381" t="n"/>
      <c r="M121" s="381" t="n"/>
      <c r="N121" s="807" t="n"/>
      <c r="O121" s="808" t="inlineStr">
        <is>
          <t>Итого</t>
        </is>
      </c>
      <c r="P121" s="775" t="n"/>
      <c r="Q121" s="775" t="n"/>
      <c r="R121" s="775" t="n"/>
      <c r="S121" s="775" t="n"/>
      <c r="T121" s="775" t="n"/>
      <c r="U121" s="776" t="n"/>
      <c r="V121" s="43" t="inlineStr">
        <is>
          <t>кг</t>
        </is>
      </c>
      <c r="W121" s="809">
        <f>IFERROR(SUM(W106:W119),"0")</f>
        <v/>
      </c>
      <c r="X121" s="809">
        <f>IFERROR(SUM(X106:X119),"0")</f>
        <v/>
      </c>
      <c r="Y121" s="43" t="n"/>
      <c r="Z121" s="810" t="n"/>
      <c r="AA121" s="810" t="n"/>
    </row>
    <row r="122" ht="14.25" customHeight="1">
      <c r="A122" s="399" t="inlineStr">
        <is>
          <t>Сардельки</t>
        </is>
      </c>
      <c r="B122" s="381" t="n"/>
      <c r="C122" s="381" t="n"/>
      <c r="D122" s="381" t="n"/>
      <c r="E122" s="381" t="n"/>
      <c r="F122" s="381" t="n"/>
      <c r="G122" s="381" t="n"/>
      <c r="H122" s="381" t="n"/>
      <c r="I122" s="381" t="n"/>
      <c r="J122" s="381" t="n"/>
      <c r="K122" s="381" t="n"/>
      <c r="L122" s="381" t="n"/>
      <c r="M122" s="381" t="n"/>
      <c r="N122" s="381" t="n"/>
      <c r="O122" s="381" t="n"/>
      <c r="P122" s="381" t="n"/>
      <c r="Q122" s="381" t="n"/>
      <c r="R122" s="381" t="n"/>
      <c r="S122" s="381" t="n"/>
      <c r="T122" s="381" t="n"/>
      <c r="U122" s="381" t="n"/>
      <c r="V122" s="381" t="n"/>
      <c r="W122" s="381" t="n"/>
      <c r="X122" s="381" t="n"/>
      <c r="Y122" s="381" t="n"/>
      <c r="Z122" s="399" t="n"/>
      <c r="AA122" s="399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84" t="n">
        <v>4607091383065</v>
      </c>
      <c r="E123" s="767" t="n"/>
      <c r="F123" s="801" t="n">
        <v>0.83</v>
      </c>
      <c r="G123" s="38" t="n">
        <v>4</v>
      </c>
      <c r="H123" s="801" t="n">
        <v>3.32</v>
      </c>
      <c r="I123" s="801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9" t="n"/>
      <c r="N123" s="38" t="n">
        <v>30</v>
      </c>
      <c r="O123" s="87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3" s="803" t="n"/>
      <c r="Q123" s="803" t="n"/>
      <c r="R123" s="803" t="n"/>
      <c r="S123" s="767" t="n"/>
      <c r="T123" s="40" t="inlineStr"/>
      <c r="U123" s="40" t="inlineStr"/>
      <c r="V123" s="41" t="inlineStr">
        <is>
          <t>кг</t>
        </is>
      </c>
      <c r="W123" s="804" t="n">
        <v>0</v>
      </c>
      <c r="X123" s="805">
        <f>IFERROR(IF(W123="",0,CEILING((W123/$H123),1)*$H123),"")</f>
        <v/>
      </c>
      <c r="Y123" s="42">
        <f>IFERROR(IF(X123=0,"",ROUNDUP(X123/H123,0)*0.00937),"")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4" t="n">
        <v>4680115881532</v>
      </c>
      <c r="E124" s="767" t="n"/>
      <c r="F124" s="801" t="n">
        <v>1.4</v>
      </c>
      <c r="G124" s="38" t="n">
        <v>6</v>
      </c>
      <c r="H124" s="801" t="n">
        <v>8.4</v>
      </c>
      <c r="I124" s="801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74">
        <f>HYPERLINK("https://abi.ru/products/Охлажденные/Вязанка/Вязанка/Сардельки/P003906/","Сардельки «Филейские» Весовые н/о мгс ТМ «Вязанка»")</f>
        <v/>
      </c>
      <c r="P124" s="803" t="n"/>
      <c r="Q124" s="803" t="n"/>
      <c r="R124" s="803" t="n"/>
      <c r="S124" s="767" t="n"/>
      <c r="T124" s="40" t="inlineStr"/>
      <c r="U124" s="40" t="inlineStr"/>
      <c r="V124" s="41" t="inlineStr">
        <is>
          <t>кг</t>
        </is>
      </c>
      <c r="W124" s="804" t="n">
        <v>0</v>
      </c>
      <c r="X124" s="805">
        <f>IFERROR(IF(W124="",0,CEILING((W124/$H124),1)*$H124),"")</f>
        <v/>
      </c>
      <c r="Y124" s="42">
        <f>IFERROR(IF(X124=0,"",ROUNDUP(X124/H124,0)*0.02175),"")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384" t="n">
        <v>4680115881532</v>
      </c>
      <c r="E125" s="767" t="n"/>
      <c r="F125" s="801" t="n">
        <v>1.3</v>
      </c>
      <c r="G125" s="38" t="n">
        <v>6</v>
      </c>
      <c r="H125" s="801" t="n">
        <v>7.8</v>
      </c>
      <c r="I125" s="801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75">
        <f>HYPERLINK("https://abi.ru/products/Охлажденные/Вязанка/Вязанка/Сардельки/P003883/","Сардельки «Филейские» Весовые н/о мгс ТМ «Вязанка»")</f>
        <v/>
      </c>
      <c r="P125" s="803" t="n"/>
      <c r="Q125" s="803" t="n"/>
      <c r="R125" s="803" t="n"/>
      <c r="S125" s="767" t="n"/>
      <c r="T125" s="40" t="inlineStr"/>
      <c r="U125" s="40" t="inlineStr"/>
      <c r="V125" s="41" t="inlineStr">
        <is>
          <t>кг</t>
        </is>
      </c>
      <c r="W125" s="804" t="n">
        <v>0</v>
      </c>
      <c r="X125" s="805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P003237</t>
        </is>
      </c>
      <c r="C126" s="37" t="n">
        <v>4301060350</v>
      </c>
      <c r="D126" s="384" t="n">
        <v>4680115881532</v>
      </c>
      <c r="E126" s="767" t="n"/>
      <c r="F126" s="801" t="n">
        <v>1.35</v>
      </c>
      <c r="G126" s="38" t="n">
        <v>6</v>
      </c>
      <c r="H126" s="801" t="n">
        <v>8.1</v>
      </c>
      <c r="I126" s="801" t="n">
        <v>8.58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9" t="n"/>
      <c r="N126" s="38" t="n">
        <v>30</v>
      </c>
      <c r="O126" s="876">
        <f>HYPERLINK("https://abi.ru/products/Охлажденные/Вязанка/Вязанка/Сардельки/P003237/","Сардельки «Филейские» Весовые NDX мгс ТМ «Вязанка»")</f>
        <v/>
      </c>
      <c r="P126" s="803" t="n"/>
      <c r="Q126" s="803" t="n"/>
      <c r="R126" s="803" t="n"/>
      <c r="S126" s="767" t="n"/>
      <c r="T126" s="40" t="inlineStr"/>
      <c r="U126" s="40" t="inlineStr"/>
      <c r="V126" s="41" t="inlineStr">
        <is>
          <t>кг</t>
        </is>
      </c>
      <c r="W126" s="804" t="n">
        <v>0</v>
      </c>
      <c r="X126" s="805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84" t="n">
        <v>4680115882652</v>
      </c>
      <c r="E127" s="767" t="n"/>
      <c r="F127" s="801" t="n">
        <v>0.33</v>
      </c>
      <c r="G127" s="38" t="n">
        <v>6</v>
      </c>
      <c r="H127" s="801" t="n">
        <v>1.98</v>
      </c>
      <c r="I127" s="801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7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03" t="n"/>
      <c r="Q127" s="803" t="n"/>
      <c r="R127" s="803" t="n"/>
      <c r="S127" s="767" t="n"/>
      <c r="T127" s="40" t="inlineStr"/>
      <c r="U127" s="40" t="inlineStr"/>
      <c r="V127" s="41" t="inlineStr">
        <is>
          <t>кг</t>
        </is>
      </c>
      <c r="W127" s="804" t="n">
        <v>0</v>
      </c>
      <c r="X127" s="805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84" t="n">
        <v>4680115880238</v>
      </c>
      <c r="E128" s="767" t="n"/>
      <c r="F128" s="801" t="n">
        <v>0.33</v>
      </c>
      <c r="G128" s="38" t="n">
        <v>6</v>
      </c>
      <c r="H128" s="801" t="n">
        <v>1.98</v>
      </c>
      <c r="I128" s="801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78">
        <f>HYPERLINK("https://abi.ru/products/Охлажденные/Вязанка/Вязанка/Сардельки/P002644/","Сардельки Сливушки фикс.вес 0,33 п/а мгс ТМ Вязанка")</f>
        <v/>
      </c>
      <c r="P128" s="803" t="n"/>
      <c r="Q128" s="803" t="n"/>
      <c r="R128" s="803" t="n"/>
      <c r="S128" s="767" t="n"/>
      <c r="T128" s="40" t="inlineStr"/>
      <c r="U128" s="40" t="inlineStr"/>
      <c r="V128" s="41" t="inlineStr">
        <is>
          <t>кг</t>
        </is>
      </c>
      <c r="W128" s="804" t="n">
        <v>36.3</v>
      </c>
      <c r="X128" s="805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84" t="n">
        <v>4680115881464</v>
      </c>
      <c r="E129" s="767" t="n"/>
      <c r="F129" s="801" t="n">
        <v>0.4</v>
      </c>
      <c r="G129" s="38" t="n">
        <v>6</v>
      </c>
      <c r="H129" s="801" t="n">
        <v>2.4</v>
      </c>
      <c r="I129" s="801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79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03" t="n"/>
      <c r="Q129" s="803" t="n"/>
      <c r="R129" s="803" t="n"/>
      <c r="S129" s="767" t="n"/>
      <c r="T129" s="40" t="inlineStr"/>
      <c r="U129" s="40" t="inlineStr"/>
      <c r="V129" s="41" t="inlineStr">
        <is>
          <t>кг</t>
        </is>
      </c>
      <c r="W129" s="804" t="n">
        <v>0</v>
      </c>
      <c r="X129" s="805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393" t="n"/>
      <c r="B130" s="381" t="n"/>
      <c r="C130" s="381" t="n"/>
      <c r="D130" s="381" t="n"/>
      <c r="E130" s="381" t="n"/>
      <c r="F130" s="381" t="n"/>
      <c r="G130" s="381" t="n"/>
      <c r="H130" s="381" t="n"/>
      <c r="I130" s="381" t="n"/>
      <c r="J130" s="381" t="n"/>
      <c r="K130" s="381" t="n"/>
      <c r="L130" s="381" t="n"/>
      <c r="M130" s="381" t="n"/>
      <c r="N130" s="807" t="n"/>
      <c r="O130" s="808" t="inlineStr">
        <is>
          <t>Итого</t>
        </is>
      </c>
      <c r="P130" s="775" t="n"/>
      <c r="Q130" s="775" t="n"/>
      <c r="R130" s="775" t="n"/>
      <c r="S130" s="775" t="n"/>
      <c r="T130" s="775" t="n"/>
      <c r="U130" s="776" t="n"/>
      <c r="V130" s="43" t="inlineStr">
        <is>
          <t>кор</t>
        </is>
      </c>
      <c r="W130" s="809">
        <f>IFERROR(W123/H123,"0")+IFERROR(W124/H124,"0")+IFERROR(W125/H125,"0")+IFERROR(W126/H126,"0")+IFERROR(W127/H127,"0")+IFERROR(W128/H128,"0")+IFERROR(W129/H129,"0")</f>
        <v/>
      </c>
      <c r="X130" s="809">
        <f>IFERROR(X123/H123,"0")+IFERROR(X124/H124,"0")+IFERROR(X125/H125,"0")+IFERROR(X126/H126,"0")+IFERROR(X127/H127,"0")+IFERROR(X128/H128,"0")+IFERROR(X129/H129,"0")</f>
        <v/>
      </c>
      <c r="Y130" s="809">
        <f>IFERROR(IF(Y123="",0,Y123),"0")+IFERROR(IF(Y124="",0,Y124),"0")+IFERROR(IF(Y125="",0,Y125),"0")+IFERROR(IF(Y126="",0,Y126),"0")+IFERROR(IF(Y127="",0,Y127),"0")+IFERROR(IF(Y128="",0,Y128),"0")+IFERROR(IF(Y129="",0,Y129),"0")</f>
        <v/>
      </c>
      <c r="Z130" s="810" t="n"/>
      <c r="AA130" s="810" t="n"/>
    </row>
    <row r="131">
      <c r="A131" s="381" t="n"/>
      <c r="B131" s="381" t="n"/>
      <c r="C131" s="381" t="n"/>
      <c r="D131" s="381" t="n"/>
      <c r="E131" s="381" t="n"/>
      <c r="F131" s="381" t="n"/>
      <c r="G131" s="381" t="n"/>
      <c r="H131" s="381" t="n"/>
      <c r="I131" s="381" t="n"/>
      <c r="J131" s="381" t="n"/>
      <c r="K131" s="381" t="n"/>
      <c r="L131" s="381" t="n"/>
      <c r="M131" s="381" t="n"/>
      <c r="N131" s="807" t="n"/>
      <c r="O131" s="808" t="inlineStr">
        <is>
          <t>Итого</t>
        </is>
      </c>
      <c r="P131" s="775" t="n"/>
      <c r="Q131" s="775" t="n"/>
      <c r="R131" s="775" t="n"/>
      <c r="S131" s="775" t="n"/>
      <c r="T131" s="775" t="n"/>
      <c r="U131" s="776" t="n"/>
      <c r="V131" s="43" t="inlineStr">
        <is>
          <t>кг</t>
        </is>
      </c>
      <c r="W131" s="809">
        <f>IFERROR(SUM(W123:W129),"0")</f>
        <v/>
      </c>
      <c r="X131" s="809">
        <f>IFERROR(SUM(X123:X129),"0")</f>
        <v/>
      </c>
      <c r="Y131" s="43" t="n"/>
      <c r="Z131" s="810" t="n"/>
      <c r="AA131" s="810" t="n"/>
    </row>
    <row r="132" ht="16.5" customHeight="1">
      <c r="A132" s="421" t="inlineStr">
        <is>
          <t>Сливушки</t>
        </is>
      </c>
      <c r="B132" s="381" t="n"/>
      <c r="C132" s="381" t="n"/>
      <c r="D132" s="381" t="n"/>
      <c r="E132" s="381" t="n"/>
      <c r="F132" s="381" t="n"/>
      <c r="G132" s="381" t="n"/>
      <c r="H132" s="381" t="n"/>
      <c r="I132" s="381" t="n"/>
      <c r="J132" s="381" t="n"/>
      <c r="K132" s="381" t="n"/>
      <c r="L132" s="381" t="n"/>
      <c r="M132" s="381" t="n"/>
      <c r="N132" s="381" t="n"/>
      <c r="O132" s="381" t="n"/>
      <c r="P132" s="381" t="n"/>
      <c r="Q132" s="381" t="n"/>
      <c r="R132" s="381" t="n"/>
      <c r="S132" s="381" t="n"/>
      <c r="T132" s="381" t="n"/>
      <c r="U132" s="381" t="n"/>
      <c r="V132" s="381" t="n"/>
      <c r="W132" s="381" t="n"/>
      <c r="X132" s="381" t="n"/>
      <c r="Y132" s="381" t="n"/>
      <c r="Z132" s="421" t="n"/>
      <c r="AA132" s="421" t="n"/>
    </row>
    <row r="133" ht="14.25" customHeight="1">
      <c r="A133" s="399" t="inlineStr">
        <is>
          <t>Сосиски</t>
        </is>
      </c>
      <c r="B133" s="381" t="n"/>
      <c r="C133" s="381" t="n"/>
      <c r="D133" s="381" t="n"/>
      <c r="E133" s="381" t="n"/>
      <c r="F133" s="381" t="n"/>
      <c r="G133" s="381" t="n"/>
      <c r="H133" s="381" t="n"/>
      <c r="I133" s="381" t="n"/>
      <c r="J133" s="381" t="n"/>
      <c r="K133" s="381" t="n"/>
      <c r="L133" s="381" t="n"/>
      <c r="M133" s="381" t="n"/>
      <c r="N133" s="381" t="n"/>
      <c r="O133" s="381" t="n"/>
      <c r="P133" s="381" t="n"/>
      <c r="Q133" s="381" t="n"/>
      <c r="R133" s="381" t="n"/>
      <c r="S133" s="381" t="n"/>
      <c r="T133" s="381" t="n"/>
      <c r="U133" s="381" t="n"/>
      <c r="V133" s="381" t="n"/>
      <c r="W133" s="381" t="n"/>
      <c r="X133" s="381" t="n"/>
      <c r="Y133" s="381" t="n"/>
      <c r="Z133" s="399" t="n"/>
      <c r="AA133" s="399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84" t="n">
        <v>4607091385168</v>
      </c>
      <c r="E134" s="767" t="n"/>
      <c r="F134" s="801" t="n">
        <v>1.4</v>
      </c>
      <c r="G134" s="38" t="n">
        <v>6</v>
      </c>
      <c r="H134" s="801" t="n">
        <v>8.4</v>
      </c>
      <c r="I134" s="801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9" t="n"/>
      <c r="N134" s="38" t="n">
        <v>45</v>
      </c>
      <c r="O134" s="880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4" s="803" t="n"/>
      <c r="Q134" s="803" t="n"/>
      <c r="R134" s="803" t="n"/>
      <c r="S134" s="767" t="n"/>
      <c r="T134" s="40" t="inlineStr"/>
      <c r="U134" s="40" t="inlineStr"/>
      <c r="V134" s="41" t="inlineStr">
        <is>
          <t>кг</t>
        </is>
      </c>
      <c r="W134" s="804" t="n">
        <v>170</v>
      </c>
      <c r="X134" s="805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384" t="n">
        <v>4607091385168</v>
      </c>
      <c r="E135" s="767" t="n"/>
      <c r="F135" s="801" t="n">
        <v>1.35</v>
      </c>
      <c r="G135" s="38" t="n">
        <v>6</v>
      </c>
      <c r="H135" s="801" t="n">
        <v>8.1</v>
      </c>
      <c r="I135" s="801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88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803" t="n"/>
      <c r="Q135" s="803" t="n"/>
      <c r="R135" s="803" t="n"/>
      <c r="S135" s="767" t="n"/>
      <c r="T135" s="40" t="inlineStr"/>
      <c r="U135" s="40" t="inlineStr"/>
      <c r="V135" s="41" t="inlineStr">
        <is>
          <t>кг</t>
        </is>
      </c>
      <c r="W135" s="804" t="n">
        <v>0</v>
      </c>
      <c r="X135" s="805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84" t="n">
        <v>4607091383256</v>
      </c>
      <c r="E136" s="767" t="n"/>
      <c r="F136" s="801" t="n">
        <v>0.33</v>
      </c>
      <c r="G136" s="38" t="n">
        <v>6</v>
      </c>
      <c r="H136" s="801" t="n">
        <v>1.98</v>
      </c>
      <c r="I136" s="801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82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03" t="n"/>
      <c r="Q136" s="803" t="n"/>
      <c r="R136" s="803" t="n"/>
      <c r="S136" s="767" t="n"/>
      <c r="T136" s="40" t="inlineStr"/>
      <c r="U136" s="40" t="inlineStr"/>
      <c r="V136" s="41" t="inlineStr">
        <is>
          <t>кг</t>
        </is>
      </c>
      <c r="W136" s="804" t="n">
        <v>0</v>
      </c>
      <c r="X136" s="805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84" t="n">
        <v>4607091385748</v>
      </c>
      <c r="E137" s="767" t="n"/>
      <c r="F137" s="801" t="n">
        <v>0.45</v>
      </c>
      <c r="G137" s="38" t="n">
        <v>6</v>
      </c>
      <c r="H137" s="801" t="n">
        <v>2.7</v>
      </c>
      <c r="I137" s="801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883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03" t="n"/>
      <c r="Q137" s="803" t="n"/>
      <c r="R137" s="803" t="n"/>
      <c r="S137" s="767" t="n"/>
      <c r="T137" s="40" t="inlineStr"/>
      <c r="U137" s="40" t="inlineStr"/>
      <c r="V137" s="41" t="inlineStr">
        <is>
          <t>кг</t>
        </is>
      </c>
      <c r="W137" s="804" t="n">
        <v>270</v>
      </c>
      <c r="X137" s="805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84" t="n">
        <v>4680115884533</v>
      </c>
      <c r="E138" s="767" t="n"/>
      <c r="F138" s="801" t="n">
        <v>0.3</v>
      </c>
      <c r="G138" s="38" t="n">
        <v>6</v>
      </c>
      <c r="H138" s="801" t="n">
        <v>1.8</v>
      </c>
      <c r="I138" s="801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884">
        <f>HYPERLINK("https://abi.ru/products/Охлажденные/Вязанка/Сливушки/Сосиски/P004116/","Сосиски «Сливушки по-венски» ф/в 0,3 п/а ТМ «Вязанка»")</f>
        <v/>
      </c>
      <c r="P138" s="803" t="n"/>
      <c r="Q138" s="803" t="n"/>
      <c r="R138" s="803" t="n"/>
      <c r="S138" s="767" t="n"/>
      <c r="T138" s="40" t="inlineStr"/>
      <c r="U138" s="40" t="inlineStr"/>
      <c r="V138" s="41" t="inlineStr">
        <is>
          <t>кг</t>
        </is>
      </c>
      <c r="W138" s="804" t="n">
        <v>0</v>
      </c>
      <c r="X138" s="805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393" t="n"/>
      <c r="B139" s="381" t="n"/>
      <c r="C139" s="381" t="n"/>
      <c r="D139" s="381" t="n"/>
      <c r="E139" s="381" t="n"/>
      <c r="F139" s="381" t="n"/>
      <c r="G139" s="381" t="n"/>
      <c r="H139" s="381" t="n"/>
      <c r="I139" s="381" t="n"/>
      <c r="J139" s="381" t="n"/>
      <c r="K139" s="381" t="n"/>
      <c r="L139" s="381" t="n"/>
      <c r="M139" s="381" t="n"/>
      <c r="N139" s="807" t="n"/>
      <c r="O139" s="808" t="inlineStr">
        <is>
          <t>Итого</t>
        </is>
      </c>
      <c r="P139" s="775" t="n"/>
      <c r="Q139" s="775" t="n"/>
      <c r="R139" s="775" t="n"/>
      <c r="S139" s="775" t="n"/>
      <c r="T139" s="775" t="n"/>
      <c r="U139" s="776" t="n"/>
      <c r="V139" s="43" t="inlineStr">
        <is>
          <t>кор</t>
        </is>
      </c>
      <c r="W139" s="809">
        <f>IFERROR(W134/H134,"0")+IFERROR(W135/H135,"0")+IFERROR(W136/H136,"0")+IFERROR(W137/H137,"0")+IFERROR(W138/H138,"0")</f>
        <v/>
      </c>
      <c r="X139" s="809">
        <f>IFERROR(X134/H134,"0")+IFERROR(X135/H135,"0")+IFERROR(X136/H136,"0")+IFERROR(X137/H137,"0")+IFERROR(X138/H138,"0")</f>
        <v/>
      </c>
      <c r="Y139" s="809">
        <f>IFERROR(IF(Y134="",0,Y134),"0")+IFERROR(IF(Y135="",0,Y135),"0")+IFERROR(IF(Y136="",0,Y136),"0")+IFERROR(IF(Y137="",0,Y137),"0")+IFERROR(IF(Y138="",0,Y138),"0")</f>
        <v/>
      </c>
      <c r="Z139" s="810" t="n"/>
      <c r="AA139" s="810" t="n"/>
    </row>
    <row r="140">
      <c r="A140" s="381" t="n"/>
      <c r="B140" s="381" t="n"/>
      <c r="C140" s="381" t="n"/>
      <c r="D140" s="381" t="n"/>
      <c r="E140" s="381" t="n"/>
      <c r="F140" s="381" t="n"/>
      <c r="G140" s="381" t="n"/>
      <c r="H140" s="381" t="n"/>
      <c r="I140" s="381" t="n"/>
      <c r="J140" s="381" t="n"/>
      <c r="K140" s="381" t="n"/>
      <c r="L140" s="381" t="n"/>
      <c r="M140" s="381" t="n"/>
      <c r="N140" s="807" t="n"/>
      <c r="O140" s="808" t="inlineStr">
        <is>
          <t>Итого</t>
        </is>
      </c>
      <c r="P140" s="775" t="n"/>
      <c r="Q140" s="775" t="n"/>
      <c r="R140" s="775" t="n"/>
      <c r="S140" s="775" t="n"/>
      <c r="T140" s="775" t="n"/>
      <c r="U140" s="776" t="n"/>
      <c r="V140" s="43" t="inlineStr">
        <is>
          <t>кг</t>
        </is>
      </c>
      <c r="W140" s="809">
        <f>IFERROR(SUM(W134:W138),"0")</f>
        <v/>
      </c>
      <c r="X140" s="809">
        <f>IFERROR(SUM(X134:X138),"0")</f>
        <v/>
      </c>
      <c r="Y140" s="43" t="n"/>
      <c r="Z140" s="810" t="n"/>
      <c r="AA140" s="810" t="n"/>
    </row>
    <row r="141" ht="27.75" customHeight="1">
      <c r="A141" s="420" t="inlineStr">
        <is>
          <t>Стародворье</t>
        </is>
      </c>
      <c r="B141" s="800" t="n"/>
      <c r="C141" s="800" t="n"/>
      <c r="D141" s="800" t="n"/>
      <c r="E141" s="800" t="n"/>
      <c r="F141" s="800" t="n"/>
      <c r="G141" s="800" t="n"/>
      <c r="H141" s="800" t="n"/>
      <c r="I141" s="800" t="n"/>
      <c r="J141" s="800" t="n"/>
      <c r="K141" s="800" t="n"/>
      <c r="L141" s="800" t="n"/>
      <c r="M141" s="800" t="n"/>
      <c r="N141" s="800" t="n"/>
      <c r="O141" s="800" t="n"/>
      <c r="P141" s="800" t="n"/>
      <c r="Q141" s="800" t="n"/>
      <c r="R141" s="800" t="n"/>
      <c r="S141" s="800" t="n"/>
      <c r="T141" s="800" t="n"/>
      <c r="U141" s="800" t="n"/>
      <c r="V141" s="800" t="n"/>
      <c r="W141" s="800" t="n"/>
      <c r="X141" s="800" t="n"/>
      <c r="Y141" s="800" t="n"/>
      <c r="Z141" s="55" t="n"/>
      <c r="AA141" s="55" t="n"/>
    </row>
    <row r="142" ht="16.5" customHeight="1">
      <c r="A142" s="421" t="inlineStr">
        <is>
          <t>Золоченная в печи</t>
        </is>
      </c>
      <c r="B142" s="381" t="n"/>
      <c r="C142" s="381" t="n"/>
      <c r="D142" s="381" t="n"/>
      <c r="E142" s="381" t="n"/>
      <c r="F142" s="381" t="n"/>
      <c r="G142" s="381" t="n"/>
      <c r="H142" s="381" t="n"/>
      <c r="I142" s="381" t="n"/>
      <c r="J142" s="381" t="n"/>
      <c r="K142" s="381" t="n"/>
      <c r="L142" s="381" t="n"/>
      <c r="M142" s="381" t="n"/>
      <c r="N142" s="381" t="n"/>
      <c r="O142" s="381" t="n"/>
      <c r="P142" s="381" t="n"/>
      <c r="Q142" s="381" t="n"/>
      <c r="R142" s="381" t="n"/>
      <c r="S142" s="381" t="n"/>
      <c r="T142" s="381" t="n"/>
      <c r="U142" s="381" t="n"/>
      <c r="V142" s="381" t="n"/>
      <c r="W142" s="381" t="n"/>
      <c r="X142" s="381" t="n"/>
      <c r="Y142" s="381" t="n"/>
      <c r="Z142" s="421" t="n"/>
      <c r="AA142" s="421" t="n"/>
    </row>
    <row r="143" ht="14.25" customHeight="1">
      <c r="A143" s="399" t="inlineStr">
        <is>
          <t>Вареные колбасы</t>
        </is>
      </c>
      <c r="B143" s="381" t="n"/>
      <c r="C143" s="381" t="n"/>
      <c r="D143" s="381" t="n"/>
      <c r="E143" s="381" t="n"/>
      <c r="F143" s="381" t="n"/>
      <c r="G143" s="381" t="n"/>
      <c r="H143" s="381" t="n"/>
      <c r="I143" s="381" t="n"/>
      <c r="J143" s="381" t="n"/>
      <c r="K143" s="381" t="n"/>
      <c r="L143" s="381" t="n"/>
      <c r="M143" s="381" t="n"/>
      <c r="N143" s="381" t="n"/>
      <c r="O143" s="381" t="n"/>
      <c r="P143" s="381" t="n"/>
      <c r="Q143" s="381" t="n"/>
      <c r="R143" s="381" t="n"/>
      <c r="S143" s="381" t="n"/>
      <c r="T143" s="381" t="n"/>
      <c r="U143" s="381" t="n"/>
      <c r="V143" s="381" t="n"/>
      <c r="W143" s="381" t="n"/>
      <c r="X143" s="381" t="n"/>
      <c r="Y143" s="381" t="n"/>
      <c r="Z143" s="399" t="n"/>
      <c r="AA143" s="399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84" t="n">
        <v>4607091383423</v>
      </c>
      <c r="E144" s="767" t="n"/>
      <c r="F144" s="801" t="n">
        <v>1.35</v>
      </c>
      <c r="G144" s="38" t="n">
        <v>8</v>
      </c>
      <c r="H144" s="801" t="n">
        <v>10.8</v>
      </c>
      <c r="I144" s="801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88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03" t="n"/>
      <c r="Q144" s="803" t="n"/>
      <c r="R144" s="803" t="n"/>
      <c r="S144" s="767" t="n"/>
      <c r="T144" s="40" t="inlineStr"/>
      <c r="U144" s="40" t="inlineStr"/>
      <c r="V144" s="41" t="inlineStr">
        <is>
          <t>кг</t>
        </is>
      </c>
      <c r="W144" s="804" t="n">
        <v>0</v>
      </c>
      <c r="X144" s="805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SU002203</t>
        </is>
      </c>
      <c r="B145" s="64" t="inlineStr">
        <is>
          <t>P002568</t>
        </is>
      </c>
      <c r="C145" s="37" t="n">
        <v>4301011338</v>
      </c>
      <c r="D145" s="384" t="n">
        <v>4607091381405</v>
      </c>
      <c r="E145" s="767" t="n"/>
      <c r="F145" s="801" t="n">
        <v>1.35</v>
      </c>
      <c r="G145" s="38" t="n">
        <v>8</v>
      </c>
      <c r="H145" s="801" t="n">
        <v>10.8</v>
      </c>
      <c r="I145" s="801" t="n">
        <v>11.376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35</v>
      </c>
      <c r="O145" s="88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5" s="803" t="n"/>
      <c r="Q145" s="803" t="n"/>
      <c r="R145" s="803" t="n"/>
      <c r="S145" s="767" t="n"/>
      <c r="T145" s="40" t="inlineStr"/>
      <c r="U145" s="40" t="inlineStr"/>
      <c r="V145" s="41" t="inlineStr">
        <is>
          <t>кг</t>
        </is>
      </c>
      <c r="W145" s="804" t="n">
        <v>0</v>
      </c>
      <c r="X145" s="805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37.5" customHeight="1">
      <c r="A146" s="64" t="inlineStr">
        <is>
          <t>SU002216</t>
        </is>
      </c>
      <c r="B146" s="64" t="inlineStr">
        <is>
          <t>P002400</t>
        </is>
      </c>
      <c r="C146" s="37" t="n">
        <v>4301011333</v>
      </c>
      <c r="D146" s="384" t="n">
        <v>4607091386516</v>
      </c>
      <c r="E146" s="767" t="n"/>
      <c r="F146" s="801" t="n">
        <v>1.4</v>
      </c>
      <c r="G146" s="38" t="n">
        <v>8</v>
      </c>
      <c r="H146" s="801" t="n">
        <v>11.2</v>
      </c>
      <c r="I146" s="801" t="n">
        <v>11.776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30</v>
      </c>
      <c r="O146" s="88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6" s="803" t="n"/>
      <c r="Q146" s="803" t="n"/>
      <c r="R146" s="803" t="n"/>
      <c r="S146" s="767" t="n"/>
      <c r="T146" s="40" t="inlineStr"/>
      <c r="U146" s="40" t="inlineStr"/>
      <c r="V146" s="41" t="inlineStr">
        <is>
          <t>кг</t>
        </is>
      </c>
      <c r="W146" s="804" t="n">
        <v>0</v>
      </c>
      <c r="X146" s="805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>
      <c r="A147" s="393" t="n"/>
      <c r="B147" s="381" t="n"/>
      <c r="C147" s="381" t="n"/>
      <c r="D147" s="381" t="n"/>
      <c r="E147" s="381" t="n"/>
      <c r="F147" s="381" t="n"/>
      <c r="G147" s="381" t="n"/>
      <c r="H147" s="381" t="n"/>
      <c r="I147" s="381" t="n"/>
      <c r="J147" s="381" t="n"/>
      <c r="K147" s="381" t="n"/>
      <c r="L147" s="381" t="n"/>
      <c r="M147" s="381" t="n"/>
      <c r="N147" s="807" t="n"/>
      <c r="O147" s="808" t="inlineStr">
        <is>
          <t>Итого</t>
        </is>
      </c>
      <c r="P147" s="775" t="n"/>
      <c r="Q147" s="775" t="n"/>
      <c r="R147" s="775" t="n"/>
      <c r="S147" s="775" t="n"/>
      <c r="T147" s="775" t="n"/>
      <c r="U147" s="776" t="n"/>
      <c r="V147" s="43" t="inlineStr">
        <is>
          <t>кор</t>
        </is>
      </c>
      <c r="W147" s="809">
        <f>IFERROR(W144/H144,"0")+IFERROR(W145/H145,"0")+IFERROR(W146/H146,"0")</f>
        <v/>
      </c>
      <c r="X147" s="809">
        <f>IFERROR(X144/H144,"0")+IFERROR(X145/H145,"0")+IFERROR(X146/H146,"0")</f>
        <v/>
      </c>
      <c r="Y147" s="809">
        <f>IFERROR(IF(Y144="",0,Y144),"0")+IFERROR(IF(Y145="",0,Y145),"0")+IFERROR(IF(Y146="",0,Y146),"0")</f>
        <v/>
      </c>
      <c r="Z147" s="810" t="n"/>
      <c r="AA147" s="810" t="n"/>
    </row>
    <row r="148">
      <c r="A148" s="381" t="n"/>
      <c r="B148" s="381" t="n"/>
      <c r="C148" s="381" t="n"/>
      <c r="D148" s="381" t="n"/>
      <c r="E148" s="381" t="n"/>
      <c r="F148" s="381" t="n"/>
      <c r="G148" s="381" t="n"/>
      <c r="H148" s="381" t="n"/>
      <c r="I148" s="381" t="n"/>
      <c r="J148" s="381" t="n"/>
      <c r="K148" s="381" t="n"/>
      <c r="L148" s="381" t="n"/>
      <c r="M148" s="381" t="n"/>
      <c r="N148" s="807" t="n"/>
      <c r="O148" s="808" t="inlineStr">
        <is>
          <t>Итого</t>
        </is>
      </c>
      <c r="P148" s="775" t="n"/>
      <c r="Q148" s="775" t="n"/>
      <c r="R148" s="775" t="n"/>
      <c r="S148" s="775" t="n"/>
      <c r="T148" s="775" t="n"/>
      <c r="U148" s="776" t="n"/>
      <c r="V148" s="43" t="inlineStr">
        <is>
          <t>кг</t>
        </is>
      </c>
      <c r="W148" s="809">
        <f>IFERROR(SUM(W144:W146),"0")</f>
        <v/>
      </c>
      <c r="X148" s="809">
        <f>IFERROR(SUM(X144:X146),"0")</f>
        <v/>
      </c>
      <c r="Y148" s="43" t="n"/>
      <c r="Z148" s="810" t="n"/>
      <c r="AA148" s="810" t="n"/>
    </row>
    <row r="149" ht="16.5" customHeight="1">
      <c r="A149" s="421" t="inlineStr">
        <is>
          <t>Мясорубская</t>
        </is>
      </c>
      <c r="B149" s="381" t="n"/>
      <c r="C149" s="381" t="n"/>
      <c r="D149" s="381" t="n"/>
      <c r="E149" s="381" t="n"/>
      <c r="F149" s="381" t="n"/>
      <c r="G149" s="381" t="n"/>
      <c r="H149" s="381" t="n"/>
      <c r="I149" s="381" t="n"/>
      <c r="J149" s="381" t="n"/>
      <c r="K149" s="381" t="n"/>
      <c r="L149" s="381" t="n"/>
      <c r="M149" s="381" t="n"/>
      <c r="N149" s="381" t="n"/>
      <c r="O149" s="381" t="n"/>
      <c r="P149" s="381" t="n"/>
      <c r="Q149" s="381" t="n"/>
      <c r="R149" s="381" t="n"/>
      <c r="S149" s="381" t="n"/>
      <c r="T149" s="381" t="n"/>
      <c r="U149" s="381" t="n"/>
      <c r="V149" s="381" t="n"/>
      <c r="W149" s="381" t="n"/>
      <c r="X149" s="381" t="n"/>
      <c r="Y149" s="381" t="n"/>
      <c r="Z149" s="421" t="n"/>
      <c r="AA149" s="421" t="n"/>
    </row>
    <row r="150" ht="14.25" customHeight="1">
      <c r="A150" s="399" t="inlineStr">
        <is>
          <t>Копченые колбасы</t>
        </is>
      </c>
      <c r="B150" s="381" t="n"/>
      <c r="C150" s="381" t="n"/>
      <c r="D150" s="381" t="n"/>
      <c r="E150" s="381" t="n"/>
      <c r="F150" s="381" t="n"/>
      <c r="G150" s="381" t="n"/>
      <c r="H150" s="381" t="n"/>
      <c r="I150" s="381" t="n"/>
      <c r="J150" s="381" t="n"/>
      <c r="K150" s="381" t="n"/>
      <c r="L150" s="381" t="n"/>
      <c r="M150" s="381" t="n"/>
      <c r="N150" s="381" t="n"/>
      <c r="O150" s="381" t="n"/>
      <c r="P150" s="381" t="n"/>
      <c r="Q150" s="381" t="n"/>
      <c r="R150" s="381" t="n"/>
      <c r="S150" s="381" t="n"/>
      <c r="T150" s="381" t="n"/>
      <c r="U150" s="381" t="n"/>
      <c r="V150" s="381" t="n"/>
      <c r="W150" s="381" t="n"/>
      <c r="X150" s="381" t="n"/>
      <c r="Y150" s="381" t="n"/>
      <c r="Z150" s="399" t="n"/>
      <c r="AA150" s="399" t="n"/>
    </row>
    <row r="151" ht="27" customHeight="1">
      <c r="A151" s="64" t="inlineStr">
        <is>
          <t>SU002756</t>
        </is>
      </c>
      <c r="B151" s="64" t="inlineStr">
        <is>
          <t>P003179</t>
        </is>
      </c>
      <c r="C151" s="37" t="n">
        <v>4301031191</v>
      </c>
      <c r="D151" s="384" t="n">
        <v>4680115880993</v>
      </c>
      <c r="E151" s="767" t="n"/>
      <c r="F151" s="801" t="n">
        <v>0.7</v>
      </c>
      <c r="G151" s="38" t="n">
        <v>6</v>
      </c>
      <c r="H151" s="801" t="n">
        <v>4.2</v>
      </c>
      <c r="I151" s="80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8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1" s="803" t="n"/>
      <c r="Q151" s="803" t="n"/>
      <c r="R151" s="803" t="n"/>
      <c r="S151" s="767" t="n"/>
      <c r="T151" s="40" t="inlineStr"/>
      <c r="U151" s="40" t="inlineStr"/>
      <c r="V151" s="41" t="inlineStr">
        <is>
          <t>кг</t>
        </is>
      </c>
      <c r="W151" s="804" t="n">
        <v>50</v>
      </c>
      <c r="X151" s="805">
        <f>IFERROR(IF(W151="",0,CEILING((W151/$H151),1)*$H151),"")</f>
        <v/>
      </c>
      <c r="Y151" s="42">
        <f>IFERROR(IF(X151=0,"",ROUNDUP(X151/H151,0)*0.00753),"")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SU002876</t>
        </is>
      </c>
      <c r="B152" s="64" t="inlineStr">
        <is>
          <t>P003276</t>
        </is>
      </c>
      <c r="C152" s="37" t="n">
        <v>4301031204</v>
      </c>
      <c r="D152" s="384" t="n">
        <v>4680115881761</v>
      </c>
      <c r="E152" s="767" t="n"/>
      <c r="F152" s="801" t="n">
        <v>0.7</v>
      </c>
      <c r="G152" s="38" t="n">
        <v>6</v>
      </c>
      <c r="H152" s="801" t="n">
        <v>4.2</v>
      </c>
      <c r="I152" s="801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8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2" s="803" t="n"/>
      <c r="Q152" s="803" t="n"/>
      <c r="R152" s="803" t="n"/>
      <c r="S152" s="767" t="n"/>
      <c r="T152" s="40" t="inlineStr"/>
      <c r="U152" s="40" t="inlineStr"/>
      <c r="V152" s="41" t="inlineStr">
        <is>
          <t>кг</t>
        </is>
      </c>
      <c r="W152" s="804" t="n">
        <v>0</v>
      </c>
      <c r="X152" s="805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SU002847</t>
        </is>
      </c>
      <c r="B153" s="64" t="inlineStr">
        <is>
          <t>P003259</t>
        </is>
      </c>
      <c r="C153" s="37" t="n">
        <v>4301031201</v>
      </c>
      <c r="D153" s="384" t="n">
        <v>4680115881563</v>
      </c>
      <c r="E153" s="767" t="n"/>
      <c r="F153" s="801" t="n">
        <v>0.7</v>
      </c>
      <c r="G153" s="38" t="n">
        <v>6</v>
      </c>
      <c r="H153" s="801" t="n">
        <v>4.2</v>
      </c>
      <c r="I153" s="801" t="n">
        <v>4.4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89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3" s="803" t="n"/>
      <c r="Q153" s="803" t="n"/>
      <c r="R153" s="803" t="n"/>
      <c r="S153" s="767" t="n"/>
      <c r="T153" s="40" t="inlineStr"/>
      <c r="U153" s="40" t="inlineStr"/>
      <c r="V153" s="41" t="inlineStr">
        <is>
          <t>кг</t>
        </is>
      </c>
      <c r="W153" s="804" t="n">
        <v>180</v>
      </c>
      <c r="X153" s="805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SU002660</t>
        </is>
      </c>
      <c r="B154" s="64" t="inlineStr">
        <is>
          <t>P003256</t>
        </is>
      </c>
      <c r="C154" s="37" t="n">
        <v>4301031199</v>
      </c>
      <c r="D154" s="384" t="n">
        <v>4680115880986</v>
      </c>
      <c r="E154" s="767" t="n"/>
      <c r="F154" s="801" t="n">
        <v>0.35</v>
      </c>
      <c r="G154" s="38" t="n">
        <v>6</v>
      </c>
      <c r="H154" s="801" t="n">
        <v>2.1</v>
      </c>
      <c r="I154" s="801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89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4" s="803" t="n"/>
      <c r="Q154" s="803" t="n"/>
      <c r="R154" s="803" t="n"/>
      <c r="S154" s="767" t="n"/>
      <c r="T154" s="40" t="inlineStr"/>
      <c r="U154" s="40" t="inlineStr"/>
      <c r="V154" s="41" t="inlineStr">
        <is>
          <t>кг</t>
        </is>
      </c>
      <c r="W154" s="804" t="n">
        <v>70</v>
      </c>
      <c r="X154" s="805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SU002826</t>
        </is>
      </c>
      <c r="B155" s="64" t="inlineStr">
        <is>
          <t>P003178</t>
        </is>
      </c>
      <c r="C155" s="37" t="n">
        <v>4301031190</v>
      </c>
      <c r="D155" s="384" t="n">
        <v>4680115880207</v>
      </c>
      <c r="E155" s="767" t="n"/>
      <c r="F155" s="801" t="n">
        <v>0.4</v>
      </c>
      <c r="G155" s="38" t="n">
        <v>6</v>
      </c>
      <c r="H155" s="801" t="n">
        <v>2.4</v>
      </c>
      <c r="I155" s="801" t="n">
        <v>2.63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89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5" s="803" t="n"/>
      <c r="Q155" s="803" t="n"/>
      <c r="R155" s="803" t="n"/>
      <c r="S155" s="767" t="n"/>
      <c r="T155" s="40" t="inlineStr"/>
      <c r="U155" s="40" t="inlineStr"/>
      <c r="V155" s="41" t="inlineStr">
        <is>
          <t>кг</t>
        </is>
      </c>
      <c r="W155" s="804" t="n">
        <v>0</v>
      </c>
      <c r="X155" s="805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384" t="n">
        <v>4680115881785</v>
      </c>
      <c r="E156" s="767" t="n"/>
      <c r="F156" s="801" t="n">
        <v>0.35</v>
      </c>
      <c r="G156" s="38" t="n">
        <v>6</v>
      </c>
      <c r="H156" s="801" t="n">
        <v>2.1</v>
      </c>
      <c r="I156" s="801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89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03" t="n"/>
      <c r="Q156" s="803" t="n"/>
      <c r="R156" s="803" t="n"/>
      <c r="S156" s="767" t="n"/>
      <c r="T156" s="40" t="inlineStr"/>
      <c r="U156" s="40" t="inlineStr"/>
      <c r="V156" s="41" t="inlineStr">
        <is>
          <t>кг</t>
        </is>
      </c>
      <c r="W156" s="804" t="n">
        <v>140</v>
      </c>
      <c r="X156" s="805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384" t="n">
        <v>4680115881679</v>
      </c>
      <c r="E157" s="767" t="n"/>
      <c r="F157" s="801" t="n">
        <v>0.35</v>
      </c>
      <c r="G157" s="38" t="n">
        <v>6</v>
      </c>
      <c r="H157" s="801" t="n">
        <v>2.1</v>
      </c>
      <c r="I157" s="801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89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03" t="n"/>
      <c r="Q157" s="803" t="n"/>
      <c r="R157" s="803" t="n"/>
      <c r="S157" s="767" t="n"/>
      <c r="T157" s="40" t="inlineStr"/>
      <c r="U157" s="40" t="inlineStr"/>
      <c r="V157" s="41" t="inlineStr">
        <is>
          <t>кг</t>
        </is>
      </c>
      <c r="W157" s="804" t="n">
        <v>157.5</v>
      </c>
      <c r="X157" s="805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384" t="n">
        <v>4680115880191</v>
      </c>
      <c r="E158" s="767" t="n"/>
      <c r="F158" s="801" t="n">
        <v>0.4</v>
      </c>
      <c r="G158" s="38" t="n">
        <v>6</v>
      </c>
      <c r="H158" s="801" t="n">
        <v>2.4</v>
      </c>
      <c r="I158" s="801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89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03" t="n"/>
      <c r="Q158" s="803" t="n"/>
      <c r="R158" s="803" t="n"/>
      <c r="S158" s="767" t="n"/>
      <c r="T158" s="40" t="inlineStr"/>
      <c r="U158" s="40" t="inlineStr"/>
      <c r="V158" s="41" t="inlineStr">
        <is>
          <t>кг</t>
        </is>
      </c>
      <c r="W158" s="804" t="n">
        <v>0</v>
      </c>
      <c r="X158" s="805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384" t="n">
        <v>4680115883963</v>
      </c>
      <c r="E159" s="767" t="n"/>
      <c r="F159" s="801" t="n">
        <v>0.28</v>
      </c>
      <c r="G159" s="38" t="n">
        <v>6</v>
      </c>
      <c r="H159" s="801" t="n">
        <v>1.68</v>
      </c>
      <c r="I159" s="801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89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03" t="n"/>
      <c r="Q159" s="803" t="n"/>
      <c r="R159" s="803" t="n"/>
      <c r="S159" s="767" t="n"/>
      <c r="T159" s="40" t="inlineStr"/>
      <c r="U159" s="40" t="inlineStr"/>
      <c r="V159" s="41" t="inlineStr">
        <is>
          <t>кг</t>
        </is>
      </c>
      <c r="W159" s="804" t="n">
        <v>0</v>
      </c>
      <c r="X159" s="805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393" t="n"/>
      <c r="B160" s="381" t="n"/>
      <c r="C160" s="381" t="n"/>
      <c r="D160" s="381" t="n"/>
      <c r="E160" s="381" t="n"/>
      <c r="F160" s="381" t="n"/>
      <c r="G160" s="381" t="n"/>
      <c r="H160" s="381" t="n"/>
      <c r="I160" s="381" t="n"/>
      <c r="J160" s="381" t="n"/>
      <c r="K160" s="381" t="n"/>
      <c r="L160" s="381" t="n"/>
      <c r="M160" s="381" t="n"/>
      <c r="N160" s="807" t="n"/>
      <c r="O160" s="808" t="inlineStr">
        <is>
          <t>Итого</t>
        </is>
      </c>
      <c r="P160" s="775" t="n"/>
      <c r="Q160" s="775" t="n"/>
      <c r="R160" s="775" t="n"/>
      <c r="S160" s="775" t="n"/>
      <c r="T160" s="775" t="n"/>
      <c r="U160" s="776" t="n"/>
      <c r="V160" s="43" t="inlineStr">
        <is>
          <t>кор</t>
        </is>
      </c>
      <c r="W160" s="809">
        <f>IFERROR(W151/H151,"0")+IFERROR(W152/H152,"0")+IFERROR(W153/H153,"0")+IFERROR(W154/H154,"0")+IFERROR(W155/H155,"0")+IFERROR(W156/H156,"0")+IFERROR(W157/H157,"0")+IFERROR(W158/H158,"0")+IFERROR(W159/H159,"0")</f>
        <v/>
      </c>
      <c r="X160" s="809">
        <f>IFERROR(X151/H151,"0")+IFERROR(X152/H152,"0")+IFERROR(X153/H153,"0")+IFERROR(X154/H154,"0")+IFERROR(X155/H155,"0")+IFERROR(X156/H156,"0")+IFERROR(X157/H157,"0")+IFERROR(X158/H158,"0")+IFERROR(X159/H159,"0")</f>
        <v/>
      </c>
      <c r="Y160" s="80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10" t="n"/>
      <c r="AA160" s="810" t="n"/>
    </row>
    <row r="161">
      <c r="A161" s="381" t="n"/>
      <c r="B161" s="381" t="n"/>
      <c r="C161" s="381" t="n"/>
      <c r="D161" s="381" t="n"/>
      <c r="E161" s="381" t="n"/>
      <c r="F161" s="381" t="n"/>
      <c r="G161" s="381" t="n"/>
      <c r="H161" s="381" t="n"/>
      <c r="I161" s="381" t="n"/>
      <c r="J161" s="381" t="n"/>
      <c r="K161" s="381" t="n"/>
      <c r="L161" s="381" t="n"/>
      <c r="M161" s="381" t="n"/>
      <c r="N161" s="807" t="n"/>
      <c r="O161" s="808" t="inlineStr">
        <is>
          <t>Итого</t>
        </is>
      </c>
      <c r="P161" s="775" t="n"/>
      <c r="Q161" s="775" t="n"/>
      <c r="R161" s="775" t="n"/>
      <c r="S161" s="775" t="n"/>
      <c r="T161" s="775" t="n"/>
      <c r="U161" s="776" t="n"/>
      <c r="V161" s="43" t="inlineStr">
        <is>
          <t>кг</t>
        </is>
      </c>
      <c r="W161" s="809">
        <f>IFERROR(SUM(W151:W159),"0")</f>
        <v/>
      </c>
      <c r="X161" s="809">
        <f>IFERROR(SUM(X151:X159),"0")</f>
        <v/>
      </c>
      <c r="Y161" s="43" t="n"/>
      <c r="Z161" s="810" t="n"/>
      <c r="AA161" s="810" t="n"/>
    </row>
    <row r="162" ht="16.5" customHeight="1">
      <c r="A162" s="421" t="inlineStr">
        <is>
          <t>Сочинка</t>
        </is>
      </c>
      <c r="B162" s="381" t="n"/>
      <c r="C162" s="381" t="n"/>
      <c r="D162" s="381" t="n"/>
      <c r="E162" s="381" t="n"/>
      <c r="F162" s="381" t="n"/>
      <c r="G162" s="381" t="n"/>
      <c r="H162" s="381" t="n"/>
      <c r="I162" s="381" t="n"/>
      <c r="J162" s="381" t="n"/>
      <c r="K162" s="381" t="n"/>
      <c r="L162" s="381" t="n"/>
      <c r="M162" s="381" t="n"/>
      <c r="N162" s="381" t="n"/>
      <c r="O162" s="381" t="n"/>
      <c r="P162" s="381" t="n"/>
      <c r="Q162" s="381" t="n"/>
      <c r="R162" s="381" t="n"/>
      <c r="S162" s="381" t="n"/>
      <c r="T162" s="381" t="n"/>
      <c r="U162" s="381" t="n"/>
      <c r="V162" s="381" t="n"/>
      <c r="W162" s="381" t="n"/>
      <c r="X162" s="381" t="n"/>
      <c r="Y162" s="381" t="n"/>
      <c r="Z162" s="421" t="n"/>
      <c r="AA162" s="421" t="n"/>
    </row>
    <row r="163" ht="14.25" customHeight="1">
      <c r="A163" s="399" t="inlineStr">
        <is>
          <t>Вареные колбасы</t>
        </is>
      </c>
      <c r="B163" s="381" t="n"/>
      <c r="C163" s="381" t="n"/>
      <c r="D163" s="381" t="n"/>
      <c r="E163" s="381" t="n"/>
      <c r="F163" s="381" t="n"/>
      <c r="G163" s="381" t="n"/>
      <c r="H163" s="381" t="n"/>
      <c r="I163" s="381" t="n"/>
      <c r="J163" s="381" t="n"/>
      <c r="K163" s="381" t="n"/>
      <c r="L163" s="381" t="n"/>
      <c r="M163" s="381" t="n"/>
      <c r="N163" s="381" t="n"/>
      <c r="O163" s="381" t="n"/>
      <c r="P163" s="381" t="n"/>
      <c r="Q163" s="381" t="n"/>
      <c r="R163" s="381" t="n"/>
      <c r="S163" s="381" t="n"/>
      <c r="T163" s="381" t="n"/>
      <c r="U163" s="381" t="n"/>
      <c r="V163" s="381" t="n"/>
      <c r="W163" s="381" t="n"/>
      <c r="X163" s="381" t="n"/>
      <c r="Y163" s="381" t="n"/>
      <c r="Z163" s="399" t="n"/>
      <c r="AA163" s="399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384" t="n">
        <v>4680115881402</v>
      </c>
      <c r="E164" s="767" t="n"/>
      <c r="F164" s="801" t="n">
        <v>1.35</v>
      </c>
      <c r="G164" s="38" t="n">
        <v>8</v>
      </c>
      <c r="H164" s="801" t="n">
        <v>10.8</v>
      </c>
      <c r="I164" s="801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89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03" t="n"/>
      <c r="Q164" s="803" t="n"/>
      <c r="R164" s="803" t="n"/>
      <c r="S164" s="767" t="n"/>
      <c r="T164" s="40" t="inlineStr"/>
      <c r="U164" s="40" t="inlineStr"/>
      <c r="V164" s="41" t="inlineStr">
        <is>
          <t>кг</t>
        </is>
      </c>
      <c r="W164" s="804" t="n">
        <v>0</v>
      </c>
      <c r="X164" s="805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384" t="n">
        <v>4680115881396</v>
      </c>
      <c r="E165" s="767" t="n"/>
      <c r="F165" s="801" t="n">
        <v>0.45</v>
      </c>
      <c r="G165" s="38" t="n">
        <v>6</v>
      </c>
      <c r="H165" s="801" t="n">
        <v>2.7</v>
      </c>
      <c r="I165" s="801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89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03" t="n"/>
      <c r="Q165" s="803" t="n"/>
      <c r="R165" s="803" t="n"/>
      <c r="S165" s="767" t="n"/>
      <c r="T165" s="40" t="inlineStr"/>
      <c r="U165" s="40" t="inlineStr"/>
      <c r="V165" s="41" t="inlineStr">
        <is>
          <t>кг</t>
        </is>
      </c>
      <c r="W165" s="804" t="n">
        <v>0</v>
      </c>
      <c r="X165" s="805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393" t="n"/>
      <c r="B166" s="381" t="n"/>
      <c r="C166" s="381" t="n"/>
      <c r="D166" s="381" t="n"/>
      <c r="E166" s="381" t="n"/>
      <c r="F166" s="381" t="n"/>
      <c r="G166" s="381" t="n"/>
      <c r="H166" s="381" t="n"/>
      <c r="I166" s="381" t="n"/>
      <c r="J166" s="381" t="n"/>
      <c r="K166" s="381" t="n"/>
      <c r="L166" s="381" t="n"/>
      <c r="M166" s="381" t="n"/>
      <c r="N166" s="807" t="n"/>
      <c r="O166" s="808" t="inlineStr">
        <is>
          <t>Итого</t>
        </is>
      </c>
      <c r="P166" s="775" t="n"/>
      <c r="Q166" s="775" t="n"/>
      <c r="R166" s="775" t="n"/>
      <c r="S166" s="775" t="n"/>
      <c r="T166" s="775" t="n"/>
      <c r="U166" s="776" t="n"/>
      <c r="V166" s="43" t="inlineStr">
        <is>
          <t>кор</t>
        </is>
      </c>
      <c r="W166" s="809">
        <f>IFERROR(W164/H164,"0")+IFERROR(W165/H165,"0")</f>
        <v/>
      </c>
      <c r="X166" s="809">
        <f>IFERROR(X164/H164,"0")+IFERROR(X165/H165,"0")</f>
        <v/>
      </c>
      <c r="Y166" s="809">
        <f>IFERROR(IF(Y164="",0,Y164),"0")+IFERROR(IF(Y165="",0,Y165),"0")</f>
        <v/>
      </c>
      <c r="Z166" s="810" t="n"/>
      <c r="AA166" s="810" t="n"/>
    </row>
    <row r="167">
      <c r="A167" s="381" t="n"/>
      <c r="B167" s="381" t="n"/>
      <c r="C167" s="381" t="n"/>
      <c r="D167" s="381" t="n"/>
      <c r="E167" s="381" t="n"/>
      <c r="F167" s="381" t="n"/>
      <c r="G167" s="381" t="n"/>
      <c r="H167" s="381" t="n"/>
      <c r="I167" s="381" t="n"/>
      <c r="J167" s="381" t="n"/>
      <c r="K167" s="381" t="n"/>
      <c r="L167" s="381" t="n"/>
      <c r="M167" s="381" t="n"/>
      <c r="N167" s="807" t="n"/>
      <c r="O167" s="808" t="inlineStr">
        <is>
          <t>Итого</t>
        </is>
      </c>
      <c r="P167" s="775" t="n"/>
      <c r="Q167" s="775" t="n"/>
      <c r="R167" s="775" t="n"/>
      <c r="S167" s="775" t="n"/>
      <c r="T167" s="775" t="n"/>
      <c r="U167" s="776" t="n"/>
      <c r="V167" s="43" t="inlineStr">
        <is>
          <t>кг</t>
        </is>
      </c>
      <c r="W167" s="809">
        <f>IFERROR(SUM(W164:W165),"0")</f>
        <v/>
      </c>
      <c r="X167" s="809">
        <f>IFERROR(SUM(X164:X165),"0")</f>
        <v/>
      </c>
      <c r="Y167" s="43" t="n"/>
      <c r="Z167" s="810" t="n"/>
      <c r="AA167" s="810" t="n"/>
    </row>
    <row r="168" ht="14.25" customHeight="1">
      <c r="A168" s="399" t="inlineStr">
        <is>
          <t>Ветчины</t>
        </is>
      </c>
      <c r="B168" s="381" t="n"/>
      <c r="C168" s="381" t="n"/>
      <c r="D168" s="381" t="n"/>
      <c r="E168" s="381" t="n"/>
      <c r="F168" s="381" t="n"/>
      <c r="G168" s="381" t="n"/>
      <c r="H168" s="381" t="n"/>
      <c r="I168" s="381" t="n"/>
      <c r="J168" s="381" t="n"/>
      <c r="K168" s="381" t="n"/>
      <c r="L168" s="381" t="n"/>
      <c r="M168" s="381" t="n"/>
      <c r="N168" s="381" t="n"/>
      <c r="O168" s="381" t="n"/>
      <c r="P168" s="381" t="n"/>
      <c r="Q168" s="381" t="n"/>
      <c r="R168" s="381" t="n"/>
      <c r="S168" s="381" t="n"/>
      <c r="T168" s="381" t="n"/>
      <c r="U168" s="381" t="n"/>
      <c r="V168" s="381" t="n"/>
      <c r="W168" s="381" t="n"/>
      <c r="X168" s="381" t="n"/>
      <c r="Y168" s="381" t="n"/>
      <c r="Z168" s="399" t="n"/>
      <c r="AA168" s="399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384" t="n">
        <v>4680115882935</v>
      </c>
      <c r="E169" s="767" t="n"/>
      <c r="F169" s="801" t="n">
        <v>1.35</v>
      </c>
      <c r="G169" s="38" t="n">
        <v>8</v>
      </c>
      <c r="H169" s="801" t="n">
        <v>10.8</v>
      </c>
      <c r="I169" s="801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89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03" t="n"/>
      <c r="Q169" s="803" t="n"/>
      <c r="R169" s="803" t="n"/>
      <c r="S169" s="767" t="n"/>
      <c r="T169" s="40" t="inlineStr"/>
      <c r="U169" s="40" t="inlineStr"/>
      <c r="V169" s="41" t="inlineStr">
        <is>
          <t>кг</t>
        </is>
      </c>
      <c r="W169" s="804" t="n">
        <v>0</v>
      </c>
      <c r="X169" s="805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384" t="n">
        <v>4680115880764</v>
      </c>
      <c r="E170" s="767" t="n"/>
      <c r="F170" s="801" t="n">
        <v>0.35</v>
      </c>
      <c r="G170" s="38" t="n">
        <v>6</v>
      </c>
      <c r="H170" s="801" t="n">
        <v>2.1</v>
      </c>
      <c r="I170" s="801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0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03" t="n"/>
      <c r="Q170" s="803" t="n"/>
      <c r="R170" s="803" t="n"/>
      <c r="S170" s="767" t="n"/>
      <c r="T170" s="40" t="inlineStr"/>
      <c r="U170" s="40" t="inlineStr"/>
      <c r="V170" s="41" t="inlineStr">
        <is>
          <t>кг</t>
        </is>
      </c>
      <c r="W170" s="804" t="n">
        <v>0</v>
      </c>
      <c r="X170" s="805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393" t="n"/>
      <c r="B171" s="381" t="n"/>
      <c r="C171" s="381" t="n"/>
      <c r="D171" s="381" t="n"/>
      <c r="E171" s="381" t="n"/>
      <c r="F171" s="381" t="n"/>
      <c r="G171" s="381" t="n"/>
      <c r="H171" s="381" t="n"/>
      <c r="I171" s="381" t="n"/>
      <c r="J171" s="381" t="n"/>
      <c r="K171" s="381" t="n"/>
      <c r="L171" s="381" t="n"/>
      <c r="M171" s="381" t="n"/>
      <c r="N171" s="807" t="n"/>
      <c r="O171" s="808" t="inlineStr">
        <is>
          <t>Итого</t>
        </is>
      </c>
      <c r="P171" s="775" t="n"/>
      <c r="Q171" s="775" t="n"/>
      <c r="R171" s="775" t="n"/>
      <c r="S171" s="775" t="n"/>
      <c r="T171" s="775" t="n"/>
      <c r="U171" s="776" t="n"/>
      <c r="V171" s="43" t="inlineStr">
        <is>
          <t>кор</t>
        </is>
      </c>
      <c r="W171" s="809">
        <f>IFERROR(W169/H169,"0")+IFERROR(W170/H170,"0")</f>
        <v/>
      </c>
      <c r="X171" s="809">
        <f>IFERROR(X169/H169,"0")+IFERROR(X170/H170,"0")</f>
        <v/>
      </c>
      <c r="Y171" s="809">
        <f>IFERROR(IF(Y169="",0,Y169),"0")+IFERROR(IF(Y170="",0,Y170),"0")</f>
        <v/>
      </c>
      <c r="Z171" s="810" t="n"/>
      <c r="AA171" s="810" t="n"/>
    </row>
    <row r="172">
      <c r="A172" s="381" t="n"/>
      <c r="B172" s="381" t="n"/>
      <c r="C172" s="381" t="n"/>
      <c r="D172" s="381" t="n"/>
      <c r="E172" s="381" t="n"/>
      <c r="F172" s="381" t="n"/>
      <c r="G172" s="381" t="n"/>
      <c r="H172" s="381" t="n"/>
      <c r="I172" s="381" t="n"/>
      <c r="J172" s="381" t="n"/>
      <c r="K172" s="381" t="n"/>
      <c r="L172" s="381" t="n"/>
      <c r="M172" s="381" t="n"/>
      <c r="N172" s="807" t="n"/>
      <c r="O172" s="808" t="inlineStr">
        <is>
          <t>Итого</t>
        </is>
      </c>
      <c r="P172" s="775" t="n"/>
      <c r="Q172" s="775" t="n"/>
      <c r="R172" s="775" t="n"/>
      <c r="S172" s="775" t="n"/>
      <c r="T172" s="775" t="n"/>
      <c r="U172" s="776" t="n"/>
      <c r="V172" s="43" t="inlineStr">
        <is>
          <t>кг</t>
        </is>
      </c>
      <c r="W172" s="809">
        <f>IFERROR(SUM(W169:W170),"0")</f>
        <v/>
      </c>
      <c r="X172" s="809">
        <f>IFERROR(SUM(X169:X170),"0")</f>
        <v/>
      </c>
      <c r="Y172" s="43" t="n"/>
      <c r="Z172" s="810" t="n"/>
      <c r="AA172" s="810" t="n"/>
    </row>
    <row r="173" ht="14.25" customHeight="1">
      <c r="A173" s="399" t="inlineStr">
        <is>
          <t>Копченые колбасы</t>
        </is>
      </c>
      <c r="B173" s="381" t="n"/>
      <c r="C173" s="381" t="n"/>
      <c r="D173" s="381" t="n"/>
      <c r="E173" s="381" t="n"/>
      <c r="F173" s="381" t="n"/>
      <c r="G173" s="381" t="n"/>
      <c r="H173" s="381" t="n"/>
      <c r="I173" s="381" t="n"/>
      <c r="J173" s="381" t="n"/>
      <c r="K173" s="381" t="n"/>
      <c r="L173" s="381" t="n"/>
      <c r="M173" s="381" t="n"/>
      <c r="N173" s="381" t="n"/>
      <c r="O173" s="381" t="n"/>
      <c r="P173" s="381" t="n"/>
      <c r="Q173" s="381" t="n"/>
      <c r="R173" s="381" t="n"/>
      <c r="S173" s="381" t="n"/>
      <c r="T173" s="381" t="n"/>
      <c r="U173" s="381" t="n"/>
      <c r="V173" s="381" t="n"/>
      <c r="W173" s="381" t="n"/>
      <c r="X173" s="381" t="n"/>
      <c r="Y173" s="381" t="n"/>
      <c r="Z173" s="399" t="n"/>
      <c r="AA173" s="399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384" t="n">
        <v>4680115882683</v>
      </c>
      <c r="E174" s="767" t="n"/>
      <c r="F174" s="801" t="n">
        <v>0.9</v>
      </c>
      <c r="G174" s="38" t="n">
        <v>6</v>
      </c>
      <c r="H174" s="801" t="n">
        <v>5.4</v>
      </c>
      <c r="I174" s="80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0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03" t="n"/>
      <c r="Q174" s="803" t="n"/>
      <c r="R174" s="803" t="n"/>
      <c r="S174" s="767" t="n"/>
      <c r="T174" s="40" t="inlineStr"/>
      <c r="U174" s="40" t="inlineStr"/>
      <c r="V174" s="41" t="inlineStr">
        <is>
          <t>кг</t>
        </is>
      </c>
      <c r="W174" s="804" t="n">
        <v>160</v>
      </c>
      <c r="X174" s="805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384" t="n">
        <v>4680115882690</v>
      </c>
      <c r="E175" s="767" t="n"/>
      <c r="F175" s="801" t="n">
        <v>0.9</v>
      </c>
      <c r="G175" s="38" t="n">
        <v>6</v>
      </c>
      <c r="H175" s="801" t="n">
        <v>5.4</v>
      </c>
      <c r="I175" s="80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0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03" t="n"/>
      <c r="Q175" s="803" t="n"/>
      <c r="R175" s="803" t="n"/>
      <c r="S175" s="767" t="n"/>
      <c r="T175" s="40" t="inlineStr"/>
      <c r="U175" s="40" t="inlineStr"/>
      <c r="V175" s="41" t="inlineStr">
        <is>
          <t>кг</t>
        </is>
      </c>
      <c r="W175" s="804" t="n">
        <v>110</v>
      </c>
      <c r="X175" s="805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384" t="n">
        <v>4680115882669</v>
      </c>
      <c r="E176" s="767" t="n"/>
      <c r="F176" s="801" t="n">
        <v>0.9</v>
      </c>
      <c r="G176" s="38" t="n">
        <v>6</v>
      </c>
      <c r="H176" s="801" t="n">
        <v>5.4</v>
      </c>
      <c r="I176" s="80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0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03" t="n"/>
      <c r="Q176" s="803" t="n"/>
      <c r="R176" s="803" t="n"/>
      <c r="S176" s="767" t="n"/>
      <c r="T176" s="40" t="inlineStr"/>
      <c r="U176" s="40" t="inlineStr"/>
      <c r="V176" s="41" t="inlineStr">
        <is>
          <t>кг</t>
        </is>
      </c>
      <c r="W176" s="804" t="n">
        <v>350</v>
      </c>
      <c r="X176" s="805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384" t="n">
        <v>4680115882676</v>
      </c>
      <c r="E177" s="767" t="n"/>
      <c r="F177" s="801" t="n">
        <v>0.9</v>
      </c>
      <c r="G177" s="38" t="n">
        <v>6</v>
      </c>
      <c r="H177" s="801" t="n">
        <v>5.4</v>
      </c>
      <c r="I177" s="801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0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03" t="n"/>
      <c r="Q177" s="803" t="n"/>
      <c r="R177" s="803" t="n"/>
      <c r="S177" s="767" t="n"/>
      <c r="T177" s="40" t="inlineStr"/>
      <c r="U177" s="40" t="inlineStr"/>
      <c r="V177" s="41" t="inlineStr">
        <is>
          <t>кг</t>
        </is>
      </c>
      <c r="W177" s="804" t="n">
        <v>150</v>
      </c>
      <c r="X177" s="805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>
      <c r="A178" s="393" t="n"/>
      <c r="B178" s="381" t="n"/>
      <c r="C178" s="381" t="n"/>
      <c r="D178" s="381" t="n"/>
      <c r="E178" s="381" t="n"/>
      <c r="F178" s="381" t="n"/>
      <c r="G178" s="381" t="n"/>
      <c r="H178" s="381" t="n"/>
      <c r="I178" s="381" t="n"/>
      <c r="J178" s="381" t="n"/>
      <c r="K178" s="381" t="n"/>
      <c r="L178" s="381" t="n"/>
      <c r="M178" s="381" t="n"/>
      <c r="N178" s="807" t="n"/>
      <c r="O178" s="808" t="inlineStr">
        <is>
          <t>Итого</t>
        </is>
      </c>
      <c r="P178" s="775" t="n"/>
      <c r="Q178" s="775" t="n"/>
      <c r="R178" s="775" t="n"/>
      <c r="S178" s="775" t="n"/>
      <c r="T178" s="775" t="n"/>
      <c r="U178" s="776" t="n"/>
      <c r="V178" s="43" t="inlineStr">
        <is>
          <t>кор</t>
        </is>
      </c>
      <c r="W178" s="809">
        <f>IFERROR(W174/H174,"0")+IFERROR(W175/H175,"0")+IFERROR(W176/H176,"0")+IFERROR(W177/H177,"0")</f>
        <v/>
      </c>
      <c r="X178" s="809">
        <f>IFERROR(X174/H174,"0")+IFERROR(X175/H175,"0")+IFERROR(X176/H176,"0")+IFERROR(X177/H177,"0")</f>
        <v/>
      </c>
      <c r="Y178" s="809">
        <f>IFERROR(IF(Y174="",0,Y174),"0")+IFERROR(IF(Y175="",0,Y175),"0")+IFERROR(IF(Y176="",0,Y176),"0")+IFERROR(IF(Y177="",0,Y177),"0")</f>
        <v/>
      </c>
      <c r="Z178" s="810" t="n"/>
      <c r="AA178" s="810" t="n"/>
    </row>
    <row r="179">
      <c r="A179" s="381" t="n"/>
      <c r="B179" s="381" t="n"/>
      <c r="C179" s="381" t="n"/>
      <c r="D179" s="381" t="n"/>
      <c r="E179" s="381" t="n"/>
      <c r="F179" s="381" t="n"/>
      <c r="G179" s="381" t="n"/>
      <c r="H179" s="381" t="n"/>
      <c r="I179" s="381" t="n"/>
      <c r="J179" s="381" t="n"/>
      <c r="K179" s="381" t="n"/>
      <c r="L179" s="381" t="n"/>
      <c r="M179" s="381" t="n"/>
      <c r="N179" s="807" t="n"/>
      <c r="O179" s="808" t="inlineStr">
        <is>
          <t>Итого</t>
        </is>
      </c>
      <c r="P179" s="775" t="n"/>
      <c r="Q179" s="775" t="n"/>
      <c r="R179" s="775" t="n"/>
      <c r="S179" s="775" t="n"/>
      <c r="T179" s="775" t="n"/>
      <c r="U179" s="776" t="n"/>
      <c r="V179" s="43" t="inlineStr">
        <is>
          <t>кг</t>
        </is>
      </c>
      <c r="W179" s="809">
        <f>IFERROR(SUM(W174:W177),"0")</f>
        <v/>
      </c>
      <c r="X179" s="809">
        <f>IFERROR(SUM(X174:X177),"0")</f>
        <v/>
      </c>
      <c r="Y179" s="43" t="n"/>
      <c r="Z179" s="810" t="n"/>
      <c r="AA179" s="810" t="n"/>
    </row>
    <row r="180" ht="14.25" customHeight="1">
      <c r="A180" s="399" t="inlineStr">
        <is>
          <t>Сосиски</t>
        </is>
      </c>
      <c r="B180" s="381" t="n"/>
      <c r="C180" s="381" t="n"/>
      <c r="D180" s="381" t="n"/>
      <c r="E180" s="381" t="n"/>
      <c r="F180" s="381" t="n"/>
      <c r="G180" s="381" t="n"/>
      <c r="H180" s="381" t="n"/>
      <c r="I180" s="381" t="n"/>
      <c r="J180" s="381" t="n"/>
      <c r="K180" s="381" t="n"/>
      <c r="L180" s="381" t="n"/>
      <c r="M180" s="381" t="n"/>
      <c r="N180" s="381" t="n"/>
      <c r="O180" s="381" t="n"/>
      <c r="P180" s="381" t="n"/>
      <c r="Q180" s="381" t="n"/>
      <c r="R180" s="381" t="n"/>
      <c r="S180" s="381" t="n"/>
      <c r="T180" s="381" t="n"/>
      <c r="U180" s="381" t="n"/>
      <c r="V180" s="381" t="n"/>
      <c r="W180" s="381" t="n"/>
      <c r="X180" s="381" t="n"/>
      <c r="Y180" s="381" t="n"/>
      <c r="Z180" s="399" t="n"/>
      <c r="AA180" s="399" t="n"/>
    </row>
    <row r="181" ht="27" customHeight="1">
      <c r="A181" s="64" t="inlineStr">
        <is>
          <t>SU002857</t>
        </is>
      </c>
      <c r="B181" s="64" t="inlineStr">
        <is>
          <t>P003264</t>
        </is>
      </c>
      <c r="C181" s="37" t="n">
        <v>4301051409</v>
      </c>
      <c r="D181" s="384" t="n">
        <v>4680115881556</v>
      </c>
      <c r="E181" s="767" t="n"/>
      <c r="F181" s="801" t="n">
        <v>1</v>
      </c>
      <c r="G181" s="38" t="n">
        <v>4</v>
      </c>
      <c r="H181" s="801" t="n">
        <v>4</v>
      </c>
      <c r="I181" s="801" t="n">
        <v>4.408</v>
      </c>
      <c r="J181" s="38" t="n">
        <v>104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45</v>
      </c>
      <c r="O181" s="90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1" s="803" t="n"/>
      <c r="Q181" s="803" t="n"/>
      <c r="R181" s="803" t="n"/>
      <c r="S181" s="767" t="n"/>
      <c r="T181" s="40" t="inlineStr"/>
      <c r="U181" s="40" t="inlineStr"/>
      <c r="V181" s="41" t="inlineStr">
        <is>
          <t>кг</t>
        </is>
      </c>
      <c r="W181" s="804" t="n">
        <v>0</v>
      </c>
      <c r="X181" s="805">
        <f>IFERROR(IF(W181="",0,CEILING((W181/$H181),1)*$H181),"")</f>
        <v/>
      </c>
      <c r="Y181" s="42">
        <f>IFERROR(IF(X181=0,"",ROUNDUP(X181/H181,0)*0.01196),"")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84" t="n">
        <v>4680115881594</v>
      </c>
      <c r="E182" s="767" t="n"/>
      <c r="F182" s="801" t="n">
        <v>1.35</v>
      </c>
      <c r="G182" s="38" t="n">
        <v>6</v>
      </c>
      <c r="H182" s="801" t="n">
        <v>8.1</v>
      </c>
      <c r="I182" s="801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0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2" s="803" t="n"/>
      <c r="Q182" s="803" t="n"/>
      <c r="R182" s="803" t="n"/>
      <c r="S182" s="767" t="n"/>
      <c r="T182" s="40" t="inlineStr"/>
      <c r="U182" s="40" t="inlineStr"/>
      <c r="V182" s="41" t="inlineStr">
        <is>
          <t>кг</t>
        </is>
      </c>
      <c r="W182" s="804" t="n">
        <v>0</v>
      </c>
      <c r="X182" s="805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84" t="n">
        <v>4680115881587</v>
      </c>
      <c r="E183" s="767" t="n"/>
      <c r="F183" s="801" t="n">
        <v>1</v>
      </c>
      <c r="G183" s="38" t="n">
        <v>4</v>
      </c>
      <c r="H183" s="801" t="n">
        <v>4</v>
      </c>
      <c r="I183" s="801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0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3" s="803" t="n"/>
      <c r="Q183" s="803" t="n"/>
      <c r="R183" s="803" t="n"/>
      <c r="S183" s="767" t="n"/>
      <c r="T183" s="40" t="inlineStr"/>
      <c r="U183" s="40" t="inlineStr"/>
      <c r="V183" s="41" t="inlineStr">
        <is>
          <t>кг</t>
        </is>
      </c>
      <c r="W183" s="804" t="n">
        <v>0</v>
      </c>
      <c r="X183" s="805">
        <f>IFERROR(IF(W183="",0,CEILING((W183/$H183),1)*$H183),"")</f>
        <v/>
      </c>
      <c r="Y183" s="42">
        <f>IFERROR(IF(X183=0,"",ROUNDUP(X183/H183,0)*0.01196),"")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84" t="n">
        <v>4680115880962</v>
      </c>
      <c r="E184" s="767" t="n"/>
      <c r="F184" s="801" t="n">
        <v>1.3</v>
      </c>
      <c r="G184" s="38" t="n">
        <v>6</v>
      </c>
      <c r="H184" s="801" t="n">
        <v>7.8</v>
      </c>
      <c r="I184" s="801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9" t="n"/>
      <c r="N184" s="38" t="n">
        <v>40</v>
      </c>
      <c r="O184" s="908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4" s="803" t="n"/>
      <c r="Q184" s="803" t="n"/>
      <c r="R184" s="803" t="n"/>
      <c r="S184" s="767" t="n"/>
      <c r="T184" s="40" t="inlineStr"/>
      <c r="U184" s="40" t="inlineStr"/>
      <c r="V184" s="41" t="inlineStr">
        <is>
          <t>кг</t>
        </is>
      </c>
      <c r="W184" s="804" t="n">
        <v>0</v>
      </c>
      <c r="X184" s="805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84" t="n">
        <v>4680115881617</v>
      </c>
      <c r="E185" s="767" t="n"/>
      <c r="F185" s="801" t="n">
        <v>1.35</v>
      </c>
      <c r="G185" s="38" t="n">
        <v>6</v>
      </c>
      <c r="H185" s="801" t="n">
        <v>8.1</v>
      </c>
      <c r="I185" s="801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9" t="n"/>
      <c r="N185" s="38" t="n">
        <v>40</v>
      </c>
      <c r="O185" s="90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5" s="803" t="n"/>
      <c r="Q185" s="803" t="n"/>
      <c r="R185" s="803" t="n"/>
      <c r="S185" s="767" t="n"/>
      <c r="T185" s="40" t="inlineStr"/>
      <c r="U185" s="40" t="inlineStr"/>
      <c r="V185" s="41" t="inlineStr">
        <is>
          <t>кг</t>
        </is>
      </c>
      <c r="W185" s="804" t="n">
        <v>0</v>
      </c>
      <c r="X185" s="805">
        <f>IFERROR(IF(W185="",0,CEILING((W185/$H185),1)*$H185),"")</f>
        <v/>
      </c>
      <c r="Y185" s="42">
        <f>IFERROR(IF(X185=0,"",ROUNDUP(X185/H185,0)*0.02175),"")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16.5" customHeight="1">
      <c r="A186" s="64" t="inlineStr">
        <is>
          <t>SU002725</t>
        </is>
      </c>
      <c r="B186" s="64" t="inlineStr">
        <is>
          <t>P003672</t>
        </is>
      </c>
      <c r="C186" s="37" t="n">
        <v>4301051538</v>
      </c>
      <c r="D186" s="384" t="n">
        <v>4680115880573</v>
      </c>
      <c r="E186" s="767" t="n"/>
      <c r="F186" s="801" t="n">
        <v>1.45</v>
      </c>
      <c r="G186" s="38" t="n">
        <v>6</v>
      </c>
      <c r="H186" s="801" t="n">
        <v>8.699999999999999</v>
      </c>
      <c r="I186" s="801" t="n">
        <v>9.263999999999999</v>
      </c>
      <c r="J186" s="38" t="n">
        <v>56</v>
      </c>
      <c r="K186" s="38" t="inlineStr">
        <is>
          <t>8</t>
        </is>
      </c>
      <c r="L186" s="39" t="inlineStr">
        <is>
          <t>СК2</t>
        </is>
      </c>
      <c r="M186" s="39" t="n"/>
      <c r="N186" s="38" t="n">
        <v>45</v>
      </c>
      <c r="O186" s="910">
        <f>HYPERLINK("https://abi.ru/products/Охлажденные/Стародворье/Сочинка/Сосиски/P003672/","Сосиски «Сочинки» Весовой п/а ТМ «Стародворье»")</f>
        <v/>
      </c>
      <c r="P186" s="803" t="n"/>
      <c r="Q186" s="803" t="n"/>
      <c r="R186" s="803" t="n"/>
      <c r="S186" s="767" t="n"/>
      <c r="T186" s="40" t="inlineStr"/>
      <c r="U186" s="40" t="inlineStr"/>
      <c r="V186" s="41" t="inlineStr">
        <is>
          <t>кг</t>
        </is>
      </c>
      <c r="W186" s="804" t="n">
        <v>240</v>
      </c>
      <c r="X186" s="805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SU002801</t>
        </is>
      </c>
      <c r="B187" s="64" t="inlineStr">
        <is>
          <t>P003475</t>
        </is>
      </c>
      <c r="C187" s="37" t="n">
        <v>4301051487</v>
      </c>
      <c r="D187" s="384" t="n">
        <v>4680115881228</v>
      </c>
      <c r="E187" s="767" t="n"/>
      <c r="F187" s="801" t="n">
        <v>0.4</v>
      </c>
      <c r="G187" s="38" t="n">
        <v>6</v>
      </c>
      <c r="H187" s="801" t="n">
        <v>2.4</v>
      </c>
      <c r="I187" s="80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1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7" s="803" t="n"/>
      <c r="Q187" s="803" t="n"/>
      <c r="R187" s="803" t="n"/>
      <c r="S187" s="767" t="n"/>
      <c r="T187" s="40" t="inlineStr"/>
      <c r="U187" s="40" t="inlineStr"/>
      <c r="V187" s="41" t="inlineStr">
        <is>
          <t>кг</t>
        </is>
      </c>
      <c r="W187" s="804" t="n">
        <v>240</v>
      </c>
      <c r="X187" s="805">
        <f>IFERROR(IF(W187="",0,CEILING((W187/$H187),1)*$H187),"")</f>
        <v/>
      </c>
      <c r="Y187" s="42">
        <f>IFERROR(IF(X187=0,"",ROUNDUP(X187/H187,0)*0.00753),"")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27" customHeight="1">
      <c r="A188" s="64" t="inlineStr">
        <is>
          <t>SU002802</t>
        </is>
      </c>
      <c r="B188" s="64" t="inlineStr">
        <is>
          <t>P003580</t>
        </is>
      </c>
      <c r="C188" s="37" t="n">
        <v>4301051506</v>
      </c>
      <c r="D188" s="384" t="n">
        <v>4680115881037</v>
      </c>
      <c r="E188" s="767" t="n"/>
      <c r="F188" s="801" t="n">
        <v>0.84</v>
      </c>
      <c r="G188" s="38" t="n">
        <v>4</v>
      </c>
      <c r="H188" s="801" t="n">
        <v>3.36</v>
      </c>
      <c r="I188" s="801" t="n">
        <v>3.618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40</v>
      </c>
      <c r="O188" s="91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8" s="803" t="n"/>
      <c r="Q188" s="803" t="n"/>
      <c r="R188" s="803" t="n"/>
      <c r="S188" s="767" t="n"/>
      <c r="T188" s="40" t="inlineStr"/>
      <c r="U188" s="40" t="inlineStr"/>
      <c r="V188" s="41" t="inlineStr">
        <is>
          <t>кг</t>
        </is>
      </c>
      <c r="W188" s="804" t="n">
        <v>0</v>
      </c>
      <c r="X188" s="805">
        <f>IFERROR(IF(W188="",0,CEILING((W188/$H188),1)*$H188),"")</f>
        <v/>
      </c>
      <c r="Y188" s="42">
        <f>IFERROR(IF(X188=0,"",ROUNDUP(X188/H188,0)*0.00937),"")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SU002799</t>
        </is>
      </c>
      <c r="B189" s="64" t="inlineStr">
        <is>
          <t>P003217</t>
        </is>
      </c>
      <c r="C189" s="37" t="n">
        <v>4301051384</v>
      </c>
      <c r="D189" s="384" t="n">
        <v>4680115881211</v>
      </c>
      <c r="E189" s="767" t="n"/>
      <c r="F189" s="801" t="n">
        <v>0.4</v>
      </c>
      <c r="G189" s="38" t="n">
        <v>6</v>
      </c>
      <c r="H189" s="801" t="n">
        <v>2.4</v>
      </c>
      <c r="I189" s="801" t="n">
        <v>2.6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1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89" s="803" t="n"/>
      <c r="Q189" s="803" t="n"/>
      <c r="R189" s="803" t="n"/>
      <c r="S189" s="767" t="n"/>
      <c r="T189" s="40" t="inlineStr"/>
      <c r="U189" s="40" t="inlineStr"/>
      <c r="V189" s="41" t="inlineStr">
        <is>
          <t>кг</t>
        </is>
      </c>
      <c r="W189" s="804" t="n">
        <v>320</v>
      </c>
      <c r="X189" s="805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SU002800</t>
        </is>
      </c>
      <c r="B190" s="64" t="inlineStr">
        <is>
          <t>P003201</t>
        </is>
      </c>
      <c r="C190" s="37" t="n">
        <v>4301051378</v>
      </c>
      <c r="D190" s="384" t="n">
        <v>4680115881020</v>
      </c>
      <c r="E190" s="767" t="n"/>
      <c r="F190" s="801" t="n">
        <v>0.84</v>
      </c>
      <c r="G190" s="38" t="n">
        <v>4</v>
      </c>
      <c r="H190" s="801" t="n">
        <v>3.36</v>
      </c>
      <c r="I190" s="801" t="n">
        <v>3.57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45</v>
      </c>
      <c r="O190" s="91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0" s="803" t="n"/>
      <c r="Q190" s="803" t="n"/>
      <c r="R190" s="803" t="n"/>
      <c r="S190" s="767" t="n"/>
      <c r="T190" s="40" t="inlineStr"/>
      <c r="U190" s="40" t="inlineStr"/>
      <c r="V190" s="41" t="inlineStr">
        <is>
          <t>кг</t>
        </is>
      </c>
      <c r="W190" s="804" t="n">
        <v>0</v>
      </c>
      <c r="X190" s="805">
        <f>IFERROR(IF(W190="",0,CEILING((W190/$H190),1)*$H190),"")</f>
        <v/>
      </c>
      <c r="Y190" s="42">
        <f>IFERROR(IF(X190=0,"",ROUNDUP(X190/H190,0)*0.00937),"")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SU002842</t>
        </is>
      </c>
      <c r="B191" s="64" t="inlineStr">
        <is>
          <t>P003262</t>
        </is>
      </c>
      <c r="C191" s="37" t="n">
        <v>4301051407</v>
      </c>
      <c r="D191" s="384" t="n">
        <v>4680115882195</v>
      </c>
      <c r="E191" s="767" t="n"/>
      <c r="F191" s="801" t="n">
        <v>0.4</v>
      </c>
      <c r="G191" s="38" t="n">
        <v>6</v>
      </c>
      <c r="H191" s="801" t="n">
        <v>2.4</v>
      </c>
      <c r="I191" s="801" t="n">
        <v>2.69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40</v>
      </c>
      <c r="O191" s="91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1" s="803" t="n"/>
      <c r="Q191" s="803" t="n"/>
      <c r="R191" s="803" t="n"/>
      <c r="S191" s="767" t="n"/>
      <c r="T191" s="40" t="inlineStr"/>
      <c r="U191" s="40" t="inlineStr"/>
      <c r="V191" s="41" t="inlineStr">
        <is>
          <t>кг</t>
        </is>
      </c>
      <c r="W191" s="804" t="n">
        <v>280</v>
      </c>
      <c r="X191" s="805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SU002992</t>
        </is>
      </c>
      <c r="B192" s="64" t="inlineStr">
        <is>
          <t>P003443</t>
        </is>
      </c>
      <c r="C192" s="37" t="n">
        <v>4301051479</v>
      </c>
      <c r="D192" s="384" t="n">
        <v>4680115882607</v>
      </c>
      <c r="E192" s="767" t="n"/>
      <c r="F192" s="801" t="n">
        <v>0.3</v>
      </c>
      <c r="G192" s="38" t="n">
        <v>6</v>
      </c>
      <c r="H192" s="801" t="n">
        <v>1.8</v>
      </c>
      <c r="I192" s="801" t="n">
        <v>2.072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1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92" s="803" t="n"/>
      <c r="Q192" s="803" t="n"/>
      <c r="R192" s="803" t="n"/>
      <c r="S192" s="767" t="n"/>
      <c r="T192" s="40" t="inlineStr"/>
      <c r="U192" s="40" t="inlineStr"/>
      <c r="V192" s="41" t="inlineStr">
        <is>
          <t>кг</t>
        </is>
      </c>
      <c r="W192" s="804" t="n">
        <v>0</v>
      </c>
      <c r="X192" s="805">
        <f>IFERROR(IF(W192="",0,CEILING((W192/$H192),1)*$H192),"")</f>
        <v/>
      </c>
      <c r="Y192" s="42">
        <f>IFERROR(IF(X192=0,"",ROUNDUP(X192/H192,0)*0.00753),"")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SU002618</t>
        </is>
      </c>
      <c r="B193" s="64" t="inlineStr">
        <is>
          <t>P003398</t>
        </is>
      </c>
      <c r="C193" s="37" t="n">
        <v>4301051468</v>
      </c>
      <c r="D193" s="384" t="n">
        <v>4680115880092</v>
      </c>
      <c r="E193" s="767" t="n"/>
      <c r="F193" s="801" t="n">
        <v>0.4</v>
      </c>
      <c r="G193" s="38" t="n">
        <v>6</v>
      </c>
      <c r="H193" s="801" t="n">
        <v>2.4</v>
      </c>
      <c r="I193" s="80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1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3" s="803" t="n"/>
      <c r="Q193" s="803" t="n"/>
      <c r="R193" s="803" t="n"/>
      <c r="S193" s="767" t="n"/>
      <c r="T193" s="40" t="inlineStr"/>
      <c r="U193" s="40" t="inlineStr"/>
      <c r="V193" s="41" t="inlineStr">
        <is>
          <t>кг</t>
        </is>
      </c>
      <c r="W193" s="804" t="n">
        <v>840</v>
      </c>
      <c r="X193" s="805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SU002621</t>
        </is>
      </c>
      <c r="B194" s="64" t="inlineStr">
        <is>
          <t>P003399</t>
        </is>
      </c>
      <c r="C194" s="37" t="n">
        <v>4301051469</v>
      </c>
      <c r="D194" s="384" t="n">
        <v>4680115880221</v>
      </c>
      <c r="E194" s="767" t="n"/>
      <c r="F194" s="801" t="n">
        <v>0.4</v>
      </c>
      <c r="G194" s="38" t="n">
        <v>6</v>
      </c>
      <c r="H194" s="801" t="n">
        <v>2.4</v>
      </c>
      <c r="I194" s="801" t="n">
        <v>2.672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45</v>
      </c>
      <c r="O194" s="91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4" s="803" t="n"/>
      <c r="Q194" s="803" t="n"/>
      <c r="R194" s="803" t="n"/>
      <c r="S194" s="767" t="n"/>
      <c r="T194" s="40" t="inlineStr"/>
      <c r="U194" s="40" t="inlineStr"/>
      <c r="V194" s="41" t="inlineStr">
        <is>
          <t>кг</t>
        </is>
      </c>
      <c r="W194" s="804" t="n">
        <v>0</v>
      </c>
      <c r="X194" s="805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16.5" customHeight="1">
      <c r="A195" s="64" t="inlineStr">
        <is>
          <t>SU003073</t>
        </is>
      </c>
      <c r="B195" s="64" t="inlineStr">
        <is>
          <t>P003613</t>
        </is>
      </c>
      <c r="C195" s="37" t="n">
        <v>4301051523</v>
      </c>
      <c r="D195" s="384" t="n">
        <v>4680115882942</v>
      </c>
      <c r="E195" s="767" t="n"/>
      <c r="F195" s="801" t="n">
        <v>0.3</v>
      </c>
      <c r="G195" s="38" t="n">
        <v>6</v>
      </c>
      <c r="H195" s="801" t="n">
        <v>1.8</v>
      </c>
      <c r="I195" s="801" t="n">
        <v>2.072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1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5" s="803" t="n"/>
      <c r="Q195" s="803" t="n"/>
      <c r="R195" s="803" t="n"/>
      <c r="S195" s="767" t="n"/>
      <c r="T195" s="40" t="inlineStr"/>
      <c r="U195" s="40" t="inlineStr"/>
      <c r="V195" s="41" t="inlineStr">
        <is>
          <t>кг</t>
        </is>
      </c>
      <c r="W195" s="804" t="n">
        <v>0</v>
      </c>
      <c r="X195" s="805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16.5" customHeight="1">
      <c r="A196" s="64" t="inlineStr">
        <is>
          <t>SU002686</t>
        </is>
      </c>
      <c r="B196" s="64" t="inlineStr">
        <is>
          <t>P003071</t>
        </is>
      </c>
      <c r="C196" s="37" t="n">
        <v>4301051326</v>
      </c>
      <c r="D196" s="384" t="n">
        <v>4680115880504</v>
      </c>
      <c r="E196" s="767" t="n"/>
      <c r="F196" s="801" t="n">
        <v>0.4</v>
      </c>
      <c r="G196" s="38" t="n">
        <v>6</v>
      </c>
      <c r="H196" s="801" t="n">
        <v>2.4</v>
      </c>
      <c r="I196" s="801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40</v>
      </c>
      <c r="O196" s="920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6" s="803" t="n"/>
      <c r="Q196" s="803" t="n"/>
      <c r="R196" s="803" t="n"/>
      <c r="S196" s="767" t="n"/>
      <c r="T196" s="40" t="inlineStr"/>
      <c r="U196" s="40" t="inlineStr"/>
      <c r="V196" s="41" t="inlineStr">
        <is>
          <t>кг</t>
        </is>
      </c>
      <c r="W196" s="804" t="n">
        <v>148</v>
      </c>
      <c r="X196" s="805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SU002844</t>
        </is>
      </c>
      <c r="B197" s="64" t="inlineStr">
        <is>
          <t>P003265</t>
        </is>
      </c>
      <c r="C197" s="37" t="n">
        <v>4301051410</v>
      </c>
      <c r="D197" s="384" t="n">
        <v>4680115882164</v>
      </c>
      <c r="E197" s="767" t="n"/>
      <c r="F197" s="801" t="n">
        <v>0.4</v>
      </c>
      <c r="G197" s="38" t="n">
        <v>6</v>
      </c>
      <c r="H197" s="801" t="n">
        <v>2.4</v>
      </c>
      <c r="I197" s="801" t="n">
        <v>2.678</v>
      </c>
      <c r="J197" s="38" t="n">
        <v>156</v>
      </c>
      <c r="K197" s="38" t="inlineStr">
        <is>
          <t>12</t>
        </is>
      </c>
      <c r="L197" s="39" t="inlineStr">
        <is>
          <t>СК3</t>
        </is>
      </c>
      <c r="M197" s="39" t="n"/>
      <c r="N197" s="38" t="n">
        <v>40</v>
      </c>
      <c r="O197" s="92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7" s="803" t="n"/>
      <c r="Q197" s="803" t="n"/>
      <c r="R197" s="803" t="n"/>
      <c r="S197" s="767" t="n"/>
      <c r="T197" s="40" t="inlineStr"/>
      <c r="U197" s="40" t="inlineStr"/>
      <c r="V197" s="41" t="inlineStr">
        <is>
          <t>кг</t>
        </is>
      </c>
      <c r="W197" s="804" t="n">
        <v>280</v>
      </c>
      <c r="X197" s="805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>
      <c r="A198" s="393" t="n"/>
      <c r="B198" s="381" t="n"/>
      <c r="C198" s="381" t="n"/>
      <c r="D198" s="381" t="n"/>
      <c r="E198" s="381" t="n"/>
      <c r="F198" s="381" t="n"/>
      <c r="G198" s="381" t="n"/>
      <c r="H198" s="381" t="n"/>
      <c r="I198" s="381" t="n"/>
      <c r="J198" s="381" t="n"/>
      <c r="K198" s="381" t="n"/>
      <c r="L198" s="381" t="n"/>
      <c r="M198" s="381" t="n"/>
      <c r="N198" s="807" t="n"/>
      <c r="O198" s="808" t="inlineStr">
        <is>
          <t>Итого</t>
        </is>
      </c>
      <c r="P198" s="775" t="n"/>
      <c r="Q198" s="775" t="n"/>
      <c r="R198" s="775" t="n"/>
      <c r="S198" s="775" t="n"/>
      <c r="T198" s="775" t="n"/>
      <c r="U198" s="776" t="n"/>
      <c r="V198" s="43" t="inlineStr">
        <is>
          <t>кор</t>
        </is>
      </c>
      <c r="W198" s="80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/>
      </c>
      <c r="X198" s="80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/>
      </c>
      <c r="Y198" s="80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/>
      </c>
      <c r="Z198" s="810" t="n"/>
      <c r="AA198" s="810" t="n"/>
    </row>
    <row r="199">
      <c r="A199" s="381" t="n"/>
      <c r="B199" s="381" t="n"/>
      <c r="C199" s="381" t="n"/>
      <c r="D199" s="381" t="n"/>
      <c r="E199" s="381" t="n"/>
      <c r="F199" s="381" t="n"/>
      <c r="G199" s="381" t="n"/>
      <c r="H199" s="381" t="n"/>
      <c r="I199" s="381" t="n"/>
      <c r="J199" s="381" t="n"/>
      <c r="K199" s="381" t="n"/>
      <c r="L199" s="381" t="n"/>
      <c r="M199" s="381" t="n"/>
      <c r="N199" s="807" t="n"/>
      <c r="O199" s="808" t="inlineStr">
        <is>
          <t>Итого</t>
        </is>
      </c>
      <c r="P199" s="775" t="n"/>
      <c r="Q199" s="775" t="n"/>
      <c r="R199" s="775" t="n"/>
      <c r="S199" s="775" t="n"/>
      <c r="T199" s="775" t="n"/>
      <c r="U199" s="776" t="n"/>
      <c r="V199" s="43" t="inlineStr">
        <is>
          <t>кг</t>
        </is>
      </c>
      <c r="W199" s="809">
        <f>IFERROR(SUM(W181:W197),"0")</f>
        <v/>
      </c>
      <c r="X199" s="809">
        <f>IFERROR(SUM(X181:X197),"0")</f>
        <v/>
      </c>
      <c r="Y199" s="43" t="n"/>
      <c r="Z199" s="810" t="n"/>
      <c r="AA199" s="810" t="n"/>
    </row>
    <row r="200" ht="14.25" customHeight="1">
      <c r="A200" s="399" t="inlineStr">
        <is>
          <t>Сардельки</t>
        </is>
      </c>
      <c r="B200" s="381" t="n"/>
      <c r="C200" s="381" t="n"/>
      <c r="D200" s="381" t="n"/>
      <c r="E200" s="381" t="n"/>
      <c r="F200" s="381" t="n"/>
      <c r="G200" s="381" t="n"/>
      <c r="H200" s="381" t="n"/>
      <c r="I200" s="381" t="n"/>
      <c r="J200" s="381" t="n"/>
      <c r="K200" s="381" t="n"/>
      <c r="L200" s="381" t="n"/>
      <c r="M200" s="381" t="n"/>
      <c r="N200" s="381" t="n"/>
      <c r="O200" s="381" t="n"/>
      <c r="P200" s="381" t="n"/>
      <c r="Q200" s="381" t="n"/>
      <c r="R200" s="381" t="n"/>
      <c r="S200" s="381" t="n"/>
      <c r="T200" s="381" t="n"/>
      <c r="U200" s="381" t="n"/>
      <c r="V200" s="381" t="n"/>
      <c r="W200" s="381" t="n"/>
      <c r="X200" s="381" t="n"/>
      <c r="Y200" s="381" t="n"/>
      <c r="Z200" s="399" t="n"/>
      <c r="AA200" s="399" t="n"/>
    </row>
    <row r="201" ht="16.5" customHeight="1">
      <c r="A201" s="64" t="inlineStr">
        <is>
          <t>SU003042</t>
        </is>
      </c>
      <c r="B201" s="64" t="inlineStr">
        <is>
          <t>P003608</t>
        </is>
      </c>
      <c r="C201" s="37" t="n">
        <v>4301060360</v>
      </c>
      <c r="D201" s="384" t="n">
        <v>4680115882874</v>
      </c>
      <c r="E201" s="767" t="n"/>
      <c r="F201" s="801" t="n">
        <v>0.8</v>
      </c>
      <c r="G201" s="38" t="n">
        <v>4</v>
      </c>
      <c r="H201" s="801" t="n">
        <v>3.2</v>
      </c>
      <c r="I201" s="80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22">
        <f>HYPERLINK("https://abi.ru/products/Охлажденные/Стародворье/Сочинка/Сардельки/P003608/","Сардельки «Сочинки» Весовой н/о ТМ «Стародворье»")</f>
        <v/>
      </c>
      <c r="P201" s="803" t="n"/>
      <c r="Q201" s="803" t="n"/>
      <c r="R201" s="803" t="n"/>
      <c r="S201" s="767" t="n"/>
      <c r="T201" s="40" t="inlineStr"/>
      <c r="U201" s="40" t="inlineStr"/>
      <c r="V201" s="41" t="inlineStr">
        <is>
          <t>кг</t>
        </is>
      </c>
      <c r="W201" s="804" t="n">
        <v>0</v>
      </c>
      <c r="X201" s="805">
        <f>IFERROR(IF(W201="",0,CEILING((W201/$H201),1)*$H201),"")</f>
        <v/>
      </c>
      <c r="Y201" s="42">
        <f>IFERROR(IF(X201=0,"",ROUNDUP(X201/H201,0)*0.00937),"")</f>
        <v/>
      </c>
      <c r="Z201" s="69" t="inlineStr"/>
      <c r="AA201" s="70" t="inlineStr"/>
      <c r="AE201" s="80" t="n"/>
      <c r="BB201" s="194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 ht="27" customHeight="1">
      <c r="A202" s="64" t="inlineStr">
        <is>
          <t>SU003043</t>
        </is>
      </c>
      <c r="B202" s="64" t="inlineStr">
        <is>
          <t>P003604</t>
        </is>
      </c>
      <c r="C202" s="37" t="n">
        <v>4301060359</v>
      </c>
      <c r="D202" s="384" t="n">
        <v>4680115884434</v>
      </c>
      <c r="E202" s="767" t="n"/>
      <c r="F202" s="801" t="n">
        <v>0.8</v>
      </c>
      <c r="G202" s="38" t="n">
        <v>4</v>
      </c>
      <c r="H202" s="801" t="n">
        <v>3.2</v>
      </c>
      <c r="I202" s="801" t="n">
        <v>3.466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30</v>
      </c>
      <c r="O202" s="92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2" s="803" t="n"/>
      <c r="Q202" s="803" t="n"/>
      <c r="R202" s="803" t="n"/>
      <c r="S202" s="767" t="n"/>
      <c r="T202" s="40" t="inlineStr"/>
      <c r="U202" s="40" t="inlineStr"/>
      <c r="V202" s="41" t="inlineStr">
        <is>
          <t>кг</t>
        </is>
      </c>
      <c r="W202" s="804" t="n">
        <v>0</v>
      </c>
      <c r="X202" s="805">
        <f>IFERROR(IF(W202="",0,CEILING((W202/$H202),1)*$H202),"")</f>
        <v/>
      </c>
      <c r="Y202" s="42">
        <f>IFERROR(IF(X202=0,"",ROUNDUP(X202/H202,0)*0.00937),"")</f>
        <v/>
      </c>
      <c r="Z202" s="69" t="inlineStr"/>
      <c r="AA202" s="70" t="inlineStr"/>
      <c r="AE202" s="80" t="n"/>
      <c r="BB202" s="195" t="inlineStr">
        <is>
          <t>КИ</t>
        </is>
      </c>
      <c r="BL202" s="80">
        <f>IFERROR(W202*I202/H202,"0")</f>
        <v/>
      </c>
      <c r="BM202" s="80">
        <f>IFERROR(X202*I202/H202,"0")</f>
        <v/>
      </c>
      <c r="BN202" s="80">
        <f>IFERROR(1/J202*(W202/H202),"0")</f>
        <v/>
      </c>
      <c r="BO202" s="80">
        <f>IFERROR(1/J202*(X202/H202),"0")</f>
        <v/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84" t="n">
        <v>4680115880818</v>
      </c>
      <c r="E203" s="767" t="n"/>
      <c r="F203" s="801" t="n">
        <v>0.4</v>
      </c>
      <c r="G203" s="38" t="n">
        <v>6</v>
      </c>
      <c r="H203" s="801" t="n">
        <v>2.4</v>
      </c>
      <c r="I203" s="80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2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3" s="803" t="n"/>
      <c r="Q203" s="803" t="n"/>
      <c r="R203" s="803" t="n"/>
      <c r="S203" s="767" t="n"/>
      <c r="T203" s="40" t="inlineStr"/>
      <c r="U203" s="40" t="inlineStr"/>
      <c r="V203" s="41" t="inlineStr">
        <is>
          <t>кг</t>
        </is>
      </c>
      <c r="W203" s="804" t="n">
        <v>48</v>
      </c>
      <c r="X203" s="805">
        <f>IFERROR(IF(W203="",0,CEILING((W203/$H203),1)*$H203),"")</f>
        <v/>
      </c>
      <c r="Y203" s="42">
        <f>IFERROR(IF(X203=0,"",ROUNDUP(X203/H203,0)*0.00753),"")</f>
        <v/>
      </c>
      <c r="Z203" s="69" t="inlineStr"/>
      <c r="AA203" s="70" t="inlineStr"/>
      <c r="AE203" s="80" t="n"/>
      <c r="BB203" s="196" t="inlineStr">
        <is>
          <t>КИ</t>
        </is>
      </c>
      <c r="BL203" s="80">
        <f>IFERROR(W203*I203/H203,"0")</f>
        <v/>
      </c>
      <c r="BM203" s="80">
        <f>IFERROR(X203*I203/H203,"0")</f>
        <v/>
      </c>
      <c r="BN203" s="80">
        <f>IFERROR(1/J203*(W203/H203),"0")</f>
        <v/>
      </c>
      <c r="BO203" s="80">
        <f>IFERROR(1/J203*(X203/H203),"0")</f>
        <v/>
      </c>
    </row>
    <row r="204" ht="16.5" customHeight="1">
      <c r="A204" s="64" t="inlineStr">
        <is>
          <t>SU002758</t>
        </is>
      </c>
      <c r="B204" s="64" t="inlineStr">
        <is>
          <t>P003129</t>
        </is>
      </c>
      <c r="C204" s="37" t="n">
        <v>4301060338</v>
      </c>
      <c r="D204" s="384" t="n">
        <v>4680115880801</v>
      </c>
      <c r="E204" s="767" t="n"/>
      <c r="F204" s="801" t="n">
        <v>0.4</v>
      </c>
      <c r="G204" s="38" t="n">
        <v>6</v>
      </c>
      <c r="H204" s="801" t="n">
        <v>2.4</v>
      </c>
      <c r="I204" s="801" t="n">
        <v>2.672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40</v>
      </c>
      <c r="O204" s="92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4" s="803" t="n"/>
      <c r="Q204" s="803" t="n"/>
      <c r="R204" s="803" t="n"/>
      <c r="S204" s="767" t="n"/>
      <c r="T204" s="40" t="inlineStr"/>
      <c r="U204" s="40" t="inlineStr"/>
      <c r="V204" s="41" t="inlineStr">
        <is>
          <t>кг</t>
        </is>
      </c>
      <c r="W204" s="804" t="n">
        <v>44</v>
      </c>
      <c r="X204" s="805">
        <f>IFERROR(IF(W204="",0,CEILING((W204/$H204),1)*$H204),"")</f>
        <v/>
      </c>
      <c r="Y204" s="42">
        <f>IFERROR(IF(X204=0,"",ROUNDUP(X204/H204,0)*0.00753),"")</f>
        <v/>
      </c>
      <c r="Z204" s="69" t="inlineStr"/>
      <c r="AA204" s="70" t="inlineStr"/>
      <c r="AE204" s="80" t="n"/>
      <c r="BB204" s="197" t="inlineStr">
        <is>
          <t>КИ</t>
        </is>
      </c>
      <c r="BL204" s="80">
        <f>IFERROR(W204*I204/H204,"0")</f>
        <v/>
      </c>
      <c r="BM204" s="80">
        <f>IFERROR(X204*I204/H204,"0")</f>
        <v/>
      </c>
      <c r="BN204" s="80">
        <f>IFERROR(1/J204*(W204/H204),"0")</f>
        <v/>
      </c>
      <c r="BO204" s="80">
        <f>IFERROR(1/J204*(X204/H204),"0")</f>
        <v/>
      </c>
    </row>
    <row r="205">
      <c r="A205" s="393" t="n"/>
      <c r="B205" s="381" t="n"/>
      <c r="C205" s="381" t="n"/>
      <c r="D205" s="381" t="n"/>
      <c r="E205" s="381" t="n"/>
      <c r="F205" s="381" t="n"/>
      <c r="G205" s="381" t="n"/>
      <c r="H205" s="381" t="n"/>
      <c r="I205" s="381" t="n"/>
      <c r="J205" s="381" t="n"/>
      <c r="K205" s="381" t="n"/>
      <c r="L205" s="381" t="n"/>
      <c r="M205" s="381" t="n"/>
      <c r="N205" s="807" t="n"/>
      <c r="O205" s="808" t="inlineStr">
        <is>
          <t>Итого</t>
        </is>
      </c>
      <c r="P205" s="775" t="n"/>
      <c r="Q205" s="775" t="n"/>
      <c r="R205" s="775" t="n"/>
      <c r="S205" s="775" t="n"/>
      <c r="T205" s="775" t="n"/>
      <c r="U205" s="776" t="n"/>
      <c r="V205" s="43" t="inlineStr">
        <is>
          <t>кор</t>
        </is>
      </c>
      <c r="W205" s="809">
        <f>IFERROR(W201/H201,"0")+IFERROR(W202/H202,"0")+IFERROR(W203/H203,"0")+IFERROR(W204/H204,"0")</f>
        <v/>
      </c>
      <c r="X205" s="809">
        <f>IFERROR(X201/H201,"0")+IFERROR(X202/H202,"0")+IFERROR(X203/H203,"0")+IFERROR(X204/H204,"0")</f>
        <v/>
      </c>
      <c r="Y205" s="809">
        <f>IFERROR(IF(Y201="",0,Y201),"0")+IFERROR(IF(Y202="",0,Y202),"0")+IFERROR(IF(Y203="",0,Y203),"0")+IFERROR(IF(Y204="",0,Y204),"0")</f>
        <v/>
      </c>
      <c r="Z205" s="810" t="n"/>
      <c r="AA205" s="810" t="n"/>
    </row>
    <row r="206">
      <c r="A206" s="381" t="n"/>
      <c r="B206" s="381" t="n"/>
      <c r="C206" s="381" t="n"/>
      <c r="D206" s="381" t="n"/>
      <c r="E206" s="381" t="n"/>
      <c r="F206" s="381" t="n"/>
      <c r="G206" s="381" t="n"/>
      <c r="H206" s="381" t="n"/>
      <c r="I206" s="381" t="n"/>
      <c r="J206" s="381" t="n"/>
      <c r="K206" s="381" t="n"/>
      <c r="L206" s="381" t="n"/>
      <c r="M206" s="381" t="n"/>
      <c r="N206" s="807" t="n"/>
      <c r="O206" s="808" t="inlineStr">
        <is>
          <t>Итого</t>
        </is>
      </c>
      <c r="P206" s="775" t="n"/>
      <c r="Q206" s="775" t="n"/>
      <c r="R206" s="775" t="n"/>
      <c r="S206" s="775" t="n"/>
      <c r="T206" s="775" t="n"/>
      <c r="U206" s="776" t="n"/>
      <c r="V206" s="43" t="inlineStr">
        <is>
          <t>кг</t>
        </is>
      </c>
      <c r="W206" s="809">
        <f>IFERROR(SUM(W201:W204),"0")</f>
        <v/>
      </c>
      <c r="X206" s="809">
        <f>IFERROR(SUM(X201:X204),"0")</f>
        <v/>
      </c>
      <c r="Y206" s="43" t="n"/>
      <c r="Z206" s="810" t="n"/>
      <c r="AA206" s="810" t="n"/>
    </row>
    <row r="207" ht="16.5" customHeight="1">
      <c r="A207" s="421" t="inlineStr">
        <is>
          <t>Филедворская</t>
        </is>
      </c>
      <c r="B207" s="381" t="n"/>
      <c r="C207" s="381" t="n"/>
      <c r="D207" s="381" t="n"/>
      <c r="E207" s="381" t="n"/>
      <c r="F207" s="381" t="n"/>
      <c r="G207" s="381" t="n"/>
      <c r="H207" s="381" t="n"/>
      <c r="I207" s="381" t="n"/>
      <c r="J207" s="381" t="n"/>
      <c r="K207" s="381" t="n"/>
      <c r="L207" s="381" t="n"/>
      <c r="M207" s="381" t="n"/>
      <c r="N207" s="381" t="n"/>
      <c r="O207" s="381" t="n"/>
      <c r="P207" s="381" t="n"/>
      <c r="Q207" s="381" t="n"/>
      <c r="R207" s="381" t="n"/>
      <c r="S207" s="381" t="n"/>
      <c r="T207" s="381" t="n"/>
      <c r="U207" s="381" t="n"/>
      <c r="V207" s="381" t="n"/>
      <c r="W207" s="381" t="n"/>
      <c r="X207" s="381" t="n"/>
      <c r="Y207" s="381" t="n"/>
      <c r="Z207" s="421" t="n"/>
      <c r="AA207" s="421" t="n"/>
    </row>
    <row r="208" ht="14.25" customHeight="1">
      <c r="A208" s="399" t="inlineStr">
        <is>
          <t>Вареные колбасы</t>
        </is>
      </c>
      <c r="B208" s="381" t="n"/>
      <c r="C208" s="381" t="n"/>
      <c r="D208" s="381" t="n"/>
      <c r="E208" s="381" t="n"/>
      <c r="F208" s="381" t="n"/>
      <c r="G208" s="381" t="n"/>
      <c r="H208" s="381" t="n"/>
      <c r="I208" s="381" t="n"/>
      <c r="J208" s="381" t="n"/>
      <c r="K208" s="381" t="n"/>
      <c r="L208" s="381" t="n"/>
      <c r="M208" s="381" t="n"/>
      <c r="N208" s="381" t="n"/>
      <c r="O208" s="381" t="n"/>
      <c r="P208" s="381" t="n"/>
      <c r="Q208" s="381" t="n"/>
      <c r="R208" s="381" t="n"/>
      <c r="S208" s="381" t="n"/>
      <c r="T208" s="381" t="n"/>
      <c r="U208" s="381" t="n"/>
      <c r="V208" s="381" t="n"/>
      <c r="W208" s="381" t="n"/>
      <c r="X208" s="381" t="n"/>
      <c r="Y208" s="381" t="n"/>
      <c r="Z208" s="399" t="n"/>
      <c r="AA208" s="399" t="n"/>
    </row>
    <row r="209" ht="27" customHeight="1">
      <c r="A209" s="64" t="inlineStr">
        <is>
          <t>SU003267</t>
        </is>
      </c>
      <c r="B209" s="64" t="inlineStr">
        <is>
          <t>P003941</t>
        </is>
      </c>
      <c r="C209" s="37" t="n">
        <v>4301011717</v>
      </c>
      <c r="D209" s="384" t="n">
        <v>4680115884274</v>
      </c>
      <c r="E209" s="767" t="n"/>
      <c r="F209" s="801" t="n">
        <v>1.45</v>
      </c>
      <c r="G209" s="38" t="n">
        <v>8</v>
      </c>
      <c r="H209" s="801" t="n">
        <v>11.6</v>
      </c>
      <c r="I209" s="80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26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09" s="803" t="n"/>
      <c r="Q209" s="803" t="n"/>
      <c r="R209" s="803" t="n"/>
      <c r="S209" s="767" t="n"/>
      <c r="T209" s="40" t="inlineStr"/>
      <c r="U209" s="40" t="inlineStr"/>
      <c r="V209" s="41" t="inlineStr">
        <is>
          <t>кг</t>
        </is>
      </c>
      <c r="W209" s="804" t="n">
        <v>0</v>
      </c>
      <c r="X209" s="805">
        <f>IFERROR(IF(W209="",0,CEILING((W209/$H209),1)*$H209),"")</f>
        <v/>
      </c>
      <c r="Y209" s="42">
        <f>IFERROR(IF(X209=0,"",ROUNDUP(X209/H209,0)*0.02175),"")</f>
        <v/>
      </c>
      <c r="Z209" s="69" t="inlineStr"/>
      <c r="AA209" s="70" t="inlineStr"/>
      <c r="AE209" s="80" t="n"/>
      <c r="BB209" s="198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 ht="27" customHeight="1">
      <c r="A210" s="64" t="inlineStr">
        <is>
          <t>SU003269</t>
        </is>
      </c>
      <c r="B210" s="64" t="inlineStr">
        <is>
          <t>P003943</t>
        </is>
      </c>
      <c r="C210" s="37" t="n">
        <v>4301011719</v>
      </c>
      <c r="D210" s="384" t="n">
        <v>4680115884298</v>
      </c>
      <c r="E210" s="767" t="n"/>
      <c r="F210" s="801" t="n">
        <v>1.45</v>
      </c>
      <c r="G210" s="38" t="n">
        <v>8</v>
      </c>
      <c r="H210" s="801" t="n">
        <v>11.6</v>
      </c>
      <c r="I210" s="80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9" t="n"/>
      <c r="N210" s="38" t="n">
        <v>55</v>
      </c>
      <c r="O210" s="92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0" s="803" t="n"/>
      <c r="Q210" s="803" t="n"/>
      <c r="R210" s="803" t="n"/>
      <c r="S210" s="767" t="n"/>
      <c r="T210" s="40" t="inlineStr"/>
      <c r="U210" s="40" t="inlineStr"/>
      <c r="V210" s="41" t="inlineStr">
        <is>
          <t>кг</t>
        </is>
      </c>
      <c r="W210" s="804" t="n">
        <v>0</v>
      </c>
      <c r="X210" s="805">
        <f>IFERROR(IF(W210="",0,CEILING((W210/$H210),1)*$H210),"")</f>
        <v/>
      </c>
      <c r="Y210" s="42">
        <f>IFERROR(IF(X210=0,"",ROUNDUP(X210/H210,0)*0.02175),"")</f>
        <v/>
      </c>
      <c r="Z210" s="69" t="inlineStr"/>
      <c r="AA210" s="70" t="inlineStr"/>
      <c r="AE210" s="80" t="n"/>
      <c r="BB210" s="199" t="inlineStr">
        <is>
          <t>КИ</t>
        </is>
      </c>
      <c r="BL210" s="80">
        <f>IFERROR(W210*I210/H210,"0")</f>
        <v/>
      </c>
      <c r="BM210" s="80">
        <f>IFERROR(X210*I210/H210,"0")</f>
        <v/>
      </c>
      <c r="BN210" s="80">
        <f>IFERROR(1/J210*(W210/H210),"0")</f>
        <v/>
      </c>
      <c r="BO210" s="80">
        <f>IFERROR(1/J210*(X210/H210),"0")</f>
        <v/>
      </c>
    </row>
    <row r="211" ht="27" customHeight="1">
      <c r="A211" s="64" t="inlineStr">
        <is>
          <t>SU003265</t>
        </is>
      </c>
      <c r="B211" s="64" t="inlineStr">
        <is>
          <t>P003939</t>
        </is>
      </c>
      <c r="C211" s="37" t="n">
        <v>4301011733</v>
      </c>
      <c r="D211" s="384" t="n">
        <v>4680115884250</v>
      </c>
      <c r="E211" s="767" t="n"/>
      <c r="F211" s="801" t="n">
        <v>1.45</v>
      </c>
      <c r="G211" s="38" t="n">
        <v>8</v>
      </c>
      <c r="H211" s="801" t="n">
        <v>11.6</v>
      </c>
      <c r="I211" s="801" t="n">
        <v>12.08</v>
      </c>
      <c r="J211" s="38" t="n">
        <v>56</v>
      </c>
      <c r="K211" s="38" t="inlineStr">
        <is>
          <t>8</t>
        </is>
      </c>
      <c r="L211" s="39" t="inlineStr">
        <is>
          <t>СК3</t>
        </is>
      </c>
      <c r="M211" s="39" t="n"/>
      <c r="N211" s="38" t="n">
        <v>55</v>
      </c>
      <c r="O211" s="928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1" s="803" t="n"/>
      <c r="Q211" s="803" t="n"/>
      <c r="R211" s="803" t="n"/>
      <c r="S211" s="767" t="n"/>
      <c r="T211" s="40" t="inlineStr"/>
      <c r="U211" s="40" t="inlineStr"/>
      <c r="V211" s="41" t="inlineStr">
        <is>
          <t>кг</t>
        </is>
      </c>
      <c r="W211" s="804" t="n">
        <v>0</v>
      </c>
      <c r="X211" s="805">
        <f>IFERROR(IF(W211="",0,CEILING((W211/$H211),1)*$H211),"")</f>
        <v/>
      </c>
      <c r="Y211" s="42">
        <f>IFERROR(IF(X211=0,"",ROUNDUP(X211/H211,0)*0.02175),"")</f>
        <v/>
      </c>
      <c r="Z211" s="69" t="inlineStr"/>
      <c r="AA211" s="70" t="inlineStr"/>
      <c r="AE211" s="80" t="n"/>
      <c r="BB211" s="200" t="inlineStr">
        <is>
          <t>КИ</t>
        </is>
      </c>
      <c r="BL211" s="80">
        <f>IFERROR(W211*I211/H211,"0")</f>
        <v/>
      </c>
      <c r="BM211" s="80">
        <f>IFERROR(X211*I211/H211,"0")</f>
        <v/>
      </c>
      <c r="BN211" s="80">
        <f>IFERROR(1/J211*(W211/H211),"0")</f>
        <v/>
      </c>
      <c r="BO211" s="80">
        <f>IFERROR(1/J211*(X211/H211),"0")</f>
        <v/>
      </c>
    </row>
    <row r="212" ht="27" customHeight="1">
      <c r="A212" s="64" t="inlineStr">
        <is>
          <t>SU003268</t>
        </is>
      </c>
      <c r="B212" s="64" t="inlineStr">
        <is>
          <t>P003942</t>
        </is>
      </c>
      <c r="C212" s="37" t="n">
        <v>4301011718</v>
      </c>
      <c r="D212" s="384" t="n">
        <v>4680115884281</v>
      </c>
      <c r="E212" s="767" t="n"/>
      <c r="F212" s="801" t="n">
        <v>0.4</v>
      </c>
      <c r="G212" s="38" t="n">
        <v>10</v>
      </c>
      <c r="H212" s="801" t="n">
        <v>4</v>
      </c>
      <c r="I212" s="80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2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2" s="803" t="n"/>
      <c r="Q212" s="803" t="n"/>
      <c r="R212" s="803" t="n"/>
      <c r="S212" s="767" t="n"/>
      <c r="T212" s="40" t="inlineStr"/>
      <c r="U212" s="40" t="inlineStr"/>
      <c r="V212" s="41" t="inlineStr">
        <is>
          <t>кг</t>
        </is>
      </c>
      <c r="W212" s="804" t="n">
        <v>0</v>
      </c>
      <c r="X212" s="805">
        <f>IFERROR(IF(W212="",0,CEILING((W212/$H212),1)*$H212),"")</f>
        <v/>
      </c>
      <c r="Y212" s="42">
        <f>IFERROR(IF(X212=0,"",ROUNDUP(X212/H212,0)*0.00937),"")</f>
        <v/>
      </c>
      <c r="Z212" s="69" t="inlineStr"/>
      <c r="AA212" s="70" t="inlineStr"/>
      <c r="AE212" s="80" t="n"/>
      <c r="BB212" s="201" t="inlineStr">
        <is>
          <t>КИ</t>
        </is>
      </c>
      <c r="BL212" s="80">
        <f>IFERROR(W212*I212/H212,"0")</f>
        <v/>
      </c>
      <c r="BM212" s="80">
        <f>IFERROR(X212*I212/H212,"0")</f>
        <v/>
      </c>
      <c r="BN212" s="80">
        <f>IFERROR(1/J212*(W212/H212),"0")</f>
        <v/>
      </c>
      <c r="BO212" s="80">
        <f>IFERROR(1/J212*(X212/H212),"0")</f>
        <v/>
      </c>
    </row>
    <row r="213" ht="27" customHeight="1">
      <c r="A213" s="64" t="inlineStr">
        <is>
          <t>SU003270</t>
        </is>
      </c>
      <c r="B213" s="64" t="inlineStr">
        <is>
          <t>P003944</t>
        </is>
      </c>
      <c r="C213" s="37" t="n">
        <v>4301011720</v>
      </c>
      <c r="D213" s="384" t="n">
        <v>4680115884199</v>
      </c>
      <c r="E213" s="767" t="n"/>
      <c r="F213" s="801" t="n">
        <v>0.37</v>
      </c>
      <c r="G213" s="38" t="n">
        <v>10</v>
      </c>
      <c r="H213" s="801" t="n">
        <v>3.7</v>
      </c>
      <c r="I213" s="801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3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3" s="803" t="n"/>
      <c r="Q213" s="803" t="n"/>
      <c r="R213" s="803" t="n"/>
      <c r="S213" s="767" t="n"/>
      <c r="T213" s="40" t="inlineStr"/>
      <c r="U213" s="40" t="inlineStr"/>
      <c r="V213" s="41" t="inlineStr">
        <is>
          <t>кг</t>
        </is>
      </c>
      <c r="W213" s="804" t="n">
        <v>0</v>
      </c>
      <c r="X213" s="805">
        <f>IFERROR(IF(W213="",0,CEILING((W213/$H213),1)*$H213),"")</f>
        <v/>
      </c>
      <c r="Y213" s="42">
        <f>IFERROR(IF(X213=0,"",ROUNDUP(X213/H213,0)*0.00937),"")</f>
        <v/>
      </c>
      <c r="Z213" s="69" t="inlineStr"/>
      <c r="AA213" s="70" t="inlineStr"/>
      <c r="AE213" s="80" t="n"/>
      <c r="BB213" s="202" t="inlineStr">
        <is>
          <t>КИ</t>
        </is>
      </c>
      <c r="BL213" s="80">
        <f>IFERROR(W213*I213/H213,"0")</f>
        <v/>
      </c>
      <c r="BM213" s="80">
        <f>IFERROR(X213*I213/H213,"0")</f>
        <v/>
      </c>
      <c r="BN213" s="80">
        <f>IFERROR(1/J213*(W213/H213),"0")</f>
        <v/>
      </c>
      <c r="BO213" s="80">
        <f>IFERROR(1/J213*(X213/H213),"0")</f>
        <v/>
      </c>
    </row>
    <row r="214" ht="27" customHeight="1">
      <c r="A214" s="64" t="inlineStr">
        <is>
          <t>SU003266</t>
        </is>
      </c>
      <c r="B214" s="64" t="inlineStr">
        <is>
          <t>P003940</t>
        </is>
      </c>
      <c r="C214" s="37" t="n">
        <v>4301011716</v>
      </c>
      <c r="D214" s="384" t="n">
        <v>4680115884267</v>
      </c>
      <c r="E214" s="767" t="n"/>
      <c r="F214" s="801" t="n">
        <v>0.4</v>
      </c>
      <c r="G214" s="38" t="n">
        <v>10</v>
      </c>
      <c r="H214" s="801" t="n">
        <v>4</v>
      </c>
      <c r="I214" s="801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9" t="n"/>
      <c r="N214" s="38" t="n">
        <v>55</v>
      </c>
      <c r="O214" s="93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4" s="803" t="n"/>
      <c r="Q214" s="803" t="n"/>
      <c r="R214" s="803" t="n"/>
      <c r="S214" s="767" t="n"/>
      <c r="T214" s="40" t="inlineStr"/>
      <c r="U214" s="40" t="inlineStr"/>
      <c r="V214" s="41" t="inlineStr">
        <is>
          <t>кг</t>
        </is>
      </c>
      <c r="W214" s="804" t="n">
        <v>0</v>
      </c>
      <c r="X214" s="805">
        <f>IFERROR(IF(W214="",0,CEILING((W214/$H214),1)*$H214),"")</f>
        <v/>
      </c>
      <c r="Y214" s="42">
        <f>IFERROR(IF(X214=0,"",ROUNDUP(X214/H214,0)*0.00937),"")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>
      <c r="A215" s="393" t="n"/>
      <c r="B215" s="381" t="n"/>
      <c r="C215" s="381" t="n"/>
      <c r="D215" s="381" t="n"/>
      <c r="E215" s="381" t="n"/>
      <c r="F215" s="381" t="n"/>
      <c r="G215" s="381" t="n"/>
      <c r="H215" s="381" t="n"/>
      <c r="I215" s="381" t="n"/>
      <c r="J215" s="381" t="n"/>
      <c r="K215" s="381" t="n"/>
      <c r="L215" s="381" t="n"/>
      <c r="M215" s="381" t="n"/>
      <c r="N215" s="807" t="n"/>
      <c r="O215" s="808" t="inlineStr">
        <is>
          <t>Итого</t>
        </is>
      </c>
      <c r="P215" s="775" t="n"/>
      <c r="Q215" s="775" t="n"/>
      <c r="R215" s="775" t="n"/>
      <c r="S215" s="775" t="n"/>
      <c r="T215" s="775" t="n"/>
      <c r="U215" s="776" t="n"/>
      <c r="V215" s="43" t="inlineStr">
        <is>
          <t>кор</t>
        </is>
      </c>
      <c r="W215" s="809">
        <f>IFERROR(W209/H209,"0")+IFERROR(W210/H210,"0")+IFERROR(W211/H211,"0")+IFERROR(W212/H212,"0")+IFERROR(W213/H213,"0")+IFERROR(W214/H214,"0")</f>
        <v/>
      </c>
      <c r="X215" s="809">
        <f>IFERROR(X209/H209,"0")+IFERROR(X210/H210,"0")+IFERROR(X211/H211,"0")+IFERROR(X212/H212,"0")+IFERROR(X213/H213,"0")+IFERROR(X214/H214,"0")</f>
        <v/>
      </c>
      <c r="Y215" s="809">
        <f>IFERROR(IF(Y209="",0,Y209),"0")+IFERROR(IF(Y210="",0,Y210),"0")+IFERROR(IF(Y211="",0,Y211),"0")+IFERROR(IF(Y212="",0,Y212),"0")+IFERROR(IF(Y213="",0,Y213),"0")+IFERROR(IF(Y214="",0,Y214),"0")</f>
        <v/>
      </c>
      <c r="Z215" s="810" t="n"/>
      <c r="AA215" s="810" t="n"/>
    </row>
    <row r="216">
      <c r="A216" s="381" t="n"/>
      <c r="B216" s="381" t="n"/>
      <c r="C216" s="381" t="n"/>
      <c r="D216" s="381" t="n"/>
      <c r="E216" s="381" t="n"/>
      <c r="F216" s="381" t="n"/>
      <c r="G216" s="381" t="n"/>
      <c r="H216" s="381" t="n"/>
      <c r="I216" s="381" t="n"/>
      <c r="J216" s="381" t="n"/>
      <c r="K216" s="381" t="n"/>
      <c r="L216" s="381" t="n"/>
      <c r="M216" s="381" t="n"/>
      <c r="N216" s="807" t="n"/>
      <c r="O216" s="808" t="inlineStr">
        <is>
          <t>Итого</t>
        </is>
      </c>
      <c r="P216" s="775" t="n"/>
      <c r="Q216" s="775" t="n"/>
      <c r="R216" s="775" t="n"/>
      <c r="S216" s="775" t="n"/>
      <c r="T216" s="775" t="n"/>
      <c r="U216" s="776" t="n"/>
      <c r="V216" s="43" t="inlineStr">
        <is>
          <t>кг</t>
        </is>
      </c>
      <c r="W216" s="809">
        <f>IFERROR(SUM(W209:W214),"0")</f>
        <v/>
      </c>
      <c r="X216" s="809">
        <f>IFERROR(SUM(X209:X214),"0")</f>
        <v/>
      </c>
      <c r="Y216" s="43" t="n"/>
      <c r="Z216" s="810" t="n"/>
      <c r="AA216" s="810" t="n"/>
    </row>
    <row r="217" ht="14.25" customHeight="1">
      <c r="A217" s="399" t="inlineStr">
        <is>
          <t>Копченые колбасы</t>
        </is>
      </c>
      <c r="B217" s="381" t="n"/>
      <c r="C217" s="381" t="n"/>
      <c r="D217" s="381" t="n"/>
      <c r="E217" s="381" t="n"/>
      <c r="F217" s="381" t="n"/>
      <c r="G217" s="381" t="n"/>
      <c r="H217" s="381" t="n"/>
      <c r="I217" s="381" t="n"/>
      <c r="J217" s="381" t="n"/>
      <c r="K217" s="381" t="n"/>
      <c r="L217" s="381" t="n"/>
      <c r="M217" s="381" t="n"/>
      <c r="N217" s="381" t="n"/>
      <c r="O217" s="381" t="n"/>
      <c r="P217" s="381" t="n"/>
      <c r="Q217" s="381" t="n"/>
      <c r="R217" s="381" t="n"/>
      <c r="S217" s="381" t="n"/>
      <c r="T217" s="381" t="n"/>
      <c r="U217" s="381" t="n"/>
      <c r="V217" s="381" t="n"/>
      <c r="W217" s="381" t="n"/>
      <c r="X217" s="381" t="n"/>
      <c r="Y217" s="381" t="n"/>
      <c r="Z217" s="399" t="n"/>
      <c r="AA217" s="399" t="n"/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84" t="n">
        <v>4607091389845</v>
      </c>
      <c r="E218" s="767" t="n"/>
      <c r="F218" s="801" t="n">
        <v>0.35</v>
      </c>
      <c r="G218" s="38" t="n">
        <v>6</v>
      </c>
      <c r="H218" s="801" t="n">
        <v>2.1</v>
      </c>
      <c r="I218" s="801" t="n">
        <v>2.2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3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8" s="803" t="n"/>
      <c r="Q218" s="803" t="n"/>
      <c r="R218" s="803" t="n"/>
      <c r="S218" s="767" t="n"/>
      <c r="T218" s="40" t="inlineStr"/>
      <c r="U218" s="40" t="inlineStr"/>
      <c r="V218" s="41" t="inlineStr">
        <is>
          <t>кг</t>
        </is>
      </c>
      <c r="W218" s="804" t="n">
        <v>210</v>
      </c>
      <c r="X218" s="805">
        <f>IFERROR(IF(W218="",0,CEILING((W218/$H218),1)*$H218),"")</f>
        <v/>
      </c>
      <c r="Y218" s="42">
        <f>IFERROR(IF(X218=0,"",ROUNDUP(X218/H218,0)*0.00502),"")</f>
        <v/>
      </c>
      <c r="Z218" s="69" t="inlineStr"/>
      <c r="AA218" s="70" t="inlineStr"/>
      <c r="AE218" s="80" t="n"/>
      <c r="BB218" s="204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SU003084</t>
        </is>
      </c>
      <c r="B219" s="64" t="inlineStr">
        <is>
          <t>P003649</t>
        </is>
      </c>
      <c r="C219" s="37" t="n">
        <v>4301031259</v>
      </c>
      <c r="D219" s="384" t="n">
        <v>4680115882881</v>
      </c>
      <c r="E219" s="767" t="n"/>
      <c r="F219" s="801" t="n">
        <v>0.28</v>
      </c>
      <c r="G219" s="38" t="n">
        <v>6</v>
      </c>
      <c r="H219" s="801" t="n">
        <v>1.68</v>
      </c>
      <c r="I219" s="801" t="n">
        <v>1.81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9" t="n"/>
      <c r="N219" s="38" t="n">
        <v>40</v>
      </c>
      <c r="O219" s="933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19" s="803" t="n"/>
      <c r="Q219" s="803" t="n"/>
      <c r="R219" s="803" t="n"/>
      <c r="S219" s="767" t="n"/>
      <c r="T219" s="40" t="inlineStr"/>
      <c r="U219" s="40" t="inlineStr"/>
      <c r="V219" s="41" t="inlineStr">
        <is>
          <t>кг</t>
        </is>
      </c>
      <c r="W219" s="804" t="n">
        <v>0</v>
      </c>
      <c r="X219" s="805">
        <f>IFERROR(IF(W219="",0,CEILING((W219/$H219),1)*$H219),"")</f>
        <v/>
      </c>
      <c r="Y219" s="42">
        <f>IFERROR(IF(X219=0,"",ROUNDUP(X219/H219,0)*0.00502),"")</f>
        <v/>
      </c>
      <c r="Z219" s="69" t="inlineStr"/>
      <c r="AA219" s="70" t="inlineStr"/>
      <c r="AE219" s="80" t="n"/>
      <c r="BB219" s="205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>
      <c r="A220" s="393" t="n"/>
      <c r="B220" s="381" t="n"/>
      <c r="C220" s="381" t="n"/>
      <c r="D220" s="381" t="n"/>
      <c r="E220" s="381" t="n"/>
      <c r="F220" s="381" t="n"/>
      <c r="G220" s="381" t="n"/>
      <c r="H220" s="381" t="n"/>
      <c r="I220" s="381" t="n"/>
      <c r="J220" s="381" t="n"/>
      <c r="K220" s="381" t="n"/>
      <c r="L220" s="381" t="n"/>
      <c r="M220" s="381" t="n"/>
      <c r="N220" s="807" t="n"/>
      <c r="O220" s="808" t="inlineStr">
        <is>
          <t>Итого</t>
        </is>
      </c>
      <c r="P220" s="775" t="n"/>
      <c r="Q220" s="775" t="n"/>
      <c r="R220" s="775" t="n"/>
      <c r="S220" s="775" t="n"/>
      <c r="T220" s="775" t="n"/>
      <c r="U220" s="776" t="n"/>
      <c r="V220" s="43" t="inlineStr">
        <is>
          <t>кор</t>
        </is>
      </c>
      <c r="W220" s="809">
        <f>IFERROR(W218/H218,"0")+IFERROR(W219/H219,"0")</f>
        <v/>
      </c>
      <c r="X220" s="809">
        <f>IFERROR(X218/H218,"0")+IFERROR(X219/H219,"0")</f>
        <v/>
      </c>
      <c r="Y220" s="809">
        <f>IFERROR(IF(Y218="",0,Y218),"0")+IFERROR(IF(Y219="",0,Y219),"0")</f>
        <v/>
      </c>
      <c r="Z220" s="810" t="n"/>
      <c r="AA220" s="810" t="n"/>
    </row>
    <row r="221">
      <c r="A221" s="381" t="n"/>
      <c r="B221" s="381" t="n"/>
      <c r="C221" s="381" t="n"/>
      <c r="D221" s="381" t="n"/>
      <c r="E221" s="381" t="n"/>
      <c r="F221" s="381" t="n"/>
      <c r="G221" s="381" t="n"/>
      <c r="H221" s="381" t="n"/>
      <c r="I221" s="381" t="n"/>
      <c r="J221" s="381" t="n"/>
      <c r="K221" s="381" t="n"/>
      <c r="L221" s="381" t="n"/>
      <c r="M221" s="381" t="n"/>
      <c r="N221" s="807" t="n"/>
      <c r="O221" s="808" t="inlineStr">
        <is>
          <t>Итого</t>
        </is>
      </c>
      <c r="P221" s="775" t="n"/>
      <c r="Q221" s="775" t="n"/>
      <c r="R221" s="775" t="n"/>
      <c r="S221" s="775" t="n"/>
      <c r="T221" s="775" t="n"/>
      <c r="U221" s="776" t="n"/>
      <c r="V221" s="43" t="inlineStr">
        <is>
          <t>кг</t>
        </is>
      </c>
      <c r="W221" s="809">
        <f>IFERROR(SUM(W218:W219),"0")</f>
        <v/>
      </c>
      <c r="X221" s="809">
        <f>IFERROR(SUM(X218:X219),"0")</f>
        <v/>
      </c>
      <c r="Y221" s="43" t="n"/>
      <c r="Z221" s="810" t="n"/>
      <c r="AA221" s="810" t="n"/>
    </row>
    <row r="222" ht="16.5" customHeight="1">
      <c r="A222" s="421" t="inlineStr">
        <is>
          <t>Стародворская</t>
        </is>
      </c>
      <c r="B222" s="381" t="n"/>
      <c r="C222" s="381" t="n"/>
      <c r="D222" s="381" t="n"/>
      <c r="E222" s="381" t="n"/>
      <c r="F222" s="381" t="n"/>
      <c r="G222" s="381" t="n"/>
      <c r="H222" s="381" t="n"/>
      <c r="I222" s="381" t="n"/>
      <c r="J222" s="381" t="n"/>
      <c r="K222" s="381" t="n"/>
      <c r="L222" s="381" t="n"/>
      <c r="M222" s="381" t="n"/>
      <c r="N222" s="381" t="n"/>
      <c r="O222" s="381" t="n"/>
      <c r="P222" s="381" t="n"/>
      <c r="Q222" s="381" t="n"/>
      <c r="R222" s="381" t="n"/>
      <c r="S222" s="381" t="n"/>
      <c r="T222" s="381" t="n"/>
      <c r="U222" s="381" t="n"/>
      <c r="V222" s="381" t="n"/>
      <c r="W222" s="381" t="n"/>
      <c r="X222" s="381" t="n"/>
      <c r="Y222" s="381" t="n"/>
      <c r="Z222" s="421" t="n"/>
      <c r="AA222" s="421" t="n"/>
    </row>
    <row r="223" ht="14.25" customHeight="1">
      <c r="A223" s="399" t="inlineStr">
        <is>
          <t>Вареные колбасы</t>
        </is>
      </c>
      <c r="B223" s="381" t="n"/>
      <c r="C223" s="381" t="n"/>
      <c r="D223" s="381" t="n"/>
      <c r="E223" s="381" t="n"/>
      <c r="F223" s="381" t="n"/>
      <c r="G223" s="381" t="n"/>
      <c r="H223" s="381" t="n"/>
      <c r="I223" s="381" t="n"/>
      <c r="J223" s="381" t="n"/>
      <c r="K223" s="381" t="n"/>
      <c r="L223" s="381" t="n"/>
      <c r="M223" s="381" t="n"/>
      <c r="N223" s="381" t="n"/>
      <c r="O223" s="381" t="n"/>
      <c r="P223" s="381" t="n"/>
      <c r="Q223" s="381" t="n"/>
      <c r="R223" s="381" t="n"/>
      <c r="S223" s="381" t="n"/>
      <c r="T223" s="381" t="n"/>
      <c r="U223" s="381" t="n"/>
      <c r="V223" s="381" t="n"/>
      <c r="W223" s="381" t="n"/>
      <c r="X223" s="381" t="n"/>
      <c r="Y223" s="381" t="n"/>
      <c r="Z223" s="399" t="n"/>
      <c r="AA223" s="399" t="n"/>
    </row>
    <row r="224" ht="27" customHeight="1">
      <c r="A224" s="64" t="inlineStr">
        <is>
          <t>SU003273</t>
        </is>
      </c>
      <c r="B224" s="64" t="inlineStr">
        <is>
          <t>P004070</t>
        </is>
      </c>
      <c r="C224" s="37" t="n">
        <v>4301011826</v>
      </c>
      <c r="D224" s="384" t="n">
        <v>4680115884137</v>
      </c>
      <c r="E224" s="767" t="n"/>
      <c r="F224" s="801" t="n">
        <v>1.45</v>
      </c>
      <c r="G224" s="38" t="n">
        <v>8</v>
      </c>
      <c r="H224" s="801" t="n">
        <v>11.6</v>
      </c>
      <c r="I224" s="80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34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4" s="803" t="n"/>
      <c r="Q224" s="803" t="n"/>
      <c r="R224" s="803" t="n"/>
      <c r="S224" s="767" t="n"/>
      <c r="T224" s="40" t="inlineStr"/>
      <c r="U224" s="40" t="inlineStr"/>
      <c r="V224" s="41" t="inlineStr">
        <is>
          <t>кг</t>
        </is>
      </c>
      <c r="W224" s="804" t="n">
        <v>120</v>
      </c>
      <c r="X224" s="805">
        <f>IFERROR(IF(W224="",0,CEILING((W224/$H224),1)*$H224),"")</f>
        <v/>
      </c>
      <c r="Y224" s="42">
        <f>IFERROR(IF(X224=0,"",ROUNDUP(X224/H224,0)*0.02175),"")</f>
        <v/>
      </c>
      <c r="Z224" s="69" t="inlineStr"/>
      <c r="AA224" s="70" t="inlineStr"/>
      <c r="AE224" s="80" t="n"/>
      <c r="BB224" s="206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SU003275</t>
        </is>
      </c>
      <c r="B225" s="64" t="inlineStr">
        <is>
          <t>P003950</t>
        </is>
      </c>
      <c r="C225" s="37" t="n">
        <v>4301011724</v>
      </c>
      <c r="D225" s="384" t="n">
        <v>4680115884236</v>
      </c>
      <c r="E225" s="767" t="n"/>
      <c r="F225" s="801" t="n">
        <v>1.45</v>
      </c>
      <c r="G225" s="38" t="n">
        <v>8</v>
      </c>
      <c r="H225" s="801" t="n">
        <v>11.6</v>
      </c>
      <c r="I225" s="80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35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5" s="803" t="n"/>
      <c r="Q225" s="803" t="n"/>
      <c r="R225" s="803" t="n"/>
      <c r="S225" s="767" t="n"/>
      <c r="T225" s="40" t="inlineStr"/>
      <c r="U225" s="40" t="inlineStr"/>
      <c r="V225" s="41" t="inlineStr">
        <is>
          <t>кг</t>
        </is>
      </c>
      <c r="W225" s="804" t="n">
        <v>0</v>
      </c>
      <c r="X225" s="805">
        <f>IFERROR(IF(W225="",0,CEILING((W225/$H225),1)*$H225),"")</f>
        <v/>
      </c>
      <c r="Y225" s="42">
        <f>IFERROR(IF(X225=0,"",ROUNDUP(X225/H225,0)*0.02175),"")</f>
        <v/>
      </c>
      <c r="Z225" s="69" t="inlineStr"/>
      <c r="AA225" s="70" t="inlineStr"/>
      <c r="AE225" s="80" t="n"/>
      <c r="BB225" s="207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 ht="27" customHeight="1">
      <c r="A226" s="64" t="inlineStr">
        <is>
          <t>SU003271</t>
        </is>
      </c>
      <c r="B226" s="64" t="inlineStr">
        <is>
          <t>P003945</t>
        </is>
      </c>
      <c r="C226" s="37" t="n">
        <v>4301011721</v>
      </c>
      <c r="D226" s="384" t="n">
        <v>4680115884175</v>
      </c>
      <c r="E226" s="767" t="n"/>
      <c r="F226" s="801" t="n">
        <v>1.45</v>
      </c>
      <c r="G226" s="38" t="n">
        <v>8</v>
      </c>
      <c r="H226" s="801" t="n">
        <v>11.6</v>
      </c>
      <c r="I226" s="801" t="n">
        <v>12.08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9" t="n"/>
      <c r="N226" s="38" t="n">
        <v>55</v>
      </c>
      <c r="O226" s="936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6" s="803" t="n"/>
      <c r="Q226" s="803" t="n"/>
      <c r="R226" s="803" t="n"/>
      <c r="S226" s="767" t="n"/>
      <c r="T226" s="40" t="inlineStr"/>
      <c r="U226" s="40" t="inlineStr"/>
      <c r="V226" s="41" t="inlineStr">
        <is>
          <t>кг</t>
        </is>
      </c>
      <c r="W226" s="804" t="n">
        <v>20</v>
      </c>
      <c r="X226" s="805">
        <f>IFERROR(IF(W226="",0,CEILING((W226/$H226),1)*$H226),"")</f>
        <v/>
      </c>
      <c r="Y226" s="42">
        <f>IFERROR(IF(X226=0,"",ROUNDUP(X226/H226,0)*0.02175),"")</f>
        <v/>
      </c>
      <c r="Z226" s="69" t="inlineStr"/>
      <c r="AA226" s="70" t="inlineStr"/>
      <c r="AE226" s="80" t="n"/>
      <c r="BB226" s="208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 ht="27" customHeight="1">
      <c r="A227" s="64" t="inlineStr">
        <is>
          <t>SU003274</t>
        </is>
      </c>
      <c r="B227" s="64" t="inlineStr">
        <is>
          <t>P004067</t>
        </is>
      </c>
      <c r="C227" s="37" t="n">
        <v>4301011824</v>
      </c>
      <c r="D227" s="384" t="n">
        <v>4680115884144</v>
      </c>
      <c r="E227" s="767" t="n"/>
      <c r="F227" s="801" t="n">
        <v>0.4</v>
      </c>
      <c r="G227" s="38" t="n">
        <v>10</v>
      </c>
      <c r="H227" s="801" t="n">
        <v>4</v>
      </c>
      <c r="I227" s="80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3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7" s="803" t="n"/>
      <c r="Q227" s="803" t="n"/>
      <c r="R227" s="803" t="n"/>
      <c r="S227" s="767" t="n"/>
      <c r="T227" s="40" t="inlineStr"/>
      <c r="U227" s="40" t="inlineStr"/>
      <c r="V227" s="41" t="inlineStr">
        <is>
          <t>кг</t>
        </is>
      </c>
      <c r="W227" s="804" t="n">
        <v>12</v>
      </c>
      <c r="X227" s="805">
        <f>IFERROR(IF(W227="",0,CEILING((W227/$H227),1)*$H227),"")</f>
        <v/>
      </c>
      <c r="Y227" s="42">
        <f>IFERROR(IF(X227=0,"",ROUNDUP(X227/H227,0)*0.00937),"")</f>
        <v/>
      </c>
      <c r="Z227" s="69" t="inlineStr"/>
      <c r="AA227" s="70" t="inlineStr"/>
      <c r="AE227" s="80" t="n"/>
      <c r="BB227" s="209" t="inlineStr">
        <is>
          <t>КИ</t>
        </is>
      </c>
      <c r="BL227" s="80">
        <f>IFERROR(W227*I227/H227,"0")</f>
        <v/>
      </c>
      <c r="BM227" s="80">
        <f>IFERROR(X227*I227/H227,"0")</f>
        <v/>
      </c>
      <c r="BN227" s="80">
        <f>IFERROR(1/J227*(W227/H227),"0")</f>
        <v/>
      </c>
      <c r="BO227" s="80">
        <f>IFERROR(1/J227*(X227/H227),"0")</f>
        <v/>
      </c>
    </row>
    <row r="228" ht="27" customHeight="1">
      <c r="A228" s="64" t="inlineStr">
        <is>
          <t>SU003276</t>
        </is>
      </c>
      <c r="B228" s="64" t="inlineStr">
        <is>
          <t>P003956</t>
        </is>
      </c>
      <c r="C228" s="37" t="n">
        <v>4301011726</v>
      </c>
      <c r="D228" s="384" t="n">
        <v>4680115884182</v>
      </c>
      <c r="E228" s="767" t="n"/>
      <c r="F228" s="801" t="n">
        <v>0.37</v>
      </c>
      <c r="G228" s="38" t="n">
        <v>10</v>
      </c>
      <c r="H228" s="801" t="n">
        <v>3.7</v>
      </c>
      <c r="I228" s="801" t="n">
        <v>3.94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3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8" s="803" t="n"/>
      <c r="Q228" s="803" t="n"/>
      <c r="R228" s="803" t="n"/>
      <c r="S228" s="767" t="n"/>
      <c r="T228" s="40" t="inlineStr"/>
      <c r="U228" s="40" t="inlineStr"/>
      <c r="V228" s="41" t="inlineStr">
        <is>
          <t>кг</t>
        </is>
      </c>
      <c r="W228" s="804" t="n">
        <v>0</v>
      </c>
      <c r="X228" s="805">
        <f>IFERROR(IF(W228="",0,CEILING((W228/$H228),1)*$H228),"")</f>
        <v/>
      </c>
      <c r="Y228" s="42">
        <f>IFERROR(IF(X228=0,"",ROUNDUP(X228/H228,0)*0.00937),"")</f>
        <v/>
      </c>
      <c r="Z228" s="69" t="inlineStr"/>
      <c r="AA228" s="70" t="inlineStr"/>
      <c r="AE228" s="80" t="n"/>
      <c r="BB228" s="210" t="inlineStr">
        <is>
          <t>КИ</t>
        </is>
      </c>
      <c r="BL228" s="80">
        <f>IFERROR(W228*I228/H228,"0")</f>
        <v/>
      </c>
      <c r="BM228" s="80">
        <f>IFERROR(X228*I228/H228,"0")</f>
        <v/>
      </c>
      <c r="BN228" s="80">
        <f>IFERROR(1/J228*(W228/H228),"0")</f>
        <v/>
      </c>
      <c r="BO228" s="80">
        <f>IFERROR(1/J228*(X228/H228),"0")</f>
        <v/>
      </c>
    </row>
    <row r="229" ht="27" customHeight="1">
      <c r="A229" s="64" t="inlineStr">
        <is>
          <t>SU003272</t>
        </is>
      </c>
      <c r="B229" s="64" t="inlineStr">
        <is>
          <t>P003947</t>
        </is>
      </c>
      <c r="C229" s="37" t="n">
        <v>4301011722</v>
      </c>
      <c r="D229" s="384" t="n">
        <v>4680115884205</v>
      </c>
      <c r="E229" s="767" t="n"/>
      <c r="F229" s="801" t="n">
        <v>0.4</v>
      </c>
      <c r="G229" s="38" t="n">
        <v>10</v>
      </c>
      <c r="H229" s="801" t="n">
        <v>4</v>
      </c>
      <c r="I229" s="80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9" t="n"/>
      <c r="N229" s="38" t="n">
        <v>55</v>
      </c>
      <c r="O229" s="93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29" s="803" t="n"/>
      <c r="Q229" s="803" t="n"/>
      <c r="R229" s="803" t="n"/>
      <c r="S229" s="767" t="n"/>
      <c r="T229" s="40" t="inlineStr"/>
      <c r="U229" s="40" t="inlineStr"/>
      <c r="V229" s="41" t="inlineStr">
        <is>
          <t>кг</t>
        </is>
      </c>
      <c r="W229" s="804" t="n">
        <v>80</v>
      </c>
      <c r="X229" s="805">
        <f>IFERROR(IF(W229="",0,CEILING((W229/$H229),1)*$H229),"")</f>
        <v/>
      </c>
      <c r="Y229" s="42">
        <f>IFERROR(IF(X229=0,"",ROUNDUP(X229/H229,0)*0.00937),"")</f>
        <v/>
      </c>
      <c r="Z229" s="69" t="inlineStr"/>
      <c r="AA229" s="70" t="inlineStr"/>
      <c r="AE229" s="80" t="n"/>
      <c r="BB229" s="211" t="inlineStr">
        <is>
          <t>КИ</t>
        </is>
      </c>
      <c r="BL229" s="80">
        <f>IFERROR(W229*I229/H229,"0")</f>
        <v/>
      </c>
      <c r="BM229" s="80">
        <f>IFERROR(X229*I229/H229,"0")</f>
        <v/>
      </c>
      <c r="BN229" s="80">
        <f>IFERROR(1/J229*(W229/H229),"0")</f>
        <v/>
      </c>
      <c r="BO229" s="80">
        <f>IFERROR(1/J229*(X229/H229),"0")</f>
        <v/>
      </c>
    </row>
    <row r="230">
      <c r="A230" s="393" t="n"/>
      <c r="B230" s="381" t="n"/>
      <c r="C230" s="381" t="n"/>
      <c r="D230" s="381" t="n"/>
      <c r="E230" s="381" t="n"/>
      <c r="F230" s="381" t="n"/>
      <c r="G230" s="381" t="n"/>
      <c r="H230" s="381" t="n"/>
      <c r="I230" s="381" t="n"/>
      <c r="J230" s="381" t="n"/>
      <c r="K230" s="381" t="n"/>
      <c r="L230" s="381" t="n"/>
      <c r="M230" s="381" t="n"/>
      <c r="N230" s="807" t="n"/>
      <c r="O230" s="808" t="inlineStr">
        <is>
          <t>Итого</t>
        </is>
      </c>
      <c r="P230" s="775" t="n"/>
      <c r="Q230" s="775" t="n"/>
      <c r="R230" s="775" t="n"/>
      <c r="S230" s="775" t="n"/>
      <c r="T230" s="775" t="n"/>
      <c r="U230" s="776" t="n"/>
      <c r="V230" s="43" t="inlineStr">
        <is>
          <t>кор</t>
        </is>
      </c>
      <c r="W230" s="809">
        <f>IFERROR(W224/H224,"0")+IFERROR(W225/H225,"0")+IFERROR(W226/H226,"0")+IFERROR(W227/H227,"0")+IFERROR(W228/H228,"0")+IFERROR(W229/H229,"0")</f>
        <v/>
      </c>
      <c r="X230" s="809">
        <f>IFERROR(X224/H224,"0")+IFERROR(X225/H225,"0")+IFERROR(X226/H226,"0")+IFERROR(X227/H227,"0")+IFERROR(X228/H228,"0")+IFERROR(X229/H229,"0")</f>
        <v/>
      </c>
      <c r="Y230" s="809">
        <f>IFERROR(IF(Y224="",0,Y224),"0")+IFERROR(IF(Y225="",0,Y225),"0")+IFERROR(IF(Y226="",0,Y226),"0")+IFERROR(IF(Y227="",0,Y227),"0")+IFERROR(IF(Y228="",0,Y228),"0")+IFERROR(IF(Y229="",0,Y229),"0")</f>
        <v/>
      </c>
      <c r="Z230" s="810" t="n"/>
      <c r="AA230" s="810" t="n"/>
    </row>
    <row r="231">
      <c r="A231" s="381" t="n"/>
      <c r="B231" s="381" t="n"/>
      <c r="C231" s="381" t="n"/>
      <c r="D231" s="381" t="n"/>
      <c r="E231" s="381" t="n"/>
      <c r="F231" s="381" t="n"/>
      <c r="G231" s="381" t="n"/>
      <c r="H231" s="381" t="n"/>
      <c r="I231" s="381" t="n"/>
      <c r="J231" s="381" t="n"/>
      <c r="K231" s="381" t="n"/>
      <c r="L231" s="381" t="n"/>
      <c r="M231" s="381" t="n"/>
      <c r="N231" s="807" t="n"/>
      <c r="O231" s="808" t="inlineStr">
        <is>
          <t>Итого</t>
        </is>
      </c>
      <c r="P231" s="775" t="n"/>
      <c r="Q231" s="775" t="n"/>
      <c r="R231" s="775" t="n"/>
      <c r="S231" s="775" t="n"/>
      <c r="T231" s="775" t="n"/>
      <c r="U231" s="776" t="n"/>
      <c r="V231" s="43" t="inlineStr">
        <is>
          <t>кг</t>
        </is>
      </c>
      <c r="W231" s="809">
        <f>IFERROR(SUM(W224:W229),"0")</f>
        <v/>
      </c>
      <c r="X231" s="809">
        <f>IFERROR(SUM(X224:X229),"0")</f>
        <v/>
      </c>
      <c r="Y231" s="43" t="n"/>
      <c r="Z231" s="810" t="n"/>
      <c r="AA231" s="810" t="n"/>
    </row>
    <row r="232" ht="16.5" customHeight="1">
      <c r="A232" s="421" t="inlineStr">
        <is>
          <t>Бордо</t>
        </is>
      </c>
      <c r="B232" s="381" t="n"/>
      <c r="C232" s="381" t="n"/>
      <c r="D232" s="381" t="n"/>
      <c r="E232" s="381" t="n"/>
      <c r="F232" s="381" t="n"/>
      <c r="G232" s="381" t="n"/>
      <c r="H232" s="381" t="n"/>
      <c r="I232" s="381" t="n"/>
      <c r="J232" s="381" t="n"/>
      <c r="K232" s="381" t="n"/>
      <c r="L232" s="381" t="n"/>
      <c r="M232" s="381" t="n"/>
      <c r="N232" s="381" t="n"/>
      <c r="O232" s="381" t="n"/>
      <c r="P232" s="381" t="n"/>
      <c r="Q232" s="381" t="n"/>
      <c r="R232" s="381" t="n"/>
      <c r="S232" s="381" t="n"/>
      <c r="T232" s="381" t="n"/>
      <c r="U232" s="381" t="n"/>
      <c r="V232" s="381" t="n"/>
      <c r="W232" s="381" t="n"/>
      <c r="X232" s="381" t="n"/>
      <c r="Y232" s="381" t="n"/>
      <c r="Z232" s="421" t="n"/>
      <c r="AA232" s="421" t="n"/>
    </row>
    <row r="233" ht="14.25" customHeight="1">
      <c r="A233" s="399" t="inlineStr">
        <is>
          <t>Вареные колбасы</t>
        </is>
      </c>
      <c r="B233" s="381" t="n"/>
      <c r="C233" s="381" t="n"/>
      <c r="D233" s="381" t="n"/>
      <c r="E233" s="381" t="n"/>
      <c r="F233" s="381" t="n"/>
      <c r="G233" s="381" t="n"/>
      <c r="H233" s="381" t="n"/>
      <c r="I233" s="381" t="n"/>
      <c r="J233" s="381" t="n"/>
      <c r="K233" s="381" t="n"/>
      <c r="L233" s="381" t="n"/>
      <c r="M233" s="381" t="n"/>
      <c r="N233" s="381" t="n"/>
      <c r="O233" s="381" t="n"/>
      <c r="P233" s="381" t="n"/>
      <c r="Q233" s="381" t="n"/>
      <c r="R233" s="381" t="n"/>
      <c r="S233" s="381" t="n"/>
      <c r="T233" s="381" t="n"/>
      <c r="U233" s="381" t="n"/>
      <c r="V233" s="381" t="n"/>
      <c r="W233" s="381" t="n"/>
      <c r="X233" s="381" t="n"/>
      <c r="Y233" s="381" t="n"/>
      <c r="Z233" s="399" t="n"/>
      <c r="AA233" s="399" t="n"/>
    </row>
    <row r="234" ht="27" customHeight="1">
      <c r="A234" s="64" t="inlineStr">
        <is>
          <t>SU000057</t>
        </is>
      </c>
      <c r="B234" s="64" t="inlineStr">
        <is>
          <t>P002047</t>
        </is>
      </c>
      <c r="C234" s="37" t="n">
        <v>4301011346</v>
      </c>
      <c r="D234" s="384" t="n">
        <v>4607091387445</v>
      </c>
      <c r="E234" s="767" t="n"/>
      <c r="F234" s="801" t="n">
        <v>0.9</v>
      </c>
      <c r="G234" s="38" t="n">
        <v>10</v>
      </c>
      <c r="H234" s="801" t="n">
        <v>9</v>
      </c>
      <c r="I234" s="801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31</v>
      </c>
      <c r="O234" s="94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4" s="803" t="n"/>
      <c r="Q234" s="803" t="n"/>
      <c r="R234" s="803" t="n"/>
      <c r="S234" s="767" t="n"/>
      <c r="T234" s="40" t="inlineStr"/>
      <c r="U234" s="40" t="inlineStr"/>
      <c r="V234" s="41" t="inlineStr">
        <is>
          <t>кг</t>
        </is>
      </c>
      <c r="W234" s="804" t="n">
        <v>0</v>
      </c>
      <c r="X234" s="805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2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SU001777</t>
        </is>
      </c>
      <c r="B235" s="64" t="inlineStr">
        <is>
          <t>P001777</t>
        </is>
      </c>
      <c r="C235" s="37" t="n">
        <v>4301011308</v>
      </c>
      <c r="D235" s="384" t="n">
        <v>4607091386004</v>
      </c>
      <c r="E235" s="767" t="n"/>
      <c r="F235" s="801" t="n">
        <v>1.35</v>
      </c>
      <c r="G235" s="38" t="n">
        <v>8</v>
      </c>
      <c r="H235" s="801" t="n">
        <v>10.8</v>
      </c>
      <c r="I235" s="801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4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5" s="803" t="n"/>
      <c r="Q235" s="803" t="n"/>
      <c r="R235" s="803" t="n"/>
      <c r="S235" s="767" t="n"/>
      <c r="T235" s="40" t="inlineStr"/>
      <c r="U235" s="40" t="inlineStr"/>
      <c r="V235" s="41" t="inlineStr">
        <is>
          <t>кг</t>
        </is>
      </c>
      <c r="W235" s="804" t="n">
        <v>0</v>
      </c>
      <c r="X235" s="805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3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SU001777</t>
        </is>
      </c>
      <c r="B236" s="64" t="inlineStr">
        <is>
          <t>P002226</t>
        </is>
      </c>
      <c r="C236" s="37" t="n">
        <v>4301011362</v>
      </c>
      <c r="D236" s="384" t="n">
        <v>4607091386004</v>
      </c>
      <c r="E236" s="767" t="n"/>
      <c r="F236" s="801" t="n">
        <v>1.35</v>
      </c>
      <c r="G236" s="38" t="n">
        <v>8</v>
      </c>
      <c r="H236" s="801" t="n">
        <v>10.8</v>
      </c>
      <c r="I236" s="801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9" t="n"/>
      <c r="N236" s="38" t="n">
        <v>55</v>
      </c>
      <c r="O236" s="94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6" s="803" t="n"/>
      <c r="Q236" s="803" t="n"/>
      <c r="R236" s="803" t="n"/>
      <c r="S236" s="767" t="n"/>
      <c r="T236" s="40" t="inlineStr"/>
      <c r="U236" s="40" t="inlineStr"/>
      <c r="V236" s="41" t="inlineStr">
        <is>
          <t>кг</t>
        </is>
      </c>
      <c r="W236" s="804" t="n">
        <v>0</v>
      </c>
      <c r="X236" s="805">
        <f>IFERROR(IF(W236="",0,CEILING((W236/$H236),1)*$H236),"")</f>
        <v/>
      </c>
      <c r="Y236" s="42">
        <f>IFERROR(IF(X236=0,"",ROUNDUP(X236/H236,0)*0.02039),"")</f>
        <v/>
      </c>
      <c r="Z236" s="69" t="inlineStr"/>
      <c r="AA236" s="70" t="inlineStr"/>
      <c r="AE236" s="80" t="n"/>
      <c r="BB236" s="214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SU000058</t>
        </is>
      </c>
      <c r="B237" s="64" t="inlineStr">
        <is>
          <t>P002048</t>
        </is>
      </c>
      <c r="C237" s="37" t="n">
        <v>4301011347</v>
      </c>
      <c r="D237" s="384" t="n">
        <v>4607091386073</v>
      </c>
      <c r="E237" s="767" t="n"/>
      <c r="F237" s="801" t="n">
        <v>0.9</v>
      </c>
      <c r="G237" s="38" t="n">
        <v>10</v>
      </c>
      <c r="H237" s="801" t="n">
        <v>9</v>
      </c>
      <c r="I237" s="801" t="n">
        <v>9.630000000000001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31</v>
      </c>
      <c r="O237" s="94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7" s="803" t="n"/>
      <c r="Q237" s="803" t="n"/>
      <c r="R237" s="803" t="n"/>
      <c r="S237" s="767" t="n"/>
      <c r="T237" s="40" t="inlineStr"/>
      <c r="U237" s="40" t="inlineStr"/>
      <c r="V237" s="41" t="inlineStr">
        <is>
          <t>кг</t>
        </is>
      </c>
      <c r="W237" s="804" t="n">
        <v>0</v>
      </c>
      <c r="X237" s="805">
        <f>IFERROR(IF(W237="",0,CEILING((W237/$H237),1)*$H237),"")</f>
        <v/>
      </c>
      <c r="Y237" s="42">
        <f>IFERROR(IF(X237=0,"",ROUNDUP(X237/H237,0)*0.02175),"")</f>
        <v/>
      </c>
      <c r="Z237" s="69" t="inlineStr"/>
      <c r="AA237" s="70" t="inlineStr"/>
      <c r="AE237" s="80" t="n"/>
      <c r="BB237" s="215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SU001780</t>
        </is>
      </c>
      <c r="B238" s="64" t="inlineStr">
        <is>
          <t>P001780</t>
        </is>
      </c>
      <c r="C238" s="37" t="n">
        <v>4301010928</v>
      </c>
      <c r="D238" s="384" t="n">
        <v>4607091387322</v>
      </c>
      <c r="E238" s="767" t="n"/>
      <c r="F238" s="801" t="n">
        <v>1.35</v>
      </c>
      <c r="G238" s="38" t="n">
        <v>8</v>
      </c>
      <c r="H238" s="801" t="n">
        <v>10.8</v>
      </c>
      <c r="I238" s="80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4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8" s="803" t="n"/>
      <c r="Q238" s="803" t="n"/>
      <c r="R238" s="803" t="n"/>
      <c r="S238" s="767" t="n"/>
      <c r="T238" s="40" t="inlineStr"/>
      <c r="U238" s="40" t="inlineStr"/>
      <c r="V238" s="41" t="inlineStr">
        <is>
          <t>кг</t>
        </is>
      </c>
      <c r="W238" s="804" t="n">
        <v>0</v>
      </c>
      <c r="X238" s="805">
        <f>IFERROR(IF(W238="",0,CEILING((W238/$H238),1)*$H238),"")</f>
        <v/>
      </c>
      <c r="Y238" s="42">
        <f>IFERROR(IF(X238=0,"",ROUNDUP(X238/H238,0)*0.02175),"")</f>
        <v/>
      </c>
      <c r="Z238" s="69" t="inlineStr"/>
      <c r="AA238" s="70" t="inlineStr"/>
      <c r="AE238" s="80" t="n"/>
      <c r="BB238" s="216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SU001778</t>
        </is>
      </c>
      <c r="B239" s="64" t="inlineStr">
        <is>
          <t>P001778</t>
        </is>
      </c>
      <c r="C239" s="37" t="n">
        <v>4301011311</v>
      </c>
      <c r="D239" s="384" t="n">
        <v>4607091387377</v>
      </c>
      <c r="E239" s="767" t="n"/>
      <c r="F239" s="801" t="n">
        <v>1.35</v>
      </c>
      <c r="G239" s="38" t="n">
        <v>8</v>
      </c>
      <c r="H239" s="801" t="n">
        <v>10.8</v>
      </c>
      <c r="I239" s="80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4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39" s="803" t="n"/>
      <c r="Q239" s="803" t="n"/>
      <c r="R239" s="803" t="n"/>
      <c r="S239" s="767" t="n"/>
      <c r="T239" s="40" t="inlineStr"/>
      <c r="U239" s="40" t="inlineStr"/>
      <c r="V239" s="41" t="inlineStr">
        <is>
          <t>кг</t>
        </is>
      </c>
      <c r="W239" s="804" t="n">
        <v>0</v>
      </c>
      <c r="X239" s="805">
        <f>IFERROR(IF(W239="",0,CEILING((W239/$H239),1)*$H239),"")</f>
        <v/>
      </c>
      <c r="Y239" s="42">
        <f>IFERROR(IF(X239=0,"",ROUNDUP(X239/H239,0)*0.02175),"")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SU000043</t>
        </is>
      </c>
      <c r="B240" s="64" t="inlineStr">
        <is>
          <t>P001807</t>
        </is>
      </c>
      <c r="C240" s="37" t="n">
        <v>4301010945</v>
      </c>
      <c r="D240" s="384" t="n">
        <v>4607091387353</v>
      </c>
      <c r="E240" s="767" t="n"/>
      <c r="F240" s="801" t="n">
        <v>1.35</v>
      </c>
      <c r="G240" s="38" t="n">
        <v>8</v>
      </c>
      <c r="H240" s="801" t="n">
        <v>10.8</v>
      </c>
      <c r="I240" s="801" t="n">
        <v>11.28</v>
      </c>
      <c r="J240" s="38" t="n">
        <v>56</v>
      </c>
      <c r="K240" s="38" t="inlineStr">
        <is>
          <t>8</t>
        </is>
      </c>
      <c r="L240" s="39" t="inlineStr">
        <is>
          <t>СК1</t>
        </is>
      </c>
      <c r="M240" s="39" t="n"/>
      <c r="N240" s="38" t="n">
        <v>55</v>
      </c>
      <c r="O240" s="94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0" s="803" t="n"/>
      <c r="Q240" s="803" t="n"/>
      <c r="R240" s="803" t="n"/>
      <c r="S240" s="767" t="n"/>
      <c r="T240" s="40" t="inlineStr"/>
      <c r="U240" s="40" t="inlineStr"/>
      <c r="V240" s="41" t="inlineStr">
        <is>
          <t>кг</t>
        </is>
      </c>
      <c r="W240" s="804" t="n">
        <v>0</v>
      </c>
      <c r="X240" s="805">
        <f>IFERROR(IF(W240="",0,CEILING((W240/$H240),1)*$H240),"")</f>
        <v/>
      </c>
      <c r="Y240" s="42">
        <f>IFERROR(IF(X240=0,"",ROUNDUP(X240/H240,0)*0.02175),"")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SU001800</t>
        </is>
      </c>
      <c r="B241" s="64" t="inlineStr">
        <is>
          <t>P001800</t>
        </is>
      </c>
      <c r="C241" s="37" t="n">
        <v>4301011328</v>
      </c>
      <c r="D241" s="384" t="n">
        <v>4607091386011</v>
      </c>
      <c r="E241" s="767" t="n"/>
      <c r="F241" s="801" t="n">
        <v>0.5</v>
      </c>
      <c r="G241" s="38" t="n">
        <v>10</v>
      </c>
      <c r="H241" s="801" t="n">
        <v>5</v>
      </c>
      <c r="I241" s="80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4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1" s="803" t="n"/>
      <c r="Q241" s="803" t="n"/>
      <c r="R241" s="803" t="n"/>
      <c r="S241" s="767" t="n"/>
      <c r="T241" s="40" t="inlineStr"/>
      <c r="U241" s="40" t="inlineStr"/>
      <c r="V241" s="41" t="inlineStr">
        <is>
          <t>кг</t>
        </is>
      </c>
      <c r="W241" s="804" t="n">
        <v>0</v>
      </c>
      <c r="X241" s="805">
        <f>IFERROR(IF(W241="",0,CEILING((W241/$H241),1)*$H241),"")</f>
        <v/>
      </c>
      <c r="Y241" s="42">
        <f>IFERROR(IF(X241=0,"",ROUNDUP(X241/H241,0)*0.00937),"")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SU001805</t>
        </is>
      </c>
      <c r="B242" s="64" t="inlineStr">
        <is>
          <t>P001805</t>
        </is>
      </c>
      <c r="C242" s="37" t="n">
        <v>4301011329</v>
      </c>
      <c r="D242" s="384" t="n">
        <v>4607091387308</v>
      </c>
      <c r="E242" s="767" t="n"/>
      <c r="F242" s="801" t="n">
        <v>0.5</v>
      </c>
      <c r="G242" s="38" t="n">
        <v>10</v>
      </c>
      <c r="H242" s="801" t="n">
        <v>5</v>
      </c>
      <c r="I242" s="801" t="n">
        <v>5.21</v>
      </c>
      <c r="J242" s="38" t="n">
        <v>120</v>
      </c>
      <c r="K242" s="38" t="inlineStr">
        <is>
          <t>12</t>
        </is>
      </c>
      <c r="L242" s="39" t="inlineStr">
        <is>
          <t>СК2</t>
        </is>
      </c>
      <c r="M242" s="39" t="n"/>
      <c r="N242" s="38" t="n">
        <v>55</v>
      </c>
      <c r="O242" s="94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2" s="803" t="n"/>
      <c r="Q242" s="803" t="n"/>
      <c r="R242" s="803" t="n"/>
      <c r="S242" s="767" t="n"/>
      <c r="T242" s="40" t="inlineStr"/>
      <c r="U242" s="40" t="inlineStr"/>
      <c r="V242" s="41" t="inlineStr">
        <is>
          <t>кг</t>
        </is>
      </c>
      <c r="W242" s="804" t="n">
        <v>0</v>
      </c>
      <c r="X242" s="805">
        <f>IFERROR(IF(W242="",0,CEILING((W242/$H242),1)*$H242),"")</f>
        <v/>
      </c>
      <c r="Y242" s="42">
        <f>IFERROR(IF(X242=0,"",ROUNDUP(X242/H242,0)*0.00937),"")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SU001829</t>
        </is>
      </c>
      <c r="B243" s="64" t="inlineStr">
        <is>
          <t>P001829</t>
        </is>
      </c>
      <c r="C243" s="37" t="n">
        <v>4301011049</v>
      </c>
      <c r="D243" s="384" t="n">
        <v>4607091387339</v>
      </c>
      <c r="E243" s="767" t="n"/>
      <c r="F243" s="801" t="n">
        <v>0.5</v>
      </c>
      <c r="G243" s="38" t="n">
        <v>10</v>
      </c>
      <c r="H243" s="801" t="n">
        <v>5</v>
      </c>
      <c r="I243" s="801" t="n">
        <v>5.24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55</v>
      </c>
      <c r="O243" s="94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3" s="803" t="n"/>
      <c r="Q243" s="803" t="n"/>
      <c r="R243" s="803" t="n"/>
      <c r="S243" s="767" t="n"/>
      <c r="T243" s="40" t="inlineStr"/>
      <c r="U243" s="40" t="inlineStr"/>
      <c r="V243" s="41" t="inlineStr">
        <is>
          <t>кг</t>
        </is>
      </c>
      <c r="W243" s="804" t="n">
        <v>0</v>
      </c>
      <c r="X243" s="805">
        <f>IFERROR(IF(W243="",0,CEILING((W243/$H243),1)*$H243),"")</f>
        <v/>
      </c>
      <c r="Y243" s="42">
        <f>IFERROR(IF(X243=0,"",ROUNDUP(X243/H243,0)*0.00937),"")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SU002787</t>
        </is>
      </c>
      <c r="B244" s="64" t="inlineStr">
        <is>
          <t>P003189</t>
        </is>
      </c>
      <c r="C244" s="37" t="n">
        <v>4301011433</v>
      </c>
      <c r="D244" s="384" t="n">
        <v>4680115882638</v>
      </c>
      <c r="E244" s="767" t="n"/>
      <c r="F244" s="801" t="n">
        <v>0.4</v>
      </c>
      <c r="G244" s="38" t="n">
        <v>10</v>
      </c>
      <c r="H244" s="801" t="n">
        <v>4</v>
      </c>
      <c r="I244" s="80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5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4" s="803" t="n"/>
      <c r="Q244" s="803" t="n"/>
      <c r="R244" s="803" t="n"/>
      <c r="S244" s="767" t="n"/>
      <c r="T244" s="40" t="inlineStr"/>
      <c r="U244" s="40" t="inlineStr"/>
      <c r="V244" s="41" t="inlineStr">
        <is>
          <t>кг</t>
        </is>
      </c>
      <c r="W244" s="804" t="n">
        <v>0</v>
      </c>
      <c r="X244" s="805">
        <f>IFERROR(IF(W244="",0,CEILING((W244/$H244),1)*$H244),"")</f>
        <v/>
      </c>
      <c r="Y244" s="42">
        <f>IFERROR(IF(X244=0,"",ROUNDUP(X244/H244,0)*0.00937),"")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SU002894</t>
        </is>
      </c>
      <c r="B245" s="64" t="inlineStr">
        <is>
          <t>P003314</t>
        </is>
      </c>
      <c r="C245" s="37" t="n">
        <v>4301011573</v>
      </c>
      <c r="D245" s="384" t="n">
        <v>4680115881938</v>
      </c>
      <c r="E245" s="767" t="n"/>
      <c r="F245" s="801" t="n">
        <v>0.4</v>
      </c>
      <c r="G245" s="38" t="n">
        <v>10</v>
      </c>
      <c r="H245" s="801" t="n">
        <v>4</v>
      </c>
      <c r="I245" s="80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90</v>
      </c>
      <c r="O245" s="95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5" s="803" t="n"/>
      <c r="Q245" s="803" t="n"/>
      <c r="R245" s="803" t="n"/>
      <c r="S245" s="767" t="n"/>
      <c r="T245" s="40" t="inlineStr"/>
      <c r="U245" s="40" t="inlineStr"/>
      <c r="V245" s="41" t="inlineStr">
        <is>
          <t>кг</t>
        </is>
      </c>
      <c r="W245" s="804" t="n">
        <v>0</v>
      </c>
      <c r="X245" s="805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SU000078</t>
        </is>
      </c>
      <c r="B246" s="64" t="inlineStr">
        <is>
          <t>P001806</t>
        </is>
      </c>
      <c r="C246" s="37" t="n">
        <v>4301010944</v>
      </c>
      <c r="D246" s="384" t="n">
        <v>4607091387346</v>
      </c>
      <c r="E246" s="767" t="n"/>
      <c r="F246" s="801" t="n">
        <v>0.4</v>
      </c>
      <c r="G246" s="38" t="n">
        <v>10</v>
      </c>
      <c r="H246" s="801" t="n">
        <v>4</v>
      </c>
      <c r="I246" s="80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5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6" s="803" t="n"/>
      <c r="Q246" s="803" t="n"/>
      <c r="R246" s="803" t="n"/>
      <c r="S246" s="767" t="n"/>
      <c r="T246" s="40" t="inlineStr"/>
      <c r="U246" s="40" t="inlineStr"/>
      <c r="V246" s="41" t="inlineStr">
        <is>
          <t>кг</t>
        </is>
      </c>
      <c r="W246" s="804" t="n">
        <v>0</v>
      </c>
      <c r="X246" s="805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SU002616</t>
        </is>
      </c>
      <c r="B247" s="64" t="inlineStr">
        <is>
          <t>P002950</t>
        </is>
      </c>
      <c r="C247" s="37" t="n">
        <v>4301011353</v>
      </c>
      <c r="D247" s="384" t="n">
        <v>4607091389807</v>
      </c>
      <c r="E247" s="767" t="n"/>
      <c r="F247" s="801" t="n">
        <v>0.4</v>
      </c>
      <c r="G247" s="38" t="n">
        <v>10</v>
      </c>
      <c r="H247" s="801" t="n">
        <v>4</v>
      </c>
      <c r="I247" s="801" t="n">
        <v>4.24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55</v>
      </c>
      <c r="O247" s="95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47" s="803" t="n"/>
      <c r="Q247" s="803" t="n"/>
      <c r="R247" s="803" t="n"/>
      <c r="S247" s="767" t="n"/>
      <c r="T247" s="40" t="inlineStr"/>
      <c r="U247" s="40" t="inlineStr"/>
      <c r="V247" s="41" t="inlineStr">
        <is>
          <t>кг</t>
        </is>
      </c>
      <c r="W247" s="804" t="n">
        <v>0</v>
      </c>
      <c r="X247" s="805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>
      <c r="A248" s="393" t="n"/>
      <c r="B248" s="381" t="n"/>
      <c r="C248" s="381" t="n"/>
      <c r="D248" s="381" t="n"/>
      <c r="E248" s="381" t="n"/>
      <c r="F248" s="381" t="n"/>
      <c r="G248" s="381" t="n"/>
      <c r="H248" s="381" t="n"/>
      <c r="I248" s="381" t="n"/>
      <c r="J248" s="381" t="n"/>
      <c r="K248" s="381" t="n"/>
      <c r="L248" s="381" t="n"/>
      <c r="M248" s="381" t="n"/>
      <c r="N248" s="807" t="n"/>
      <c r="O248" s="808" t="inlineStr">
        <is>
          <t>Итого</t>
        </is>
      </c>
      <c r="P248" s="775" t="n"/>
      <c r="Q248" s="775" t="n"/>
      <c r="R248" s="775" t="n"/>
      <c r="S248" s="775" t="n"/>
      <c r="T248" s="775" t="n"/>
      <c r="U248" s="776" t="n"/>
      <c r="V248" s="43" t="inlineStr">
        <is>
          <t>кор</t>
        </is>
      </c>
      <c r="W248" s="80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/>
      </c>
      <c r="X248" s="80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/>
      </c>
      <c r="Y248" s="80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/>
      </c>
      <c r="Z248" s="810" t="n"/>
      <c r="AA248" s="810" t="n"/>
    </row>
    <row r="249">
      <c r="A249" s="381" t="n"/>
      <c r="B249" s="381" t="n"/>
      <c r="C249" s="381" t="n"/>
      <c r="D249" s="381" t="n"/>
      <c r="E249" s="381" t="n"/>
      <c r="F249" s="381" t="n"/>
      <c r="G249" s="381" t="n"/>
      <c r="H249" s="381" t="n"/>
      <c r="I249" s="381" t="n"/>
      <c r="J249" s="381" t="n"/>
      <c r="K249" s="381" t="n"/>
      <c r="L249" s="381" t="n"/>
      <c r="M249" s="381" t="n"/>
      <c r="N249" s="807" t="n"/>
      <c r="O249" s="808" t="inlineStr">
        <is>
          <t>Итого</t>
        </is>
      </c>
      <c r="P249" s="775" t="n"/>
      <c r="Q249" s="775" t="n"/>
      <c r="R249" s="775" t="n"/>
      <c r="S249" s="775" t="n"/>
      <c r="T249" s="775" t="n"/>
      <c r="U249" s="776" t="n"/>
      <c r="V249" s="43" t="inlineStr">
        <is>
          <t>кг</t>
        </is>
      </c>
      <c r="W249" s="809">
        <f>IFERROR(SUM(W234:W247),"0")</f>
        <v/>
      </c>
      <c r="X249" s="809">
        <f>IFERROR(SUM(X234:X247),"0")</f>
        <v/>
      </c>
      <c r="Y249" s="43" t="n"/>
      <c r="Z249" s="810" t="n"/>
      <c r="AA249" s="810" t="n"/>
    </row>
    <row r="250" ht="14.25" customHeight="1">
      <c r="A250" s="399" t="inlineStr">
        <is>
          <t>Ветчины</t>
        </is>
      </c>
      <c r="B250" s="381" t="n"/>
      <c r="C250" s="381" t="n"/>
      <c r="D250" s="381" t="n"/>
      <c r="E250" s="381" t="n"/>
      <c r="F250" s="381" t="n"/>
      <c r="G250" s="381" t="n"/>
      <c r="H250" s="381" t="n"/>
      <c r="I250" s="381" t="n"/>
      <c r="J250" s="381" t="n"/>
      <c r="K250" s="381" t="n"/>
      <c r="L250" s="381" t="n"/>
      <c r="M250" s="381" t="n"/>
      <c r="N250" s="381" t="n"/>
      <c r="O250" s="381" t="n"/>
      <c r="P250" s="381" t="n"/>
      <c r="Q250" s="381" t="n"/>
      <c r="R250" s="381" t="n"/>
      <c r="S250" s="381" t="n"/>
      <c r="T250" s="381" t="n"/>
      <c r="U250" s="381" t="n"/>
      <c r="V250" s="381" t="n"/>
      <c r="W250" s="381" t="n"/>
      <c r="X250" s="381" t="n"/>
      <c r="Y250" s="381" t="n"/>
      <c r="Z250" s="399" t="n"/>
      <c r="AA250" s="399" t="n"/>
    </row>
    <row r="251" ht="27" customHeight="1">
      <c r="A251" s="64" t="inlineStr">
        <is>
          <t>SU002788</t>
        </is>
      </c>
      <c r="B251" s="64" t="inlineStr">
        <is>
          <t>P003190</t>
        </is>
      </c>
      <c r="C251" s="37" t="n">
        <v>4301020254</v>
      </c>
      <c r="D251" s="384" t="n">
        <v>4680115881914</v>
      </c>
      <c r="E251" s="767" t="n"/>
      <c r="F251" s="801" t="n">
        <v>0.4</v>
      </c>
      <c r="G251" s="38" t="n">
        <v>10</v>
      </c>
      <c r="H251" s="801" t="n">
        <v>4</v>
      </c>
      <c r="I251" s="801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90</v>
      </c>
      <c r="O251" s="95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51" s="803" t="n"/>
      <c r="Q251" s="803" t="n"/>
      <c r="R251" s="803" t="n"/>
      <c r="S251" s="767" t="n"/>
      <c r="T251" s="40" t="inlineStr"/>
      <c r="U251" s="40" t="inlineStr"/>
      <c r="V251" s="41" t="inlineStr">
        <is>
          <t>кг</t>
        </is>
      </c>
      <c r="W251" s="804" t="n">
        <v>0</v>
      </c>
      <c r="X251" s="805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80" t="n"/>
      <c r="BB251" s="226" t="inlineStr">
        <is>
          <t>КИ</t>
        </is>
      </c>
      <c r="BL251" s="80">
        <f>IFERROR(W251*I251/H251,"0")</f>
        <v/>
      </c>
      <c r="BM251" s="80">
        <f>IFERROR(X251*I251/H251,"0")</f>
        <v/>
      </c>
      <c r="BN251" s="80">
        <f>IFERROR(1/J251*(W251/H251),"0")</f>
        <v/>
      </c>
      <c r="BO251" s="80">
        <f>IFERROR(1/J251*(X251/H251),"0")</f>
        <v/>
      </c>
    </row>
    <row r="252">
      <c r="A252" s="393" t="n"/>
      <c r="B252" s="381" t="n"/>
      <c r="C252" s="381" t="n"/>
      <c r="D252" s="381" t="n"/>
      <c r="E252" s="381" t="n"/>
      <c r="F252" s="381" t="n"/>
      <c r="G252" s="381" t="n"/>
      <c r="H252" s="381" t="n"/>
      <c r="I252" s="381" t="n"/>
      <c r="J252" s="381" t="n"/>
      <c r="K252" s="381" t="n"/>
      <c r="L252" s="381" t="n"/>
      <c r="M252" s="381" t="n"/>
      <c r="N252" s="807" t="n"/>
      <c r="O252" s="808" t="inlineStr">
        <is>
          <t>Итого</t>
        </is>
      </c>
      <c r="P252" s="775" t="n"/>
      <c r="Q252" s="775" t="n"/>
      <c r="R252" s="775" t="n"/>
      <c r="S252" s="775" t="n"/>
      <c r="T252" s="775" t="n"/>
      <c r="U252" s="776" t="n"/>
      <c r="V252" s="43" t="inlineStr">
        <is>
          <t>кор</t>
        </is>
      </c>
      <c r="W252" s="809">
        <f>IFERROR(W251/H251,"0")</f>
        <v/>
      </c>
      <c r="X252" s="809">
        <f>IFERROR(X251/H251,"0")</f>
        <v/>
      </c>
      <c r="Y252" s="809">
        <f>IFERROR(IF(Y251="",0,Y251),"0")</f>
        <v/>
      </c>
      <c r="Z252" s="810" t="n"/>
      <c r="AA252" s="810" t="n"/>
    </row>
    <row r="253">
      <c r="A253" s="381" t="n"/>
      <c r="B253" s="381" t="n"/>
      <c r="C253" s="381" t="n"/>
      <c r="D253" s="381" t="n"/>
      <c r="E253" s="381" t="n"/>
      <c r="F253" s="381" t="n"/>
      <c r="G253" s="381" t="n"/>
      <c r="H253" s="381" t="n"/>
      <c r="I253" s="381" t="n"/>
      <c r="J253" s="381" t="n"/>
      <c r="K253" s="381" t="n"/>
      <c r="L253" s="381" t="n"/>
      <c r="M253" s="381" t="n"/>
      <c r="N253" s="807" t="n"/>
      <c r="O253" s="808" t="inlineStr">
        <is>
          <t>Итого</t>
        </is>
      </c>
      <c r="P253" s="775" t="n"/>
      <c r="Q253" s="775" t="n"/>
      <c r="R253" s="775" t="n"/>
      <c r="S253" s="775" t="n"/>
      <c r="T253" s="775" t="n"/>
      <c r="U253" s="776" t="n"/>
      <c r="V253" s="43" t="inlineStr">
        <is>
          <t>кг</t>
        </is>
      </c>
      <c r="W253" s="809">
        <f>IFERROR(SUM(W251:W251),"0")</f>
        <v/>
      </c>
      <c r="X253" s="809">
        <f>IFERROR(SUM(X251:X251),"0")</f>
        <v/>
      </c>
      <c r="Y253" s="43" t="n"/>
      <c r="Z253" s="810" t="n"/>
      <c r="AA253" s="810" t="n"/>
    </row>
    <row r="254" ht="14.25" customHeight="1">
      <c r="A254" s="399" t="inlineStr">
        <is>
          <t>Копченые колбасы</t>
        </is>
      </c>
      <c r="B254" s="381" t="n"/>
      <c r="C254" s="381" t="n"/>
      <c r="D254" s="381" t="n"/>
      <c r="E254" s="381" t="n"/>
      <c r="F254" s="381" t="n"/>
      <c r="G254" s="381" t="n"/>
      <c r="H254" s="381" t="n"/>
      <c r="I254" s="381" t="n"/>
      <c r="J254" s="381" t="n"/>
      <c r="K254" s="381" t="n"/>
      <c r="L254" s="381" t="n"/>
      <c r="M254" s="381" t="n"/>
      <c r="N254" s="381" t="n"/>
      <c r="O254" s="381" t="n"/>
      <c r="P254" s="381" t="n"/>
      <c r="Q254" s="381" t="n"/>
      <c r="R254" s="381" t="n"/>
      <c r="S254" s="381" t="n"/>
      <c r="T254" s="381" t="n"/>
      <c r="U254" s="381" t="n"/>
      <c r="V254" s="381" t="n"/>
      <c r="W254" s="381" t="n"/>
      <c r="X254" s="381" t="n"/>
      <c r="Y254" s="381" t="n"/>
      <c r="Z254" s="399" t="n"/>
      <c r="AA254" s="399" t="n"/>
    </row>
    <row r="255" ht="27" customHeight="1">
      <c r="A255" s="64" t="inlineStr">
        <is>
          <t>SU001820</t>
        </is>
      </c>
      <c r="B255" s="64" t="inlineStr">
        <is>
          <t>P001820</t>
        </is>
      </c>
      <c r="C255" s="37" t="n">
        <v>4301030878</v>
      </c>
      <c r="D255" s="384" t="n">
        <v>4607091387193</v>
      </c>
      <c r="E255" s="767" t="n"/>
      <c r="F255" s="801" t="n">
        <v>0.7</v>
      </c>
      <c r="G255" s="38" t="n">
        <v>6</v>
      </c>
      <c r="H255" s="801" t="n">
        <v>4.2</v>
      </c>
      <c r="I255" s="80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35</v>
      </c>
      <c r="O255" s="95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803" t="n"/>
      <c r="Q255" s="803" t="n"/>
      <c r="R255" s="803" t="n"/>
      <c r="S255" s="767" t="n"/>
      <c r="T255" s="40" t="inlineStr"/>
      <c r="U255" s="40" t="inlineStr"/>
      <c r="V255" s="41" t="inlineStr">
        <is>
          <t>кг</t>
        </is>
      </c>
      <c r="W255" s="804" t="n">
        <v>0</v>
      </c>
      <c r="X255" s="805">
        <f>IFERROR(IF(W255="",0,CEILING((W255/$H255),1)*$H255),"")</f>
        <v/>
      </c>
      <c r="Y255" s="42">
        <f>IFERROR(IF(X255=0,"",ROUNDUP(X255/H255,0)*0.00753),"")</f>
        <v/>
      </c>
      <c r="Z255" s="69" t="inlineStr"/>
      <c r="AA255" s="70" t="inlineStr"/>
      <c r="AE255" s="80" t="n"/>
      <c r="BB255" s="227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SU001822</t>
        </is>
      </c>
      <c r="B256" s="64" t="inlineStr">
        <is>
          <t>P003013</t>
        </is>
      </c>
      <c r="C256" s="37" t="n">
        <v>4301031153</v>
      </c>
      <c r="D256" s="384" t="n">
        <v>4607091387230</v>
      </c>
      <c r="E256" s="767" t="n"/>
      <c r="F256" s="801" t="n">
        <v>0.7</v>
      </c>
      <c r="G256" s="38" t="n">
        <v>6</v>
      </c>
      <c r="H256" s="801" t="n">
        <v>4.2</v>
      </c>
      <c r="I256" s="801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40</v>
      </c>
      <c r="O256" s="95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803" t="n"/>
      <c r="Q256" s="803" t="n"/>
      <c r="R256" s="803" t="n"/>
      <c r="S256" s="767" t="n"/>
      <c r="T256" s="40" t="inlineStr"/>
      <c r="U256" s="40" t="inlineStr"/>
      <c r="V256" s="41" t="inlineStr">
        <is>
          <t>кг</t>
        </is>
      </c>
      <c r="W256" s="804" t="n">
        <v>0</v>
      </c>
      <c r="X256" s="805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80" t="n"/>
      <c r="BB256" s="228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SU002579</t>
        </is>
      </c>
      <c r="B257" s="64" t="inlineStr">
        <is>
          <t>P003012</t>
        </is>
      </c>
      <c r="C257" s="37" t="n">
        <v>4301031152</v>
      </c>
      <c r="D257" s="384" t="n">
        <v>4607091387285</v>
      </c>
      <c r="E257" s="767" t="n"/>
      <c r="F257" s="801" t="n">
        <v>0.35</v>
      </c>
      <c r="G257" s="38" t="n">
        <v>6</v>
      </c>
      <c r="H257" s="801" t="n">
        <v>2.1</v>
      </c>
      <c r="I257" s="801" t="n">
        <v>2.23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5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803" t="n"/>
      <c r="Q257" s="803" t="n"/>
      <c r="R257" s="803" t="n"/>
      <c r="S257" s="767" t="n"/>
      <c r="T257" s="40" t="inlineStr"/>
      <c r="U257" s="40" t="inlineStr"/>
      <c r="V257" s="41" t="inlineStr">
        <is>
          <t>кг</t>
        </is>
      </c>
      <c r="W257" s="804" t="n">
        <v>0</v>
      </c>
      <c r="X257" s="805">
        <f>IFERROR(IF(W257="",0,CEILING((W257/$H257),1)*$H257),"")</f>
        <v/>
      </c>
      <c r="Y257" s="42">
        <f>IFERROR(IF(X257=0,"",ROUNDUP(X257/H257,0)*0.00502),"")</f>
        <v/>
      </c>
      <c r="Z257" s="69" t="inlineStr"/>
      <c r="AA257" s="70" t="inlineStr"/>
      <c r="AE257" s="80" t="n"/>
      <c r="BB257" s="229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SU002699</t>
        </is>
      </c>
      <c r="B258" s="64" t="inlineStr">
        <is>
          <t>P003073</t>
        </is>
      </c>
      <c r="C258" s="37" t="n">
        <v>4301031164</v>
      </c>
      <c r="D258" s="384" t="n">
        <v>4680115880481</v>
      </c>
      <c r="E258" s="767" t="n"/>
      <c r="F258" s="801" t="n">
        <v>0.28</v>
      </c>
      <c r="G258" s="38" t="n">
        <v>6</v>
      </c>
      <c r="H258" s="801" t="n">
        <v>1.68</v>
      </c>
      <c r="I258" s="801" t="n">
        <v>1.78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958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803" t="n"/>
      <c r="Q258" s="803" t="n"/>
      <c r="R258" s="803" t="n"/>
      <c r="S258" s="767" t="n"/>
      <c r="T258" s="40" t="inlineStr"/>
      <c r="U258" s="40" t="inlineStr"/>
      <c r="V258" s="41" t="inlineStr">
        <is>
          <t>кг</t>
        </is>
      </c>
      <c r="W258" s="804" t="n">
        <v>28</v>
      </c>
      <c r="X258" s="805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80" t="n"/>
      <c r="BB258" s="230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>
      <c r="A259" s="393" t="n"/>
      <c r="B259" s="381" t="n"/>
      <c r="C259" s="381" t="n"/>
      <c r="D259" s="381" t="n"/>
      <c r="E259" s="381" t="n"/>
      <c r="F259" s="381" t="n"/>
      <c r="G259" s="381" t="n"/>
      <c r="H259" s="381" t="n"/>
      <c r="I259" s="381" t="n"/>
      <c r="J259" s="381" t="n"/>
      <c r="K259" s="381" t="n"/>
      <c r="L259" s="381" t="n"/>
      <c r="M259" s="381" t="n"/>
      <c r="N259" s="807" t="n"/>
      <c r="O259" s="808" t="inlineStr">
        <is>
          <t>Итого</t>
        </is>
      </c>
      <c r="P259" s="775" t="n"/>
      <c r="Q259" s="775" t="n"/>
      <c r="R259" s="775" t="n"/>
      <c r="S259" s="775" t="n"/>
      <c r="T259" s="775" t="n"/>
      <c r="U259" s="776" t="n"/>
      <c r="V259" s="43" t="inlineStr">
        <is>
          <t>кор</t>
        </is>
      </c>
      <c r="W259" s="809">
        <f>IFERROR(W255/H255,"0")+IFERROR(W256/H256,"0")+IFERROR(W257/H257,"0")+IFERROR(W258/H258,"0")</f>
        <v/>
      </c>
      <c r="X259" s="809">
        <f>IFERROR(X255/H255,"0")+IFERROR(X256/H256,"0")+IFERROR(X257/H257,"0")+IFERROR(X258/H258,"0")</f>
        <v/>
      </c>
      <c r="Y259" s="809">
        <f>IFERROR(IF(Y255="",0,Y255),"0")+IFERROR(IF(Y256="",0,Y256),"0")+IFERROR(IF(Y257="",0,Y257),"0")+IFERROR(IF(Y258="",0,Y258),"0")</f>
        <v/>
      </c>
      <c r="Z259" s="810" t="n"/>
      <c r="AA259" s="810" t="n"/>
    </row>
    <row r="260">
      <c r="A260" s="381" t="n"/>
      <c r="B260" s="381" t="n"/>
      <c r="C260" s="381" t="n"/>
      <c r="D260" s="381" t="n"/>
      <c r="E260" s="381" t="n"/>
      <c r="F260" s="381" t="n"/>
      <c r="G260" s="381" t="n"/>
      <c r="H260" s="381" t="n"/>
      <c r="I260" s="381" t="n"/>
      <c r="J260" s="381" t="n"/>
      <c r="K260" s="381" t="n"/>
      <c r="L260" s="381" t="n"/>
      <c r="M260" s="381" t="n"/>
      <c r="N260" s="807" t="n"/>
      <c r="O260" s="808" t="inlineStr">
        <is>
          <t>Итого</t>
        </is>
      </c>
      <c r="P260" s="775" t="n"/>
      <c r="Q260" s="775" t="n"/>
      <c r="R260" s="775" t="n"/>
      <c r="S260" s="775" t="n"/>
      <c r="T260" s="775" t="n"/>
      <c r="U260" s="776" t="n"/>
      <c r="V260" s="43" t="inlineStr">
        <is>
          <t>кг</t>
        </is>
      </c>
      <c r="W260" s="809">
        <f>IFERROR(SUM(W255:W258),"0")</f>
        <v/>
      </c>
      <c r="X260" s="809">
        <f>IFERROR(SUM(X255:X258),"0")</f>
        <v/>
      </c>
      <c r="Y260" s="43" t="n"/>
      <c r="Z260" s="810" t="n"/>
      <c r="AA260" s="810" t="n"/>
    </row>
    <row r="261" ht="14.25" customHeight="1">
      <c r="A261" s="399" t="inlineStr">
        <is>
          <t>Сосиски</t>
        </is>
      </c>
      <c r="B261" s="381" t="n"/>
      <c r="C261" s="381" t="n"/>
      <c r="D261" s="381" t="n"/>
      <c r="E261" s="381" t="n"/>
      <c r="F261" s="381" t="n"/>
      <c r="G261" s="381" t="n"/>
      <c r="H261" s="381" t="n"/>
      <c r="I261" s="381" t="n"/>
      <c r="J261" s="381" t="n"/>
      <c r="K261" s="381" t="n"/>
      <c r="L261" s="381" t="n"/>
      <c r="M261" s="381" t="n"/>
      <c r="N261" s="381" t="n"/>
      <c r="O261" s="381" t="n"/>
      <c r="P261" s="381" t="n"/>
      <c r="Q261" s="381" t="n"/>
      <c r="R261" s="381" t="n"/>
      <c r="S261" s="381" t="n"/>
      <c r="T261" s="381" t="n"/>
      <c r="U261" s="381" t="n"/>
      <c r="V261" s="381" t="n"/>
      <c r="W261" s="381" t="n"/>
      <c r="X261" s="381" t="n"/>
      <c r="Y261" s="381" t="n"/>
      <c r="Z261" s="399" t="n"/>
      <c r="AA261" s="399" t="n"/>
    </row>
    <row r="262" ht="16.5" customHeight="1">
      <c r="A262" s="64" t="inlineStr">
        <is>
          <t>SU001340</t>
        </is>
      </c>
      <c r="B262" s="64" t="inlineStr">
        <is>
          <t>P002209</t>
        </is>
      </c>
      <c r="C262" s="37" t="n">
        <v>4301051100</v>
      </c>
      <c r="D262" s="384" t="n">
        <v>4607091387766</v>
      </c>
      <c r="E262" s="767" t="n"/>
      <c r="F262" s="801" t="n">
        <v>1.3</v>
      </c>
      <c r="G262" s="38" t="n">
        <v>6</v>
      </c>
      <c r="H262" s="801" t="n">
        <v>7.8</v>
      </c>
      <c r="I262" s="801" t="n">
        <v>8.358000000000001</v>
      </c>
      <c r="J262" s="38" t="n">
        <v>56</v>
      </c>
      <c r="K262" s="38" t="inlineStr">
        <is>
          <t>8</t>
        </is>
      </c>
      <c r="L262" s="39" t="inlineStr">
        <is>
          <t>СК3</t>
        </is>
      </c>
      <c r="M262" s="39" t="n"/>
      <c r="N262" s="38" t="n">
        <v>40</v>
      </c>
      <c r="O262" s="959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803" t="n"/>
      <c r="Q262" s="803" t="n"/>
      <c r="R262" s="803" t="n"/>
      <c r="S262" s="767" t="n"/>
      <c r="T262" s="40" t="inlineStr"/>
      <c r="U262" s="40" t="inlineStr"/>
      <c r="V262" s="41" t="inlineStr">
        <is>
          <t>кг</t>
        </is>
      </c>
      <c r="W262" s="804" t="n">
        <v>0</v>
      </c>
      <c r="X262" s="805">
        <f>IFERROR(IF(W262="",0,CEILING((W262/$H262),1)*$H262),"")</f>
        <v/>
      </c>
      <c r="Y262" s="42">
        <f>IFERROR(IF(X262=0,"",ROUNDUP(X262/H262,0)*0.02175),"")</f>
        <v/>
      </c>
      <c r="Z262" s="69" t="inlineStr"/>
      <c r="AA262" s="70" t="inlineStr"/>
      <c r="AE262" s="80" t="n"/>
      <c r="BB262" s="231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SU001727</t>
        </is>
      </c>
      <c r="B263" s="64" t="inlineStr">
        <is>
          <t>P002205</t>
        </is>
      </c>
      <c r="C263" s="37" t="n">
        <v>4301051116</v>
      </c>
      <c r="D263" s="384" t="n">
        <v>4607091387957</v>
      </c>
      <c r="E263" s="767" t="n"/>
      <c r="F263" s="801" t="n">
        <v>1.3</v>
      </c>
      <c r="G263" s="38" t="n">
        <v>6</v>
      </c>
      <c r="H263" s="801" t="n">
        <v>7.8</v>
      </c>
      <c r="I263" s="801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803" t="n"/>
      <c r="Q263" s="803" t="n"/>
      <c r="R263" s="803" t="n"/>
      <c r="S263" s="767" t="n"/>
      <c r="T263" s="40" t="inlineStr"/>
      <c r="U263" s="40" t="inlineStr"/>
      <c r="V263" s="41" t="inlineStr">
        <is>
          <t>кг</t>
        </is>
      </c>
      <c r="W263" s="804" t="n">
        <v>0</v>
      </c>
      <c r="X263" s="805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80" t="n"/>
      <c r="BB263" s="232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SU001728</t>
        </is>
      </c>
      <c r="B264" s="64" t="inlineStr">
        <is>
          <t>P002207</t>
        </is>
      </c>
      <c r="C264" s="37" t="n">
        <v>4301051115</v>
      </c>
      <c r="D264" s="384" t="n">
        <v>4607091387964</v>
      </c>
      <c r="E264" s="767" t="n"/>
      <c r="F264" s="801" t="n">
        <v>1.35</v>
      </c>
      <c r="G264" s="38" t="n">
        <v>6</v>
      </c>
      <c r="H264" s="801" t="n">
        <v>8.1</v>
      </c>
      <c r="I264" s="801" t="n">
        <v>8.646000000000001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9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803" t="n"/>
      <c r="Q264" s="803" t="n"/>
      <c r="R264" s="803" t="n"/>
      <c r="S264" s="767" t="n"/>
      <c r="T264" s="40" t="inlineStr"/>
      <c r="U264" s="40" t="inlineStr"/>
      <c r="V264" s="41" t="inlineStr">
        <is>
          <t>кг</t>
        </is>
      </c>
      <c r="W264" s="804" t="n">
        <v>0</v>
      </c>
      <c r="X264" s="805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80" t="n"/>
      <c r="BB264" s="233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16.5" customHeight="1">
      <c r="A265" s="64" t="inlineStr">
        <is>
          <t>SU003340</t>
        </is>
      </c>
      <c r="B265" s="64" t="inlineStr">
        <is>
          <t>P004090</t>
        </is>
      </c>
      <c r="C265" s="37" t="n">
        <v>4301051731</v>
      </c>
      <c r="D265" s="384" t="n">
        <v>4680115884618</v>
      </c>
      <c r="E265" s="767" t="n"/>
      <c r="F265" s="801" t="n">
        <v>0.6</v>
      </c>
      <c r="G265" s="38" t="n">
        <v>6</v>
      </c>
      <c r="H265" s="801" t="n">
        <v>3.6</v>
      </c>
      <c r="I265" s="801" t="n">
        <v>3.81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45</v>
      </c>
      <c r="O265" s="962">
        <f>HYPERLINK("https://abi.ru/products/Охлажденные/Стародворье/Бордо/Сосиски/P004090/","Сосиски «Венские» ф/в 0,6 п/а ТМ «Стародворье»")</f>
        <v/>
      </c>
      <c r="P265" s="803" t="n"/>
      <c r="Q265" s="803" t="n"/>
      <c r="R265" s="803" t="n"/>
      <c r="S265" s="767" t="n"/>
      <c r="T265" s="40" t="inlineStr"/>
      <c r="U265" s="40" t="inlineStr"/>
      <c r="V265" s="41" t="inlineStr">
        <is>
          <t>кг</t>
        </is>
      </c>
      <c r="W265" s="804" t="n">
        <v>0</v>
      </c>
      <c r="X265" s="805">
        <f>IFERROR(IF(W265="",0,CEILING((W265/$H265),1)*$H265),"")</f>
        <v/>
      </c>
      <c r="Y265" s="42">
        <f>IFERROR(IF(X265=0,"",ROUNDUP(X265/H265,0)*0.00937),"")</f>
        <v/>
      </c>
      <c r="Z265" s="69" t="inlineStr"/>
      <c r="AA265" s="70" t="inlineStr"/>
      <c r="AE265" s="80" t="n"/>
      <c r="BB265" s="234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SU001341</t>
        </is>
      </c>
      <c r="B266" s="64" t="inlineStr">
        <is>
          <t>P002204</t>
        </is>
      </c>
      <c r="C266" s="37" t="n">
        <v>4301051134</v>
      </c>
      <c r="D266" s="384" t="n">
        <v>4607091381672</v>
      </c>
      <c r="E266" s="767" t="n"/>
      <c r="F266" s="801" t="n">
        <v>0.6</v>
      </c>
      <c r="G266" s="38" t="n">
        <v>6</v>
      </c>
      <c r="H266" s="801" t="n">
        <v>3.6</v>
      </c>
      <c r="I266" s="801" t="n">
        <v>3.876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63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803" t="n"/>
      <c r="Q266" s="803" t="n"/>
      <c r="R266" s="803" t="n"/>
      <c r="S266" s="767" t="n"/>
      <c r="T266" s="40" t="inlineStr"/>
      <c r="U266" s="40" t="inlineStr"/>
      <c r="V266" s="41" t="inlineStr">
        <is>
          <t>кг</t>
        </is>
      </c>
      <c r="W266" s="804" t="n">
        <v>0</v>
      </c>
      <c r="X266" s="805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80" t="n"/>
      <c r="BB266" s="235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SU001763</t>
        </is>
      </c>
      <c r="B267" s="64" t="inlineStr">
        <is>
          <t>P002206</t>
        </is>
      </c>
      <c r="C267" s="37" t="n">
        <v>4301051130</v>
      </c>
      <c r="D267" s="384" t="n">
        <v>4607091387537</v>
      </c>
      <c r="E267" s="767" t="n"/>
      <c r="F267" s="801" t="n">
        <v>0.45</v>
      </c>
      <c r="G267" s="38" t="n">
        <v>6</v>
      </c>
      <c r="H267" s="801" t="n">
        <v>2.7</v>
      </c>
      <c r="I267" s="801" t="n">
        <v>2.99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6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7" s="803" t="n"/>
      <c r="Q267" s="803" t="n"/>
      <c r="R267" s="803" t="n"/>
      <c r="S267" s="767" t="n"/>
      <c r="T267" s="40" t="inlineStr"/>
      <c r="U267" s="40" t="inlineStr"/>
      <c r="V267" s="41" t="inlineStr">
        <is>
          <t>кг</t>
        </is>
      </c>
      <c r="W267" s="804" t="n">
        <v>0</v>
      </c>
      <c r="X267" s="805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6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 ht="27" customHeight="1">
      <c r="A268" s="64" t="inlineStr">
        <is>
          <t>SU001762</t>
        </is>
      </c>
      <c r="B268" s="64" t="inlineStr">
        <is>
          <t>P002208</t>
        </is>
      </c>
      <c r="C268" s="37" t="n">
        <v>4301051132</v>
      </c>
      <c r="D268" s="384" t="n">
        <v>4607091387513</v>
      </c>
      <c r="E268" s="767" t="n"/>
      <c r="F268" s="801" t="n">
        <v>0.45</v>
      </c>
      <c r="G268" s="38" t="n">
        <v>6</v>
      </c>
      <c r="H268" s="801" t="n">
        <v>2.7</v>
      </c>
      <c r="I268" s="801" t="n">
        <v>2.978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96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8" s="803" t="n"/>
      <c r="Q268" s="803" t="n"/>
      <c r="R268" s="803" t="n"/>
      <c r="S268" s="767" t="n"/>
      <c r="T268" s="40" t="inlineStr"/>
      <c r="U268" s="40" t="inlineStr"/>
      <c r="V268" s="41" t="inlineStr">
        <is>
          <t>кг</t>
        </is>
      </c>
      <c r="W268" s="804" t="n">
        <v>0</v>
      </c>
      <c r="X268" s="805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80" t="n"/>
      <c r="BB268" s="237" t="inlineStr">
        <is>
          <t>КИ</t>
        </is>
      </c>
      <c r="BL268" s="80">
        <f>IFERROR(W268*I268/H268,"0")</f>
        <v/>
      </c>
      <c r="BM268" s="80">
        <f>IFERROR(X268*I268/H268,"0")</f>
        <v/>
      </c>
      <c r="BN268" s="80">
        <f>IFERROR(1/J268*(W268/H268),"0")</f>
        <v/>
      </c>
      <c r="BO268" s="80">
        <f>IFERROR(1/J268*(X268/H268),"0")</f>
        <v/>
      </c>
    </row>
    <row r="269" ht="27" customHeight="1">
      <c r="A269" s="64" t="inlineStr">
        <is>
          <t>SU002619</t>
        </is>
      </c>
      <c r="B269" s="64" t="inlineStr">
        <is>
          <t>P002953</t>
        </is>
      </c>
      <c r="C269" s="37" t="n">
        <v>4301051277</v>
      </c>
      <c r="D269" s="384" t="n">
        <v>4680115880511</v>
      </c>
      <c r="E269" s="767" t="n"/>
      <c r="F269" s="801" t="n">
        <v>0.33</v>
      </c>
      <c r="G269" s="38" t="n">
        <v>6</v>
      </c>
      <c r="H269" s="801" t="n">
        <v>1.98</v>
      </c>
      <c r="I269" s="801" t="n">
        <v>2.18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40</v>
      </c>
      <c r="O269" s="96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9" s="803" t="n"/>
      <c r="Q269" s="803" t="n"/>
      <c r="R269" s="803" t="n"/>
      <c r="S269" s="767" t="n"/>
      <c r="T269" s="40" t="inlineStr"/>
      <c r="U269" s="40" t="inlineStr"/>
      <c r="V269" s="41" t="inlineStr">
        <is>
          <t>кг</t>
        </is>
      </c>
      <c r="W269" s="804" t="n">
        <v>26.4</v>
      </c>
      <c r="X269" s="805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80" t="n"/>
      <c r="BB269" s="238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SU002723</t>
        </is>
      </c>
      <c r="B270" s="64" t="inlineStr">
        <is>
          <t>P003124</t>
        </is>
      </c>
      <c r="C270" s="37" t="n">
        <v>4301051344</v>
      </c>
      <c r="D270" s="384" t="n">
        <v>4680115880412</v>
      </c>
      <c r="E270" s="767" t="n"/>
      <c r="F270" s="801" t="n">
        <v>0.33</v>
      </c>
      <c r="G270" s="38" t="n">
        <v>6</v>
      </c>
      <c r="H270" s="801" t="n">
        <v>1.98</v>
      </c>
      <c r="I270" s="801" t="n">
        <v>2.246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45</v>
      </c>
      <c r="O270" s="96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0" s="803" t="n"/>
      <c r="Q270" s="803" t="n"/>
      <c r="R270" s="803" t="n"/>
      <c r="S270" s="767" t="n"/>
      <c r="T270" s="40" t="inlineStr"/>
      <c r="U270" s="40" t="inlineStr"/>
      <c r="V270" s="41" t="inlineStr">
        <is>
          <t>кг</t>
        </is>
      </c>
      <c r="W270" s="804" t="n">
        <v>19.8</v>
      </c>
      <c r="X270" s="805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80" t="n"/>
      <c r="BB270" s="239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>
      <c r="A271" s="393" t="n"/>
      <c r="B271" s="381" t="n"/>
      <c r="C271" s="381" t="n"/>
      <c r="D271" s="381" t="n"/>
      <c r="E271" s="381" t="n"/>
      <c r="F271" s="381" t="n"/>
      <c r="G271" s="381" t="n"/>
      <c r="H271" s="381" t="n"/>
      <c r="I271" s="381" t="n"/>
      <c r="J271" s="381" t="n"/>
      <c r="K271" s="381" t="n"/>
      <c r="L271" s="381" t="n"/>
      <c r="M271" s="381" t="n"/>
      <c r="N271" s="807" t="n"/>
      <c r="O271" s="808" t="inlineStr">
        <is>
          <t>Итого</t>
        </is>
      </c>
      <c r="P271" s="775" t="n"/>
      <c r="Q271" s="775" t="n"/>
      <c r="R271" s="775" t="n"/>
      <c r="S271" s="775" t="n"/>
      <c r="T271" s="775" t="n"/>
      <c r="U271" s="776" t="n"/>
      <c r="V271" s="43" t="inlineStr">
        <is>
          <t>кор</t>
        </is>
      </c>
      <c r="W271" s="809">
        <f>IFERROR(W262/H262,"0")+IFERROR(W263/H263,"0")+IFERROR(W264/H264,"0")+IFERROR(W265/H265,"0")+IFERROR(W266/H266,"0")+IFERROR(W267/H267,"0")+IFERROR(W268/H268,"0")+IFERROR(W269/H269,"0")+IFERROR(W270/H270,"0")</f>
        <v/>
      </c>
      <c r="X271" s="809">
        <f>IFERROR(X262/H262,"0")+IFERROR(X263/H263,"0")+IFERROR(X264/H264,"0")+IFERROR(X265/H265,"0")+IFERROR(X266/H266,"0")+IFERROR(X267/H267,"0")+IFERROR(X268/H268,"0")+IFERROR(X269/H269,"0")+IFERROR(X270/H270,"0")</f>
        <v/>
      </c>
      <c r="Y271" s="80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/>
      </c>
      <c r="Z271" s="810" t="n"/>
      <c r="AA271" s="810" t="n"/>
    </row>
    <row r="272">
      <c r="A272" s="381" t="n"/>
      <c r="B272" s="381" t="n"/>
      <c r="C272" s="381" t="n"/>
      <c r="D272" s="381" t="n"/>
      <c r="E272" s="381" t="n"/>
      <c r="F272" s="381" t="n"/>
      <c r="G272" s="381" t="n"/>
      <c r="H272" s="381" t="n"/>
      <c r="I272" s="381" t="n"/>
      <c r="J272" s="381" t="n"/>
      <c r="K272" s="381" t="n"/>
      <c r="L272" s="381" t="n"/>
      <c r="M272" s="381" t="n"/>
      <c r="N272" s="807" t="n"/>
      <c r="O272" s="808" t="inlineStr">
        <is>
          <t>Итого</t>
        </is>
      </c>
      <c r="P272" s="775" t="n"/>
      <c r="Q272" s="775" t="n"/>
      <c r="R272" s="775" t="n"/>
      <c r="S272" s="775" t="n"/>
      <c r="T272" s="775" t="n"/>
      <c r="U272" s="776" t="n"/>
      <c r="V272" s="43" t="inlineStr">
        <is>
          <t>кг</t>
        </is>
      </c>
      <c r="W272" s="809">
        <f>IFERROR(SUM(W262:W270),"0")</f>
        <v/>
      </c>
      <c r="X272" s="809">
        <f>IFERROR(SUM(X262:X270),"0")</f>
        <v/>
      </c>
      <c r="Y272" s="43" t="n"/>
      <c r="Z272" s="810" t="n"/>
      <c r="AA272" s="810" t="n"/>
    </row>
    <row r="273" ht="14.25" customHeight="1">
      <c r="A273" s="399" t="inlineStr">
        <is>
          <t>Сардельки</t>
        </is>
      </c>
      <c r="B273" s="381" t="n"/>
      <c r="C273" s="381" t="n"/>
      <c r="D273" s="381" t="n"/>
      <c r="E273" s="381" t="n"/>
      <c r="F273" s="381" t="n"/>
      <c r="G273" s="381" t="n"/>
      <c r="H273" s="381" t="n"/>
      <c r="I273" s="381" t="n"/>
      <c r="J273" s="381" t="n"/>
      <c r="K273" s="381" t="n"/>
      <c r="L273" s="381" t="n"/>
      <c r="M273" s="381" t="n"/>
      <c r="N273" s="381" t="n"/>
      <c r="O273" s="381" t="n"/>
      <c r="P273" s="381" t="n"/>
      <c r="Q273" s="381" t="n"/>
      <c r="R273" s="381" t="n"/>
      <c r="S273" s="381" t="n"/>
      <c r="T273" s="381" t="n"/>
      <c r="U273" s="381" t="n"/>
      <c r="V273" s="381" t="n"/>
      <c r="W273" s="381" t="n"/>
      <c r="X273" s="381" t="n"/>
      <c r="Y273" s="381" t="n"/>
      <c r="Z273" s="399" t="n"/>
      <c r="AA273" s="399" t="n"/>
    </row>
    <row r="274" ht="16.5" customHeight="1">
      <c r="A274" s="64" t="inlineStr">
        <is>
          <t>SU001051</t>
        </is>
      </c>
      <c r="B274" s="64" t="inlineStr">
        <is>
          <t>P002061</t>
        </is>
      </c>
      <c r="C274" s="37" t="n">
        <v>4301060326</v>
      </c>
      <c r="D274" s="384" t="n">
        <v>4607091380880</v>
      </c>
      <c r="E274" s="767" t="n"/>
      <c r="F274" s="801" t="n">
        <v>1.4</v>
      </c>
      <c r="G274" s="38" t="n">
        <v>6</v>
      </c>
      <c r="H274" s="801" t="n">
        <v>8.4</v>
      </c>
      <c r="I274" s="801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68">
        <f>HYPERLINK("https://abi.ru/products/Охлажденные/Стародворье/Бордо/Сардельки/P002061/","Сардельки Нежные Бордо Весовые н/о мгс Стародворье")</f>
        <v/>
      </c>
      <c r="P274" s="803" t="n"/>
      <c r="Q274" s="803" t="n"/>
      <c r="R274" s="803" t="n"/>
      <c r="S274" s="767" t="n"/>
      <c r="T274" s="40" t="inlineStr"/>
      <c r="U274" s="40" t="inlineStr"/>
      <c r="V274" s="41" t="inlineStr">
        <is>
          <t>кг</t>
        </is>
      </c>
      <c r="W274" s="804" t="n">
        <v>40</v>
      </c>
      <c r="X274" s="805">
        <f>IFERROR(IF(W274="",0,CEILING((W274/$H274),1)*$H274),"")</f>
        <v/>
      </c>
      <c r="Y274" s="42">
        <f>IFERROR(IF(X274=0,"",ROUNDUP(X274/H274,0)*0.02175),"")</f>
        <v/>
      </c>
      <c r="Z274" s="69" t="inlineStr"/>
      <c r="AA274" s="70" t="inlineStr"/>
      <c r="AE274" s="80" t="n"/>
      <c r="BB274" s="240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SU000227</t>
        </is>
      </c>
      <c r="B275" s="64" t="inlineStr">
        <is>
          <t>P002536</t>
        </is>
      </c>
      <c r="C275" s="37" t="n">
        <v>4301060308</v>
      </c>
      <c r="D275" s="384" t="n">
        <v>4607091384482</v>
      </c>
      <c r="E275" s="767" t="n"/>
      <c r="F275" s="801" t="n">
        <v>1.3</v>
      </c>
      <c r="G275" s="38" t="n">
        <v>6</v>
      </c>
      <c r="H275" s="801" t="n">
        <v>7.8</v>
      </c>
      <c r="I275" s="801" t="n">
        <v>8.364000000000001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6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5" s="803" t="n"/>
      <c r="Q275" s="803" t="n"/>
      <c r="R275" s="803" t="n"/>
      <c r="S275" s="767" t="n"/>
      <c r="T275" s="40" t="inlineStr"/>
      <c r="U275" s="40" t="inlineStr"/>
      <c r="V275" s="41" t="inlineStr">
        <is>
          <t>кг</t>
        </is>
      </c>
      <c r="W275" s="804" t="n">
        <v>250</v>
      </c>
      <c r="X275" s="805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80" t="n"/>
      <c r="BB275" s="241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16.5" customHeight="1">
      <c r="A276" s="64" t="inlineStr">
        <is>
          <t>SU001430</t>
        </is>
      </c>
      <c r="B276" s="64" t="inlineStr">
        <is>
          <t>P002036</t>
        </is>
      </c>
      <c r="C276" s="37" t="n">
        <v>4301060325</v>
      </c>
      <c r="D276" s="384" t="n">
        <v>4607091380897</v>
      </c>
      <c r="E276" s="767" t="n"/>
      <c r="F276" s="801" t="n">
        <v>1.4</v>
      </c>
      <c r="G276" s="38" t="n">
        <v>6</v>
      </c>
      <c r="H276" s="801" t="n">
        <v>8.4</v>
      </c>
      <c r="I276" s="801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970">
        <f>HYPERLINK("https://abi.ru/products/Охлажденные/Стародворье/Бордо/Сардельки/P002036/","Сардельки Шпикачки Бордо Весовые NDX мгс Стародворье")</f>
        <v/>
      </c>
      <c r="P276" s="803" t="n"/>
      <c r="Q276" s="803" t="n"/>
      <c r="R276" s="803" t="n"/>
      <c r="S276" s="767" t="n"/>
      <c r="T276" s="40" t="inlineStr"/>
      <c r="U276" s="40" t="inlineStr"/>
      <c r="V276" s="41" t="inlineStr">
        <is>
          <t>кг</t>
        </is>
      </c>
      <c r="W276" s="804" t="n">
        <v>60</v>
      </c>
      <c r="X276" s="805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80" t="n"/>
      <c r="BB276" s="242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>
      <c r="A277" s="393" t="n"/>
      <c r="B277" s="381" t="n"/>
      <c r="C277" s="381" t="n"/>
      <c r="D277" s="381" t="n"/>
      <c r="E277" s="381" t="n"/>
      <c r="F277" s="381" t="n"/>
      <c r="G277" s="381" t="n"/>
      <c r="H277" s="381" t="n"/>
      <c r="I277" s="381" t="n"/>
      <c r="J277" s="381" t="n"/>
      <c r="K277" s="381" t="n"/>
      <c r="L277" s="381" t="n"/>
      <c r="M277" s="381" t="n"/>
      <c r="N277" s="807" t="n"/>
      <c r="O277" s="808" t="inlineStr">
        <is>
          <t>Итого</t>
        </is>
      </c>
      <c r="P277" s="775" t="n"/>
      <c r="Q277" s="775" t="n"/>
      <c r="R277" s="775" t="n"/>
      <c r="S277" s="775" t="n"/>
      <c r="T277" s="775" t="n"/>
      <c r="U277" s="776" t="n"/>
      <c r="V277" s="43" t="inlineStr">
        <is>
          <t>кор</t>
        </is>
      </c>
      <c r="W277" s="809">
        <f>IFERROR(W274/H274,"0")+IFERROR(W275/H275,"0")+IFERROR(W276/H276,"0")</f>
        <v/>
      </c>
      <c r="X277" s="809">
        <f>IFERROR(X274/H274,"0")+IFERROR(X275/H275,"0")+IFERROR(X276/H276,"0")</f>
        <v/>
      </c>
      <c r="Y277" s="809">
        <f>IFERROR(IF(Y274="",0,Y274),"0")+IFERROR(IF(Y275="",0,Y275),"0")+IFERROR(IF(Y276="",0,Y276),"0")</f>
        <v/>
      </c>
      <c r="Z277" s="810" t="n"/>
      <c r="AA277" s="810" t="n"/>
    </row>
    <row r="278">
      <c r="A278" s="381" t="n"/>
      <c r="B278" s="381" t="n"/>
      <c r="C278" s="381" t="n"/>
      <c r="D278" s="381" t="n"/>
      <c r="E278" s="381" t="n"/>
      <c r="F278" s="381" t="n"/>
      <c r="G278" s="381" t="n"/>
      <c r="H278" s="381" t="n"/>
      <c r="I278" s="381" t="n"/>
      <c r="J278" s="381" t="n"/>
      <c r="K278" s="381" t="n"/>
      <c r="L278" s="381" t="n"/>
      <c r="M278" s="381" t="n"/>
      <c r="N278" s="807" t="n"/>
      <c r="O278" s="808" t="inlineStr">
        <is>
          <t>Итого</t>
        </is>
      </c>
      <c r="P278" s="775" t="n"/>
      <c r="Q278" s="775" t="n"/>
      <c r="R278" s="775" t="n"/>
      <c r="S278" s="775" t="n"/>
      <c r="T278" s="775" t="n"/>
      <c r="U278" s="776" t="n"/>
      <c r="V278" s="43" t="inlineStr">
        <is>
          <t>кг</t>
        </is>
      </c>
      <c r="W278" s="809">
        <f>IFERROR(SUM(W274:W276),"0")</f>
        <v/>
      </c>
      <c r="X278" s="809">
        <f>IFERROR(SUM(X274:X276),"0")</f>
        <v/>
      </c>
      <c r="Y278" s="43" t="n"/>
      <c r="Z278" s="810" t="n"/>
      <c r="AA278" s="810" t="n"/>
    </row>
    <row r="279" ht="14.25" customHeight="1">
      <c r="A279" s="399" t="inlineStr">
        <is>
          <t>Сырокопченые колбасы</t>
        </is>
      </c>
      <c r="B279" s="381" t="n"/>
      <c r="C279" s="381" t="n"/>
      <c r="D279" s="381" t="n"/>
      <c r="E279" s="381" t="n"/>
      <c r="F279" s="381" t="n"/>
      <c r="G279" s="381" t="n"/>
      <c r="H279" s="381" t="n"/>
      <c r="I279" s="381" t="n"/>
      <c r="J279" s="381" t="n"/>
      <c r="K279" s="381" t="n"/>
      <c r="L279" s="381" t="n"/>
      <c r="M279" s="381" t="n"/>
      <c r="N279" s="381" t="n"/>
      <c r="O279" s="381" t="n"/>
      <c r="P279" s="381" t="n"/>
      <c r="Q279" s="381" t="n"/>
      <c r="R279" s="381" t="n"/>
      <c r="S279" s="381" t="n"/>
      <c r="T279" s="381" t="n"/>
      <c r="U279" s="381" t="n"/>
      <c r="V279" s="381" t="n"/>
      <c r="W279" s="381" t="n"/>
      <c r="X279" s="381" t="n"/>
      <c r="Y279" s="381" t="n"/>
      <c r="Z279" s="399" t="n"/>
      <c r="AA279" s="399" t="n"/>
    </row>
    <row r="280" ht="16.5" customHeight="1">
      <c r="A280" s="64" t="inlineStr">
        <is>
          <t>SU001920</t>
        </is>
      </c>
      <c r="B280" s="64" t="inlineStr">
        <is>
          <t>P001900</t>
        </is>
      </c>
      <c r="C280" s="37" t="n">
        <v>4301030232</v>
      </c>
      <c r="D280" s="384" t="n">
        <v>4607091388374</v>
      </c>
      <c r="E280" s="767" t="n"/>
      <c r="F280" s="801" t="n">
        <v>0.38</v>
      </c>
      <c r="G280" s="38" t="n">
        <v>8</v>
      </c>
      <c r="H280" s="801" t="n">
        <v>3.04</v>
      </c>
      <c r="I280" s="801" t="n">
        <v>3.28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71" t="inlineStr">
        <is>
          <t>С/к колбасы Княжеская Бордо Весовые б/о терм/п Стародворье</t>
        </is>
      </c>
      <c r="P280" s="803" t="n"/>
      <c r="Q280" s="803" t="n"/>
      <c r="R280" s="803" t="n"/>
      <c r="S280" s="767" t="n"/>
      <c r="T280" s="40" t="inlineStr"/>
      <c r="U280" s="40" t="inlineStr"/>
      <c r="V280" s="41" t="inlineStr">
        <is>
          <t>кг</t>
        </is>
      </c>
      <c r="W280" s="804" t="n">
        <v>0</v>
      </c>
      <c r="X280" s="805">
        <f>IFERROR(IF(W280="",0,CEILING((W280/$H280),1)*$H280),"")</f>
        <v/>
      </c>
      <c r="Y280" s="42">
        <f>IFERROR(IF(X280=0,"",ROUNDUP(X280/H280,0)*0.00753),"")</f>
        <v/>
      </c>
      <c r="Z280" s="69" t="inlineStr"/>
      <c r="AA280" s="70" t="inlineStr"/>
      <c r="AE280" s="80" t="n"/>
      <c r="BB280" s="243" t="inlineStr">
        <is>
          <t>КИ</t>
        </is>
      </c>
      <c r="BL280" s="80">
        <f>IFERROR(W280*I280/H280,"0")</f>
        <v/>
      </c>
      <c r="BM280" s="80">
        <f>IFERROR(X280*I280/H280,"0")</f>
        <v/>
      </c>
      <c r="BN280" s="80">
        <f>IFERROR(1/J280*(W280/H280),"0")</f>
        <v/>
      </c>
      <c r="BO280" s="80">
        <f>IFERROR(1/J280*(X280/H280),"0")</f>
        <v/>
      </c>
    </row>
    <row r="281" ht="27" customHeight="1">
      <c r="A281" s="64" t="inlineStr">
        <is>
          <t>SU001921</t>
        </is>
      </c>
      <c r="B281" s="64" t="inlineStr">
        <is>
          <t>P001916</t>
        </is>
      </c>
      <c r="C281" s="37" t="n">
        <v>4301030235</v>
      </c>
      <c r="D281" s="384" t="n">
        <v>4607091388381</v>
      </c>
      <c r="E281" s="767" t="n"/>
      <c r="F281" s="801" t="n">
        <v>0.38</v>
      </c>
      <c r="G281" s="38" t="n">
        <v>8</v>
      </c>
      <c r="H281" s="801" t="n">
        <v>3.04</v>
      </c>
      <c r="I281" s="801" t="n">
        <v>3.32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72" t="inlineStr">
        <is>
          <t>С/к колбасы Салями Охотничья Бордо Весовые б/о терм/п 180 Стародворье</t>
        </is>
      </c>
      <c r="P281" s="803" t="n"/>
      <c r="Q281" s="803" t="n"/>
      <c r="R281" s="803" t="n"/>
      <c r="S281" s="767" t="n"/>
      <c r="T281" s="40" t="inlineStr"/>
      <c r="U281" s="40" t="inlineStr"/>
      <c r="V281" s="41" t="inlineStr">
        <is>
          <t>кг</t>
        </is>
      </c>
      <c r="W281" s="804" t="n">
        <v>0</v>
      </c>
      <c r="X281" s="805">
        <f>IFERROR(IF(W281="",0,CEILING((W281/$H281),1)*$H281),"")</f>
        <v/>
      </c>
      <c r="Y281" s="42">
        <f>IFERROR(IF(X281=0,"",ROUNDUP(X281/H281,0)*0.00753),"")</f>
        <v/>
      </c>
      <c r="Z281" s="69" t="inlineStr"/>
      <c r="AA281" s="70" t="inlineStr"/>
      <c r="AE281" s="80" t="n"/>
      <c r="BB281" s="244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SU001869</t>
        </is>
      </c>
      <c r="B282" s="64" t="inlineStr">
        <is>
          <t>P001909</t>
        </is>
      </c>
      <c r="C282" s="37" t="n">
        <v>4301030233</v>
      </c>
      <c r="D282" s="384" t="n">
        <v>4607091388404</v>
      </c>
      <c r="E282" s="767" t="n"/>
      <c r="F282" s="801" t="n">
        <v>0.17</v>
      </c>
      <c r="G282" s="38" t="n">
        <v>15</v>
      </c>
      <c r="H282" s="801" t="n">
        <v>2.55</v>
      </c>
      <c r="I282" s="801" t="n">
        <v>2.9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97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2" s="803" t="n"/>
      <c r="Q282" s="803" t="n"/>
      <c r="R282" s="803" t="n"/>
      <c r="S282" s="767" t="n"/>
      <c r="T282" s="40" t="inlineStr"/>
      <c r="U282" s="40" t="inlineStr"/>
      <c r="V282" s="41" t="inlineStr">
        <is>
          <t>кг</t>
        </is>
      </c>
      <c r="W282" s="804" t="n">
        <v>0</v>
      </c>
      <c r="X282" s="805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80" t="n"/>
      <c r="BB282" s="245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>
      <c r="A283" s="393" t="n"/>
      <c r="B283" s="381" t="n"/>
      <c r="C283" s="381" t="n"/>
      <c r="D283" s="381" t="n"/>
      <c r="E283" s="381" t="n"/>
      <c r="F283" s="381" t="n"/>
      <c r="G283" s="381" t="n"/>
      <c r="H283" s="381" t="n"/>
      <c r="I283" s="381" t="n"/>
      <c r="J283" s="381" t="n"/>
      <c r="K283" s="381" t="n"/>
      <c r="L283" s="381" t="n"/>
      <c r="M283" s="381" t="n"/>
      <c r="N283" s="807" t="n"/>
      <c r="O283" s="808" t="inlineStr">
        <is>
          <t>Итого</t>
        </is>
      </c>
      <c r="P283" s="775" t="n"/>
      <c r="Q283" s="775" t="n"/>
      <c r="R283" s="775" t="n"/>
      <c r="S283" s="775" t="n"/>
      <c r="T283" s="775" t="n"/>
      <c r="U283" s="776" t="n"/>
      <c r="V283" s="43" t="inlineStr">
        <is>
          <t>кор</t>
        </is>
      </c>
      <c r="W283" s="809">
        <f>IFERROR(W280/H280,"0")+IFERROR(W281/H281,"0")+IFERROR(W282/H282,"0")</f>
        <v/>
      </c>
      <c r="X283" s="809">
        <f>IFERROR(X280/H280,"0")+IFERROR(X281/H281,"0")+IFERROR(X282/H282,"0")</f>
        <v/>
      </c>
      <c r="Y283" s="809">
        <f>IFERROR(IF(Y280="",0,Y280),"0")+IFERROR(IF(Y281="",0,Y281),"0")+IFERROR(IF(Y282="",0,Y282),"0")</f>
        <v/>
      </c>
      <c r="Z283" s="810" t="n"/>
      <c r="AA283" s="810" t="n"/>
    </row>
    <row r="284">
      <c r="A284" s="381" t="n"/>
      <c r="B284" s="381" t="n"/>
      <c r="C284" s="381" t="n"/>
      <c r="D284" s="381" t="n"/>
      <c r="E284" s="381" t="n"/>
      <c r="F284" s="381" t="n"/>
      <c r="G284" s="381" t="n"/>
      <c r="H284" s="381" t="n"/>
      <c r="I284" s="381" t="n"/>
      <c r="J284" s="381" t="n"/>
      <c r="K284" s="381" t="n"/>
      <c r="L284" s="381" t="n"/>
      <c r="M284" s="381" t="n"/>
      <c r="N284" s="807" t="n"/>
      <c r="O284" s="808" t="inlineStr">
        <is>
          <t>Итого</t>
        </is>
      </c>
      <c r="P284" s="775" t="n"/>
      <c r="Q284" s="775" t="n"/>
      <c r="R284" s="775" t="n"/>
      <c r="S284" s="775" t="n"/>
      <c r="T284" s="775" t="n"/>
      <c r="U284" s="776" t="n"/>
      <c r="V284" s="43" t="inlineStr">
        <is>
          <t>кг</t>
        </is>
      </c>
      <c r="W284" s="809">
        <f>IFERROR(SUM(W280:W282),"0")</f>
        <v/>
      </c>
      <c r="X284" s="809">
        <f>IFERROR(SUM(X280:X282),"0")</f>
        <v/>
      </c>
      <c r="Y284" s="43" t="n"/>
      <c r="Z284" s="810" t="n"/>
      <c r="AA284" s="810" t="n"/>
    </row>
    <row r="285" ht="14.25" customHeight="1">
      <c r="A285" s="399" t="inlineStr">
        <is>
          <t>Паштеты</t>
        </is>
      </c>
      <c r="B285" s="381" t="n"/>
      <c r="C285" s="381" t="n"/>
      <c r="D285" s="381" t="n"/>
      <c r="E285" s="381" t="n"/>
      <c r="F285" s="381" t="n"/>
      <c r="G285" s="381" t="n"/>
      <c r="H285" s="381" t="n"/>
      <c r="I285" s="381" t="n"/>
      <c r="J285" s="381" t="n"/>
      <c r="K285" s="381" t="n"/>
      <c r="L285" s="381" t="n"/>
      <c r="M285" s="381" t="n"/>
      <c r="N285" s="381" t="n"/>
      <c r="O285" s="381" t="n"/>
      <c r="P285" s="381" t="n"/>
      <c r="Q285" s="381" t="n"/>
      <c r="R285" s="381" t="n"/>
      <c r="S285" s="381" t="n"/>
      <c r="T285" s="381" t="n"/>
      <c r="U285" s="381" t="n"/>
      <c r="V285" s="381" t="n"/>
      <c r="W285" s="381" t="n"/>
      <c r="X285" s="381" t="n"/>
      <c r="Y285" s="381" t="n"/>
      <c r="Z285" s="399" t="n"/>
      <c r="AA285" s="399" t="n"/>
    </row>
    <row r="286" ht="16.5" customHeight="1">
      <c r="A286" s="64" t="inlineStr">
        <is>
          <t>SU002841</t>
        </is>
      </c>
      <c r="B286" s="64" t="inlineStr">
        <is>
          <t>P003253</t>
        </is>
      </c>
      <c r="C286" s="37" t="n">
        <v>4301180007</v>
      </c>
      <c r="D286" s="384" t="n">
        <v>4680115881808</v>
      </c>
      <c r="E286" s="767" t="n"/>
      <c r="F286" s="801" t="n">
        <v>0.1</v>
      </c>
      <c r="G286" s="38" t="n">
        <v>20</v>
      </c>
      <c r="H286" s="801" t="n">
        <v>2</v>
      </c>
      <c r="I286" s="80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7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6" s="803" t="n"/>
      <c r="Q286" s="803" t="n"/>
      <c r="R286" s="803" t="n"/>
      <c r="S286" s="767" t="n"/>
      <c r="T286" s="40" t="inlineStr"/>
      <c r="U286" s="40" t="inlineStr"/>
      <c r="V286" s="41" t="inlineStr">
        <is>
          <t>кг</t>
        </is>
      </c>
      <c r="W286" s="804" t="n">
        <v>0</v>
      </c>
      <c r="X286" s="805">
        <f>IFERROR(IF(W286="",0,CEILING((W286/$H286),1)*$H286),"")</f>
        <v/>
      </c>
      <c r="Y286" s="42">
        <f>IFERROR(IF(X286=0,"",ROUNDUP(X286/H286,0)*0.00474),"")</f>
        <v/>
      </c>
      <c r="Z286" s="69" t="inlineStr"/>
      <c r="AA286" s="70" t="inlineStr"/>
      <c r="AE286" s="80" t="n"/>
      <c r="BB286" s="246" t="inlineStr">
        <is>
          <t>КИ</t>
        </is>
      </c>
      <c r="BL286" s="80">
        <f>IFERROR(W286*I286/H286,"0")</f>
        <v/>
      </c>
      <c r="BM286" s="80">
        <f>IFERROR(X286*I286/H286,"0")</f>
        <v/>
      </c>
      <c r="BN286" s="80">
        <f>IFERROR(1/J286*(W286/H286),"0")</f>
        <v/>
      </c>
      <c r="BO286" s="80">
        <f>IFERROR(1/J286*(X286/H286),"0")</f>
        <v/>
      </c>
    </row>
    <row r="287" ht="27" customHeight="1">
      <c r="A287" s="64" t="inlineStr">
        <is>
          <t>SU002840</t>
        </is>
      </c>
      <c r="B287" s="64" t="inlineStr">
        <is>
          <t>P003252</t>
        </is>
      </c>
      <c r="C287" s="37" t="n">
        <v>4301180006</v>
      </c>
      <c r="D287" s="384" t="n">
        <v>4680115881822</v>
      </c>
      <c r="E287" s="767" t="n"/>
      <c r="F287" s="801" t="n">
        <v>0.1</v>
      </c>
      <c r="G287" s="38" t="n">
        <v>20</v>
      </c>
      <c r="H287" s="801" t="n">
        <v>2</v>
      </c>
      <c r="I287" s="80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7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7" s="803" t="n"/>
      <c r="Q287" s="803" t="n"/>
      <c r="R287" s="803" t="n"/>
      <c r="S287" s="767" t="n"/>
      <c r="T287" s="40" t="inlineStr"/>
      <c r="U287" s="40" t="inlineStr"/>
      <c r="V287" s="41" t="inlineStr">
        <is>
          <t>кг</t>
        </is>
      </c>
      <c r="W287" s="804" t="n">
        <v>0</v>
      </c>
      <c r="X287" s="805">
        <f>IFERROR(IF(W287="",0,CEILING((W287/$H287),1)*$H287),"")</f>
        <v/>
      </c>
      <c r="Y287" s="42">
        <f>IFERROR(IF(X287=0,"",ROUNDUP(X287/H287,0)*0.00474),"")</f>
        <v/>
      </c>
      <c r="Z287" s="69" t="inlineStr"/>
      <c r="AA287" s="70" t="inlineStr"/>
      <c r="AE287" s="80" t="n"/>
      <c r="BB287" s="247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SU002368</t>
        </is>
      </c>
      <c r="B288" s="64" t="inlineStr">
        <is>
          <t>P002648</t>
        </is>
      </c>
      <c r="C288" s="37" t="n">
        <v>4301180001</v>
      </c>
      <c r="D288" s="384" t="n">
        <v>4680115880016</v>
      </c>
      <c r="E288" s="767" t="n"/>
      <c r="F288" s="801" t="n">
        <v>0.1</v>
      </c>
      <c r="G288" s="38" t="n">
        <v>20</v>
      </c>
      <c r="H288" s="801" t="n">
        <v>2</v>
      </c>
      <c r="I288" s="801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9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8" s="803" t="n"/>
      <c r="Q288" s="803" t="n"/>
      <c r="R288" s="803" t="n"/>
      <c r="S288" s="767" t="n"/>
      <c r="T288" s="40" t="inlineStr"/>
      <c r="U288" s="40" t="inlineStr"/>
      <c r="V288" s="41" t="inlineStr">
        <is>
          <t>кг</t>
        </is>
      </c>
      <c r="W288" s="804" t="n">
        <v>0</v>
      </c>
      <c r="X288" s="805">
        <f>IFERROR(IF(W288="",0,CEILING((W288/$H288),1)*$H288),"")</f>
        <v/>
      </c>
      <c r="Y288" s="42">
        <f>IFERROR(IF(X288=0,"",ROUNDUP(X288/H288,0)*0.00474),"")</f>
        <v/>
      </c>
      <c r="Z288" s="69" t="inlineStr"/>
      <c r="AA288" s="70" t="inlineStr"/>
      <c r="AE288" s="80" t="n"/>
      <c r="BB288" s="248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>
      <c r="A289" s="393" t="n"/>
      <c r="B289" s="381" t="n"/>
      <c r="C289" s="381" t="n"/>
      <c r="D289" s="381" t="n"/>
      <c r="E289" s="381" t="n"/>
      <c r="F289" s="381" t="n"/>
      <c r="G289" s="381" t="n"/>
      <c r="H289" s="381" t="n"/>
      <c r="I289" s="381" t="n"/>
      <c r="J289" s="381" t="n"/>
      <c r="K289" s="381" t="n"/>
      <c r="L289" s="381" t="n"/>
      <c r="M289" s="381" t="n"/>
      <c r="N289" s="807" t="n"/>
      <c r="O289" s="808" t="inlineStr">
        <is>
          <t>Итого</t>
        </is>
      </c>
      <c r="P289" s="775" t="n"/>
      <c r="Q289" s="775" t="n"/>
      <c r="R289" s="775" t="n"/>
      <c r="S289" s="775" t="n"/>
      <c r="T289" s="775" t="n"/>
      <c r="U289" s="776" t="n"/>
      <c r="V289" s="43" t="inlineStr">
        <is>
          <t>кор</t>
        </is>
      </c>
      <c r="W289" s="809">
        <f>IFERROR(W286/H286,"0")+IFERROR(W287/H287,"0")+IFERROR(W288/H288,"0")</f>
        <v/>
      </c>
      <c r="X289" s="809">
        <f>IFERROR(X286/H286,"0")+IFERROR(X287/H287,"0")+IFERROR(X288/H288,"0")</f>
        <v/>
      </c>
      <c r="Y289" s="809">
        <f>IFERROR(IF(Y286="",0,Y286),"0")+IFERROR(IF(Y287="",0,Y287),"0")+IFERROR(IF(Y288="",0,Y288),"0")</f>
        <v/>
      </c>
      <c r="Z289" s="810" t="n"/>
      <c r="AA289" s="810" t="n"/>
    </row>
    <row r="290">
      <c r="A290" s="381" t="n"/>
      <c r="B290" s="381" t="n"/>
      <c r="C290" s="381" t="n"/>
      <c r="D290" s="381" t="n"/>
      <c r="E290" s="381" t="n"/>
      <c r="F290" s="381" t="n"/>
      <c r="G290" s="381" t="n"/>
      <c r="H290" s="381" t="n"/>
      <c r="I290" s="381" t="n"/>
      <c r="J290" s="381" t="n"/>
      <c r="K290" s="381" t="n"/>
      <c r="L290" s="381" t="n"/>
      <c r="M290" s="381" t="n"/>
      <c r="N290" s="807" t="n"/>
      <c r="O290" s="808" t="inlineStr">
        <is>
          <t>Итого</t>
        </is>
      </c>
      <c r="P290" s="775" t="n"/>
      <c r="Q290" s="775" t="n"/>
      <c r="R290" s="775" t="n"/>
      <c r="S290" s="775" t="n"/>
      <c r="T290" s="775" t="n"/>
      <c r="U290" s="776" t="n"/>
      <c r="V290" s="43" t="inlineStr">
        <is>
          <t>кг</t>
        </is>
      </c>
      <c r="W290" s="809">
        <f>IFERROR(SUM(W286:W288),"0")</f>
        <v/>
      </c>
      <c r="X290" s="809">
        <f>IFERROR(SUM(X286:X288),"0")</f>
        <v/>
      </c>
      <c r="Y290" s="43" t="n"/>
      <c r="Z290" s="810" t="n"/>
      <c r="AA290" s="810" t="n"/>
    </row>
    <row r="291" ht="16.5" customHeight="1">
      <c r="A291" s="421" t="inlineStr">
        <is>
          <t>Фирменная</t>
        </is>
      </c>
      <c r="B291" s="381" t="n"/>
      <c r="C291" s="381" t="n"/>
      <c r="D291" s="381" t="n"/>
      <c r="E291" s="381" t="n"/>
      <c r="F291" s="381" t="n"/>
      <c r="G291" s="381" t="n"/>
      <c r="H291" s="381" t="n"/>
      <c r="I291" s="381" t="n"/>
      <c r="J291" s="381" t="n"/>
      <c r="K291" s="381" t="n"/>
      <c r="L291" s="381" t="n"/>
      <c r="M291" s="381" t="n"/>
      <c r="N291" s="381" t="n"/>
      <c r="O291" s="381" t="n"/>
      <c r="P291" s="381" t="n"/>
      <c r="Q291" s="381" t="n"/>
      <c r="R291" s="381" t="n"/>
      <c r="S291" s="381" t="n"/>
      <c r="T291" s="381" t="n"/>
      <c r="U291" s="381" t="n"/>
      <c r="V291" s="381" t="n"/>
      <c r="W291" s="381" t="n"/>
      <c r="X291" s="381" t="n"/>
      <c r="Y291" s="381" t="n"/>
      <c r="Z291" s="421" t="n"/>
      <c r="AA291" s="421" t="n"/>
    </row>
    <row r="292" ht="14.25" customHeight="1">
      <c r="A292" s="399" t="inlineStr">
        <is>
          <t>Вареные колбасы</t>
        </is>
      </c>
      <c r="B292" s="381" t="n"/>
      <c r="C292" s="381" t="n"/>
      <c r="D292" s="381" t="n"/>
      <c r="E292" s="381" t="n"/>
      <c r="F292" s="381" t="n"/>
      <c r="G292" s="381" t="n"/>
      <c r="H292" s="381" t="n"/>
      <c r="I292" s="381" t="n"/>
      <c r="J292" s="381" t="n"/>
      <c r="K292" s="381" t="n"/>
      <c r="L292" s="381" t="n"/>
      <c r="M292" s="381" t="n"/>
      <c r="N292" s="381" t="n"/>
      <c r="O292" s="381" t="n"/>
      <c r="P292" s="381" t="n"/>
      <c r="Q292" s="381" t="n"/>
      <c r="R292" s="381" t="n"/>
      <c r="S292" s="381" t="n"/>
      <c r="T292" s="381" t="n"/>
      <c r="U292" s="381" t="n"/>
      <c r="V292" s="381" t="n"/>
      <c r="W292" s="381" t="n"/>
      <c r="X292" s="381" t="n"/>
      <c r="Y292" s="381" t="n"/>
      <c r="Z292" s="399" t="n"/>
      <c r="AA292" s="399" t="n"/>
    </row>
    <row r="293" ht="27" customHeight="1">
      <c r="A293" s="64" t="inlineStr">
        <is>
          <t>SU001793</t>
        </is>
      </c>
      <c r="B293" s="64" t="inlineStr">
        <is>
          <t>P001793</t>
        </is>
      </c>
      <c r="C293" s="37" t="n">
        <v>4301011315</v>
      </c>
      <c r="D293" s="384" t="n">
        <v>4607091387421</v>
      </c>
      <c r="E293" s="767" t="n"/>
      <c r="F293" s="801" t="n">
        <v>1.35</v>
      </c>
      <c r="G293" s="38" t="n">
        <v>8</v>
      </c>
      <c r="H293" s="801" t="n">
        <v>10.8</v>
      </c>
      <c r="I293" s="80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7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3" s="803" t="n"/>
      <c r="Q293" s="803" t="n"/>
      <c r="R293" s="803" t="n"/>
      <c r="S293" s="767" t="n"/>
      <c r="T293" s="40" t="inlineStr"/>
      <c r="U293" s="40" t="inlineStr"/>
      <c r="V293" s="41" t="inlineStr">
        <is>
          <t>кг</t>
        </is>
      </c>
      <c r="W293" s="804" t="n">
        <v>0</v>
      </c>
      <c r="X293" s="805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49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SU001793</t>
        </is>
      </c>
      <c r="B294" s="64" t="inlineStr">
        <is>
          <t>P002227</t>
        </is>
      </c>
      <c r="C294" s="37" t="n">
        <v>4301011121</v>
      </c>
      <c r="D294" s="384" t="n">
        <v>4607091387421</v>
      </c>
      <c r="E294" s="767" t="n"/>
      <c r="F294" s="801" t="n">
        <v>1.35</v>
      </c>
      <c r="G294" s="38" t="n">
        <v>8</v>
      </c>
      <c r="H294" s="801" t="n">
        <v>10.8</v>
      </c>
      <c r="I294" s="801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9" t="n"/>
      <c r="N294" s="38" t="n">
        <v>55</v>
      </c>
      <c r="O294" s="97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4" s="803" t="n"/>
      <c r="Q294" s="803" t="n"/>
      <c r="R294" s="803" t="n"/>
      <c r="S294" s="767" t="n"/>
      <c r="T294" s="40" t="inlineStr"/>
      <c r="U294" s="40" t="inlineStr"/>
      <c r="V294" s="41" t="inlineStr">
        <is>
          <t>кг</t>
        </is>
      </c>
      <c r="W294" s="804" t="n">
        <v>0</v>
      </c>
      <c r="X294" s="805">
        <f>IFERROR(IF(W294="",0,CEILING((W294/$H294),1)*$H294),"")</f>
        <v/>
      </c>
      <c r="Y294" s="42">
        <f>IFERROR(IF(X294=0,"",ROUNDUP(X294/H294,0)*0.02039),"")</f>
        <v/>
      </c>
      <c r="Z294" s="69" t="inlineStr"/>
      <c r="AA294" s="70" t="inlineStr"/>
      <c r="AE294" s="80" t="n"/>
      <c r="BB294" s="250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SU001799</t>
        </is>
      </c>
      <c r="B295" s="64" t="inlineStr">
        <is>
          <t>P001799</t>
        </is>
      </c>
      <c r="C295" s="37" t="n">
        <v>4301011322</v>
      </c>
      <c r="D295" s="384" t="n">
        <v>4607091387452</v>
      </c>
      <c r="E295" s="767" t="n"/>
      <c r="F295" s="801" t="n">
        <v>1.35</v>
      </c>
      <c r="G295" s="38" t="n">
        <v>8</v>
      </c>
      <c r="H295" s="801" t="n">
        <v>10.8</v>
      </c>
      <c r="I295" s="801" t="n">
        <v>11.28</v>
      </c>
      <c r="J295" s="38" t="n">
        <v>56</v>
      </c>
      <c r="K295" s="38" t="inlineStr">
        <is>
          <t>8</t>
        </is>
      </c>
      <c r="L295" s="39" t="inlineStr">
        <is>
          <t>СК3</t>
        </is>
      </c>
      <c r="M295" s="39" t="n"/>
      <c r="N295" s="38" t="n">
        <v>55</v>
      </c>
      <c r="O295" s="97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5" s="803" t="n"/>
      <c r="Q295" s="803" t="n"/>
      <c r="R295" s="803" t="n"/>
      <c r="S295" s="767" t="n"/>
      <c r="T295" s="40" t="inlineStr"/>
      <c r="U295" s="40" t="inlineStr"/>
      <c r="V295" s="41" t="inlineStr">
        <is>
          <t>кг</t>
        </is>
      </c>
      <c r="W295" s="804" t="n">
        <v>0</v>
      </c>
      <c r="X295" s="805">
        <f>IFERROR(IF(W295="",0,CEILING((W295/$H295),1)*$H295),"")</f>
        <v/>
      </c>
      <c r="Y295" s="42">
        <f>IFERROR(IF(X295=0,"",ROUNDUP(X295/H295,0)*0.02175),"")</f>
        <v/>
      </c>
      <c r="Z295" s="69" t="inlineStr"/>
      <c r="AA295" s="70" t="inlineStr"/>
      <c r="AE295" s="80" t="n"/>
      <c r="BB295" s="251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SU001799</t>
        </is>
      </c>
      <c r="B296" s="64" t="inlineStr">
        <is>
          <t>P003673</t>
        </is>
      </c>
      <c r="C296" s="37" t="n">
        <v>4301011619</v>
      </c>
      <c r="D296" s="384" t="n">
        <v>4607091387452</v>
      </c>
      <c r="E296" s="767" t="n"/>
      <c r="F296" s="801" t="n">
        <v>1.45</v>
      </c>
      <c r="G296" s="38" t="n">
        <v>8</v>
      </c>
      <c r="H296" s="801" t="n">
        <v>11.6</v>
      </c>
      <c r="I296" s="801" t="n">
        <v>12.08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8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6" s="803" t="n"/>
      <c r="Q296" s="803" t="n"/>
      <c r="R296" s="803" t="n"/>
      <c r="S296" s="767" t="n"/>
      <c r="T296" s="40" t="inlineStr"/>
      <c r="U296" s="40" t="inlineStr"/>
      <c r="V296" s="41" t="inlineStr">
        <is>
          <t>кг</t>
        </is>
      </c>
      <c r="W296" s="804" t="n">
        <v>0</v>
      </c>
      <c r="X296" s="805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80" t="n"/>
      <c r="BB296" s="252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 ht="27" customHeight="1">
      <c r="A297" s="64" t="inlineStr">
        <is>
          <t>SU001792</t>
        </is>
      </c>
      <c r="B297" s="64" t="inlineStr">
        <is>
          <t>P001792</t>
        </is>
      </c>
      <c r="C297" s="37" t="n">
        <v>4301011313</v>
      </c>
      <c r="D297" s="384" t="n">
        <v>4607091385984</v>
      </c>
      <c r="E297" s="767" t="n"/>
      <c r="F297" s="801" t="n">
        <v>1.35</v>
      </c>
      <c r="G297" s="38" t="n">
        <v>8</v>
      </c>
      <c r="H297" s="801" t="n">
        <v>10.8</v>
      </c>
      <c r="I297" s="801" t="n">
        <v>11.28</v>
      </c>
      <c r="J297" s="38" t="n">
        <v>56</v>
      </c>
      <c r="K297" s="38" t="inlineStr">
        <is>
          <t>8</t>
        </is>
      </c>
      <c r="L297" s="39" t="inlineStr">
        <is>
          <t>СК1</t>
        </is>
      </c>
      <c r="M297" s="39" t="n"/>
      <c r="N297" s="38" t="n">
        <v>55</v>
      </c>
      <c r="O297" s="98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7" s="803" t="n"/>
      <c r="Q297" s="803" t="n"/>
      <c r="R297" s="803" t="n"/>
      <c r="S297" s="767" t="n"/>
      <c r="T297" s="40" t="inlineStr"/>
      <c r="U297" s="40" t="inlineStr"/>
      <c r="V297" s="41" t="inlineStr">
        <is>
          <t>кг</t>
        </is>
      </c>
      <c r="W297" s="804" t="n">
        <v>0</v>
      </c>
      <c r="X297" s="805">
        <f>IFERROR(IF(W297="",0,CEILING((W297/$H297),1)*$H297),"")</f>
        <v/>
      </c>
      <c r="Y297" s="42">
        <f>IFERROR(IF(X297=0,"",ROUNDUP(X297/H297,0)*0.02175),"")</f>
        <v/>
      </c>
      <c r="Z297" s="69" t="inlineStr"/>
      <c r="AA297" s="70" t="inlineStr"/>
      <c r="AE297" s="80" t="n"/>
      <c r="BB297" s="253" t="inlineStr">
        <is>
          <t>КИ</t>
        </is>
      </c>
      <c r="BL297" s="80">
        <f>IFERROR(W297*I297/H297,"0")</f>
        <v/>
      </c>
      <c r="BM297" s="80">
        <f>IFERROR(X297*I297/H297,"0")</f>
        <v/>
      </c>
      <c r="BN297" s="80">
        <f>IFERROR(1/J297*(W297/H297),"0")</f>
        <v/>
      </c>
      <c r="BO297" s="80">
        <f>IFERROR(1/J297*(X297/H297),"0")</f>
        <v/>
      </c>
    </row>
    <row r="298" ht="27" customHeight="1">
      <c r="A298" s="64" t="inlineStr">
        <is>
          <t>SU001794</t>
        </is>
      </c>
      <c r="B298" s="64" t="inlineStr">
        <is>
          <t>P001794</t>
        </is>
      </c>
      <c r="C298" s="37" t="n">
        <v>4301011316</v>
      </c>
      <c r="D298" s="384" t="n">
        <v>4607091387438</v>
      </c>
      <c r="E298" s="767" t="n"/>
      <c r="F298" s="801" t="n">
        <v>0.5</v>
      </c>
      <c r="G298" s="38" t="n">
        <v>10</v>
      </c>
      <c r="H298" s="801" t="n">
        <v>5</v>
      </c>
      <c r="I298" s="801" t="n">
        <v>5.24</v>
      </c>
      <c r="J298" s="38" t="n">
        <v>120</v>
      </c>
      <c r="K298" s="38" t="inlineStr">
        <is>
          <t>12</t>
        </is>
      </c>
      <c r="L298" s="39" t="inlineStr">
        <is>
          <t>СК1</t>
        </is>
      </c>
      <c r="M298" s="39" t="n"/>
      <c r="N298" s="38" t="n">
        <v>55</v>
      </c>
      <c r="O298" s="98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8" s="803" t="n"/>
      <c r="Q298" s="803" t="n"/>
      <c r="R298" s="803" t="n"/>
      <c r="S298" s="767" t="n"/>
      <c r="T298" s="40" t="inlineStr"/>
      <c r="U298" s="40" t="inlineStr"/>
      <c r="V298" s="41" t="inlineStr">
        <is>
          <t>кг</t>
        </is>
      </c>
      <c r="W298" s="804" t="n">
        <v>0</v>
      </c>
      <c r="X298" s="805">
        <f>IFERROR(IF(W298="",0,CEILING((W298/$H298),1)*$H298),"")</f>
        <v/>
      </c>
      <c r="Y298" s="42">
        <f>IFERROR(IF(X298=0,"",ROUNDUP(X298/H298,0)*0.00937),"")</f>
        <v/>
      </c>
      <c r="Z298" s="69" t="inlineStr"/>
      <c r="AA298" s="70" t="inlineStr"/>
      <c r="AE298" s="80" t="n"/>
      <c r="BB298" s="254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 ht="27" customHeight="1">
      <c r="A299" s="64" t="inlineStr">
        <is>
          <t>SU001795</t>
        </is>
      </c>
      <c r="B299" s="64" t="inlineStr">
        <is>
          <t>P001795</t>
        </is>
      </c>
      <c r="C299" s="37" t="n">
        <v>4301011318</v>
      </c>
      <c r="D299" s="384" t="n">
        <v>4607091387469</v>
      </c>
      <c r="E299" s="767" t="n"/>
      <c r="F299" s="801" t="n">
        <v>0.5</v>
      </c>
      <c r="G299" s="38" t="n">
        <v>10</v>
      </c>
      <c r="H299" s="801" t="n">
        <v>5</v>
      </c>
      <c r="I299" s="80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9" t="n"/>
      <c r="N299" s="38" t="n">
        <v>55</v>
      </c>
      <c r="O299" s="98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9" s="803" t="n"/>
      <c r="Q299" s="803" t="n"/>
      <c r="R299" s="803" t="n"/>
      <c r="S299" s="767" t="n"/>
      <c r="T299" s="40" t="inlineStr"/>
      <c r="U299" s="40" t="inlineStr"/>
      <c r="V299" s="41" t="inlineStr">
        <is>
          <t>кг</t>
        </is>
      </c>
      <c r="W299" s="804" t="n">
        <v>0</v>
      </c>
      <c r="X299" s="805">
        <f>IFERROR(IF(W299="",0,CEILING((W299/$H299),1)*$H299),"")</f>
        <v/>
      </c>
      <c r="Y299" s="42">
        <f>IFERROR(IF(X299=0,"",ROUNDUP(X299/H299,0)*0.00937),"")</f>
        <v/>
      </c>
      <c r="Z299" s="69" t="inlineStr"/>
      <c r="AA299" s="70" t="inlineStr"/>
      <c r="AE299" s="80" t="n"/>
      <c r="BB299" s="255" t="inlineStr">
        <is>
          <t>КИ</t>
        </is>
      </c>
      <c r="BL299" s="80">
        <f>IFERROR(W299*I299/H299,"0")</f>
        <v/>
      </c>
      <c r="BM299" s="80">
        <f>IFERROR(X299*I299/H299,"0")</f>
        <v/>
      </c>
      <c r="BN299" s="80">
        <f>IFERROR(1/J299*(W299/H299),"0")</f>
        <v/>
      </c>
      <c r="BO299" s="80">
        <f>IFERROR(1/J299*(X299/H299),"0")</f>
        <v/>
      </c>
    </row>
    <row r="300">
      <c r="A300" s="393" t="n"/>
      <c r="B300" s="381" t="n"/>
      <c r="C300" s="381" t="n"/>
      <c r="D300" s="381" t="n"/>
      <c r="E300" s="381" t="n"/>
      <c r="F300" s="381" t="n"/>
      <c r="G300" s="381" t="n"/>
      <c r="H300" s="381" t="n"/>
      <c r="I300" s="381" t="n"/>
      <c r="J300" s="381" t="n"/>
      <c r="K300" s="381" t="n"/>
      <c r="L300" s="381" t="n"/>
      <c r="M300" s="381" t="n"/>
      <c r="N300" s="807" t="n"/>
      <c r="O300" s="808" t="inlineStr">
        <is>
          <t>Итого</t>
        </is>
      </c>
      <c r="P300" s="775" t="n"/>
      <c r="Q300" s="775" t="n"/>
      <c r="R300" s="775" t="n"/>
      <c r="S300" s="775" t="n"/>
      <c r="T300" s="775" t="n"/>
      <c r="U300" s="776" t="n"/>
      <c r="V300" s="43" t="inlineStr">
        <is>
          <t>кор</t>
        </is>
      </c>
      <c r="W300" s="809">
        <f>IFERROR(W293/H293,"0")+IFERROR(W294/H294,"0")+IFERROR(W295/H295,"0")+IFERROR(W296/H296,"0")+IFERROR(W297/H297,"0")+IFERROR(W298/H298,"0")+IFERROR(W299/H299,"0")</f>
        <v/>
      </c>
      <c r="X300" s="809">
        <f>IFERROR(X293/H293,"0")+IFERROR(X294/H294,"0")+IFERROR(X295/H295,"0")+IFERROR(X296/H296,"0")+IFERROR(X297/H297,"0")+IFERROR(X298/H298,"0")+IFERROR(X299/H299,"0")</f>
        <v/>
      </c>
      <c r="Y300" s="809">
        <f>IFERROR(IF(Y293="",0,Y293),"0")+IFERROR(IF(Y294="",0,Y294),"0")+IFERROR(IF(Y295="",0,Y295),"0")+IFERROR(IF(Y296="",0,Y296),"0")+IFERROR(IF(Y297="",0,Y297),"0")+IFERROR(IF(Y298="",0,Y298),"0")+IFERROR(IF(Y299="",0,Y299),"0")</f>
        <v/>
      </c>
      <c r="Z300" s="810" t="n"/>
      <c r="AA300" s="810" t="n"/>
    </row>
    <row r="301">
      <c r="A301" s="381" t="n"/>
      <c r="B301" s="381" t="n"/>
      <c r="C301" s="381" t="n"/>
      <c r="D301" s="381" t="n"/>
      <c r="E301" s="381" t="n"/>
      <c r="F301" s="381" t="n"/>
      <c r="G301" s="381" t="n"/>
      <c r="H301" s="381" t="n"/>
      <c r="I301" s="381" t="n"/>
      <c r="J301" s="381" t="n"/>
      <c r="K301" s="381" t="n"/>
      <c r="L301" s="381" t="n"/>
      <c r="M301" s="381" t="n"/>
      <c r="N301" s="807" t="n"/>
      <c r="O301" s="808" t="inlineStr">
        <is>
          <t>Итого</t>
        </is>
      </c>
      <c r="P301" s="775" t="n"/>
      <c r="Q301" s="775" t="n"/>
      <c r="R301" s="775" t="n"/>
      <c r="S301" s="775" t="n"/>
      <c r="T301" s="775" t="n"/>
      <c r="U301" s="776" t="n"/>
      <c r="V301" s="43" t="inlineStr">
        <is>
          <t>кг</t>
        </is>
      </c>
      <c r="W301" s="809">
        <f>IFERROR(SUM(W293:W299),"0")</f>
        <v/>
      </c>
      <c r="X301" s="809">
        <f>IFERROR(SUM(X293:X299),"0")</f>
        <v/>
      </c>
      <c r="Y301" s="43" t="n"/>
      <c r="Z301" s="810" t="n"/>
      <c r="AA301" s="810" t="n"/>
    </row>
    <row r="302" ht="14.25" customHeight="1">
      <c r="A302" s="399" t="inlineStr">
        <is>
          <t>Копченые колбасы</t>
        </is>
      </c>
      <c r="B302" s="381" t="n"/>
      <c r="C302" s="381" t="n"/>
      <c r="D302" s="381" t="n"/>
      <c r="E302" s="381" t="n"/>
      <c r="F302" s="381" t="n"/>
      <c r="G302" s="381" t="n"/>
      <c r="H302" s="381" t="n"/>
      <c r="I302" s="381" t="n"/>
      <c r="J302" s="381" t="n"/>
      <c r="K302" s="381" t="n"/>
      <c r="L302" s="381" t="n"/>
      <c r="M302" s="381" t="n"/>
      <c r="N302" s="381" t="n"/>
      <c r="O302" s="381" t="n"/>
      <c r="P302" s="381" t="n"/>
      <c r="Q302" s="381" t="n"/>
      <c r="R302" s="381" t="n"/>
      <c r="S302" s="381" t="n"/>
      <c r="T302" s="381" t="n"/>
      <c r="U302" s="381" t="n"/>
      <c r="V302" s="381" t="n"/>
      <c r="W302" s="381" t="n"/>
      <c r="X302" s="381" t="n"/>
      <c r="Y302" s="381" t="n"/>
      <c r="Z302" s="399" t="n"/>
      <c r="AA302" s="399" t="n"/>
    </row>
    <row r="303" ht="27" customHeight="1">
      <c r="A303" s="64" t="inlineStr">
        <is>
          <t>SU001801</t>
        </is>
      </c>
      <c r="B303" s="64" t="inlineStr">
        <is>
          <t>P003014</t>
        </is>
      </c>
      <c r="C303" s="37" t="n">
        <v>4301031154</v>
      </c>
      <c r="D303" s="384" t="n">
        <v>4607091387292</v>
      </c>
      <c r="E303" s="767" t="n"/>
      <c r="F303" s="801" t="n">
        <v>0.73</v>
      </c>
      <c r="G303" s="38" t="n">
        <v>6</v>
      </c>
      <c r="H303" s="801" t="n">
        <v>4.38</v>
      </c>
      <c r="I303" s="801" t="n">
        <v>4.64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8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3" s="803" t="n"/>
      <c r="Q303" s="803" t="n"/>
      <c r="R303" s="803" t="n"/>
      <c r="S303" s="767" t="n"/>
      <c r="T303" s="40" t="inlineStr"/>
      <c r="U303" s="40" t="inlineStr"/>
      <c r="V303" s="41" t="inlineStr">
        <is>
          <t>кг</t>
        </is>
      </c>
      <c r="W303" s="804" t="n">
        <v>0</v>
      </c>
      <c r="X303" s="805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6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 ht="27" customHeight="1">
      <c r="A304" s="64" t="inlineStr">
        <is>
          <t>SU000231</t>
        </is>
      </c>
      <c r="B304" s="64" t="inlineStr">
        <is>
          <t>P003015</t>
        </is>
      </c>
      <c r="C304" s="37" t="n">
        <v>4301031155</v>
      </c>
      <c r="D304" s="384" t="n">
        <v>4607091387315</v>
      </c>
      <c r="E304" s="767" t="n"/>
      <c r="F304" s="801" t="n">
        <v>0.7</v>
      </c>
      <c r="G304" s="38" t="n">
        <v>4</v>
      </c>
      <c r="H304" s="801" t="n">
        <v>2.8</v>
      </c>
      <c r="I304" s="801" t="n">
        <v>3.048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9" t="n"/>
      <c r="N304" s="38" t="n">
        <v>45</v>
      </c>
      <c r="O304" s="98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4" s="803" t="n"/>
      <c r="Q304" s="803" t="n"/>
      <c r="R304" s="803" t="n"/>
      <c r="S304" s="767" t="n"/>
      <c r="T304" s="40" t="inlineStr"/>
      <c r="U304" s="40" t="inlineStr"/>
      <c r="V304" s="41" t="inlineStr">
        <is>
          <t>кг</t>
        </is>
      </c>
      <c r="W304" s="804" t="n">
        <v>0</v>
      </c>
      <c r="X304" s="805">
        <f>IFERROR(IF(W304="",0,CEILING((W304/$H304),1)*$H304),"")</f>
        <v/>
      </c>
      <c r="Y304" s="42">
        <f>IFERROR(IF(X304=0,"",ROUNDUP(X304/H304,0)*0.00753),"")</f>
        <v/>
      </c>
      <c r="Z304" s="69" t="inlineStr"/>
      <c r="AA304" s="70" t="inlineStr"/>
      <c r="AE304" s="80" t="n"/>
      <c r="BB304" s="257" t="inlineStr">
        <is>
          <t>КИ</t>
        </is>
      </c>
      <c r="BL304" s="80">
        <f>IFERROR(W304*I304/H304,"0")</f>
        <v/>
      </c>
      <c r="BM304" s="80">
        <f>IFERROR(X304*I304/H304,"0")</f>
        <v/>
      </c>
      <c r="BN304" s="80">
        <f>IFERROR(1/J304*(W304/H304),"0")</f>
        <v/>
      </c>
      <c r="BO304" s="80">
        <f>IFERROR(1/J304*(X304/H304),"0")</f>
        <v/>
      </c>
    </row>
    <row r="305">
      <c r="A305" s="393" t="n"/>
      <c r="B305" s="381" t="n"/>
      <c r="C305" s="381" t="n"/>
      <c r="D305" s="381" t="n"/>
      <c r="E305" s="381" t="n"/>
      <c r="F305" s="381" t="n"/>
      <c r="G305" s="381" t="n"/>
      <c r="H305" s="381" t="n"/>
      <c r="I305" s="381" t="n"/>
      <c r="J305" s="381" t="n"/>
      <c r="K305" s="381" t="n"/>
      <c r="L305" s="381" t="n"/>
      <c r="M305" s="381" t="n"/>
      <c r="N305" s="807" t="n"/>
      <c r="O305" s="808" t="inlineStr">
        <is>
          <t>Итого</t>
        </is>
      </c>
      <c r="P305" s="775" t="n"/>
      <c r="Q305" s="775" t="n"/>
      <c r="R305" s="775" t="n"/>
      <c r="S305" s="775" t="n"/>
      <c r="T305" s="775" t="n"/>
      <c r="U305" s="776" t="n"/>
      <c r="V305" s="43" t="inlineStr">
        <is>
          <t>кор</t>
        </is>
      </c>
      <c r="W305" s="809">
        <f>IFERROR(W303/H303,"0")+IFERROR(W304/H304,"0")</f>
        <v/>
      </c>
      <c r="X305" s="809">
        <f>IFERROR(X303/H303,"0")+IFERROR(X304/H304,"0")</f>
        <v/>
      </c>
      <c r="Y305" s="809">
        <f>IFERROR(IF(Y303="",0,Y303),"0")+IFERROR(IF(Y304="",0,Y304),"0")</f>
        <v/>
      </c>
      <c r="Z305" s="810" t="n"/>
      <c r="AA305" s="810" t="n"/>
    </row>
    <row r="306">
      <c r="A306" s="381" t="n"/>
      <c r="B306" s="381" t="n"/>
      <c r="C306" s="381" t="n"/>
      <c r="D306" s="381" t="n"/>
      <c r="E306" s="381" t="n"/>
      <c r="F306" s="381" t="n"/>
      <c r="G306" s="381" t="n"/>
      <c r="H306" s="381" t="n"/>
      <c r="I306" s="381" t="n"/>
      <c r="J306" s="381" t="n"/>
      <c r="K306" s="381" t="n"/>
      <c r="L306" s="381" t="n"/>
      <c r="M306" s="381" t="n"/>
      <c r="N306" s="807" t="n"/>
      <c r="O306" s="808" t="inlineStr">
        <is>
          <t>Итого</t>
        </is>
      </c>
      <c r="P306" s="775" t="n"/>
      <c r="Q306" s="775" t="n"/>
      <c r="R306" s="775" t="n"/>
      <c r="S306" s="775" t="n"/>
      <c r="T306" s="775" t="n"/>
      <c r="U306" s="776" t="n"/>
      <c r="V306" s="43" t="inlineStr">
        <is>
          <t>кг</t>
        </is>
      </c>
      <c r="W306" s="809">
        <f>IFERROR(SUM(W303:W304),"0")</f>
        <v/>
      </c>
      <c r="X306" s="809">
        <f>IFERROR(SUM(X303:X304),"0")</f>
        <v/>
      </c>
      <c r="Y306" s="43" t="n"/>
      <c r="Z306" s="810" t="n"/>
      <c r="AA306" s="810" t="n"/>
    </row>
    <row r="307" ht="16.5" customHeight="1">
      <c r="A307" s="421" t="inlineStr">
        <is>
          <t>Бавария</t>
        </is>
      </c>
      <c r="B307" s="381" t="n"/>
      <c r="C307" s="381" t="n"/>
      <c r="D307" s="381" t="n"/>
      <c r="E307" s="381" t="n"/>
      <c r="F307" s="381" t="n"/>
      <c r="G307" s="381" t="n"/>
      <c r="H307" s="381" t="n"/>
      <c r="I307" s="381" t="n"/>
      <c r="J307" s="381" t="n"/>
      <c r="K307" s="381" t="n"/>
      <c r="L307" s="381" t="n"/>
      <c r="M307" s="381" t="n"/>
      <c r="N307" s="381" t="n"/>
      <c r="O307" s="381" t="n"/>
      <c r="P307" s="381" t="n"/>
      <c r="Q307" s="381" t="n"/>
      <c r="R307" s="381" t="n"/>
      <c r="S307" s="381" t="n"/>
      <c r="T307" s="381" t="n"/>
      <c r="U307" s="381" t="n"/>
      <c r="V307" s="381" t="n"/>
      <c r="W307" s="381" t="n"/>
      <c r="X307" s="381" t="n"/>
      <c r="Y307" s="381" t="n"/>
      <c r="Z307" s="421" t="n"/>
      <c r="AA307" s="421" t="n"/>
    </row>
    <row r="308" ht="14.25" customHeight="1">
      <c r="A308" s="399" t="inlineStr">
        <is>
          <t>Копченые колбасы</t>
        </is>
      </c>
      <c r="B308" s="381" t="n"/>
      <c r="C308" s="381" t="n"/>
      <c r="D308" s="381" t="n"/>
      <c r="E308" s="381" t="n"/>
      <c r="F308" s="381" t="n"/>
      <c r="G308" s="381" t="n"/>
      <c r="H308" s="381" t="n"/>
      <c r="I308" s="381" t="n"/>
      <c r="J308" s="381" t="n"/>
      <c r="K308" s="381" t="n"/>
      <c r="L308" s="381" t="n"/>
      <c r="M308" s="381" t="n"/>
      <c r="N308" s="381" t="n"/>
      <c r="O308" s="381" t="n"/>
      <c r="P308" s="381" t="n"/>
      <c r="Q308" s="381" t="n"/>
      <c r="R308" s="381" t="n"/>
      <c r="S308" s="381" t="n"/>
      <c r="T308" s="381" t="n"/>
      <c r="U308" s="381" t="n"/>
      <c r="V308" s="381" t="n"/>
      <c r="W308" s="381" t="n"/>
      <c r="X308" s="381" t="n"/>
      <c r="Y308" s="381" t="n"/>
      <c r="Z308" s="399" t="n"/>
      <c r="AA308" s="399" t="n"/>
    </row>
    <row r="309" ht="27" customHeight="1">
      <c r="A309" s="64" t="inlineStr">
        <is>
          <t>SU002252</t>
        </is>
      </c>
      <c r="B309" s="64" t="inlineStr">
        <is>
          <t>P002461</t>
        </is>
      </c>
      <c r="C309" s="37" t="n">
        <v>4301031066</v>
      </c>
      <c r="D309" s="384" t="n">
        <v>4607091383836</v>
      </c>
      <c r="E309" s="767" t="n"/>
      <c r="F309" s="801" t="n">
        <v>0.3</v>
      </c>
      <c r="G309" s="38" t="n">
        <v>6</v>
      </c>
      <c r="H309" s="801" t="n">
        <v>1.8</v>
      </c>
      <c r="I309" s="801" t="n">
        <v>2.048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98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9" s="803" t="n"/>
      <c r="Q309" s="803" t="n"/>
      <c r="R309" s="803" t="n"/>
      <c r="S309" s="767" t="n"/>
      <c r="T309" s="40" t="inlineStr"/>
      <c r="U309" s="40" t="inlineStr"/>
      <c r="V309" s="41" t="inlineStr">
        <is>
          <t>кг</t>
        </is>
      </c>
      <c r="W309" s="804" t="n">
        <v>51</v>
      </c>
      <c r="X309" s="805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58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393" t="n"/>
      <c r="B310" s="381" t="n"/>
      <c r="C310" s="381" t="n"/>
      <c r="D310" s="381" t="n"/>
      <c r="E310" s="381" t="n"/>
      <c r="F310" s="381" t="n"/>
      <c r="G310" s="381" t="n"/>
      <c r="H310" s="381" t="n"/>
      <c r="I310" s="381" t="n"/>
      <c r="J310" s="381" t="n"/>
      <c r="K310" s="381" t="n"/>
      <c r="L310" s="381" t="n"/>
      <c r="M310" s="381" t="n"/>
      <c r="N310" s="807" t="n"/>
      <c r="O310" s="808" t="inlineStr">
        <is>
          <t>Итого</t>
        </is>
      </c>
      <c r="P310" s="775" t="n"/>
      <c r="Q310" s="775" t="n"/>
      <c r="R310" s="775" t="n"/>
      <c r="S310" s="775" t="n"/>
      <c r="T310" s="775" t="n"/>
      <c r="U310" s="776" t="n"/>
      <c r="V310" s="43" t="inlineStr">
        <is>
          <t>кор</t>
        </is>
      </c>
      <c r="W310" s="809">
        <f>IFERROR(W309/H309,"0")</f>
        <v/>
      </c>
      <c r="X310" s="809">
        <f>IFERROR(X309/H309,"0")</f>
        <v/>
      </c>
      <c r="Y310" s="809">
        <f>IFERROR(IF(Y309="",0,Y309),"0")</f>
        <v/>
      </c>
      <c r="Z310" s="810" t="n"/>
      <c r="AA310" s="810" t="n"/>
    </row>
    <row r="311">
      <c r="A311" s="381" t="n"/>
      <c r="B311" s="381" t="n"/>
      <c r="C311" s="381" t="n"/>
      <c r="D311" s="381" t="n"/>
      <c r="E311" s="381" t="n"/>
      <c r="F311" s="381" t="n"/>
      <c r="G311" s="381" t="n"/>
      <c r="H311" s="381" t="n"/>
      <c r="I311" s="381" t="n"/>
      <c r="J311" s="381" t="n"/>
      <c r="K311" s="381" t="n"/>
      <c r="L311" s="381" t="n"/>
      <c r="M311" s="381" t="n"/>
      <c r="N311" s="807" t="n"/>
      <c r="O311" s="808" t="inlineStr">
        <is>
          <t>Итого</t>
        </is>
      </c>
      <c r="P311" s="775" t="n"/>
      <c r="Q311" s="775" t="n"/>
      <c r="R311" s="775" t="n"/>
      <c r="S311" s="775" t="n"/>
      <c r="T311" s="775" t="n"/>
      <c r="U311" s="776" t="n"/>
      <c r="V311" s="43" t="inlineStr">
        <is>
          <t>кг</t>
        </is>
      </c>
      <c r="W311" s="809">
        <f>IFERROR(SUM(W309:W309),"0")</f>
        <v/>
      </c>
      <c r="X311" s="809">
        <f>IFERROR(SUM(X309:X309),"0")</f>
        <v/>
      </c>
      <c r="Y311" s="43" t="n"/>
      <c r="Z311" s="810" t="n"/>
      <c r="AA311" s="810" t="n"/>
    </row>
    <row r="312" ht="14.25" customHeight="1">
      <c r="A312" s="399" t="inlineStr">
        <is>
          <t>Сосиски</t>
        </is>
      </c>
      <c r="B312" s="381" t="n"/>
      <c r="C312" s="381" t="n"/>
      <c r="D312" s="381" t="n"/>
      <c r="E312" s="381" t="n"/>
      <c r="F312" s="381" t="n"/>
      <c r="G312" s="381" t="n"/>
      <c r="H312" s="381" t="n"/>
      <c r="I312" s="381" t="n"/>
      <c r="J312" s="381" t="n"/>
      <c r="K312" s="381" t="n"/>
      <c r="L312" s="381" t="n"/>
      <c r="M312" s="381" t="n"/>
      <c r="N312" s="381" t="n"/>
      <c r="O312" s="381" t="n"/>
      <c r="P312" s="381" t="n"/>
      <c r="Q312" s="381" t="n"/>
      <c r="R312" s="381" t="n"/>
      <c r="S312" s="381" t="n"/>
      <c r="T312" s="381" t="n"/>
      <c r="U312" s="381" t="n"/>
      <c r="V312" s="381" t="n"/>
      <c r="W312" s="381" t="n"/>
      <c r="X312" s="381" t="n"/>
      <c r="Y312" s="381" t="n"/>
      <c r="Z312" s="399" t="n"/>
      <c r="AA312" s="399" t="n"/>
    </row>
    <row r="313" ht="27" customHeight="1">
      <c r="A313" s="64" t="inlineStr">
        <is>
          <t>SU001835</t>
        </is>
      </c>
      <c r="B313" s="64" t="inlineStr">
        <is>
          <t>P002202</t>
        </is>
      </c>
      <c r="C313" s="37" t="n">
        <v>4301051142</v>
      </c>
      <c r="D313" s="384" t="n">
        <v>4607091387919</v>
      </c>
      <c r="E313" s="767" t="n"/>
      <c r="F313" s="801" t="n">
        <v>1.35</v>
      </c>
      <c r="G313" s="38" t="n">
        <v>6</v>
      </c>
      <c r="H313" s="801" t="n">
        <v>8.1</v>
      </c>
      <c r="I313" s="801" t="n">
        <v>8.664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9" t="n"/>
      <c r="N313" s="38" t="n">
        <v>45</v>
      </c>
      <c r="O313" s="987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3" s="803" t="n"/>
      <c r="Q313" s="803" t="n"/>
      <c r="R313" s="803" t="n"/>
      <c r="S313" s="767" t="n"/>
      <c r="T313" s="40" t="inlineStr"/>
      <c r="U313" s="40" t="inlineStr"/>
      <c r="V313" s="41" t="inlineStr">
        <is>
          <t>кг</t>
        </is>
      </c>
      <c r="W313" s="804" t="n">
        <v>0</v>
      </c>
      <c r="X313" s="805">
        <f>IFERROR(IF(W313="",0,CEILING((W313/$H313),1)*$H313),"")</f>
        <v/>
      </c>
      <c r="Y313" s="42">
        <f>IFERROR(IF(X313=0,"",ROUNDUP(X313/H313,0)*0.02175),"")</f>
        <v/>
      </c>
      <c r="Z313" s="69" t="inlineStr"/>
      <c r="AA313" s="70" t="inlineStr"/>
      <c r="AE313" s="80" t="n"/>
      <c r="BB313" s="259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 ht="27" customHeight="1">
      <c r="A314" s="64" t="inlineStr">
        <is>
          <t>SU003167</t>
        </is>
      </c>
      <c r="B314" s="64" t="inlineStr">
        <is>
          <t>P003363</t>
        </is>
      </c>
      <c r="C314" s="37" t="n">
        <v>4301051461</v>
      </c>
      <c r="D314" s="384" t="n">
        <v>4680115883604</v>
      </c>
      <c r="E314" s="767" t="n"/>
      <c r="F314" s="801" t="n">
        <v>0.35</v>
      </c>
      <c r="G314" s="38" t="n">
        <v>6</v>
      </c>
      <c r="H314" s="801" t="n">
        <v>2.1</v>
      </c>
      <c r="I314" s="801" t="n">
        <v>2.372</v>
      </c>
      <c r="J314" s="38" t="n">
        <v>156</v>
      </c>
      <c r="K314" s="38" t="inlineStr">
        <is>
          <t>12</t>
        </is>
      </c>
      <c r="L314" s="39" t="inlineStr">
        <is>
          <t>СК3</t>
        </is>
      </c>
      <c r="M314" s="39" t="n"/>
      <c r="N314" s="38" t="n">
        <v>45</v>
      </c>
      <c r="O314" s="988">
        <f>HYPERLINK("https://abi.ru/products/Охлажденные/Стародворье/Бордо/Сосиски/P003363/","Сосиски «Баварские» Фикс.вес 0,35 П/а ТМ «Стародворье»")</f>
        <v/>
      </c>
      <c r="P314" s="803" t="n"/>
      <c r="Q314" s="803" t="n"/>
      <c r="R314" s="803" t="n"/>
      <c r="S314" s="767" t="n"/>
      <c r="T314" s="40" t="inlineStr"/>
      <c r="U314" s="40" t="inlineStr"/>
      <c r="V314" s="41" t="inlineStr">
        <is>
          <t>кг</t>
        </is>
      </c>
      <c r="W314" s="804" t="n">
        <v>875</v>
      </c>
      <c r="X314" s="805">
        <f>IFERROR(IF(W314="",0,CEILING((W314/$H314),1)*$H314),"")</f>
        <v/>
      </c>
      <c r="Y314" s="42">
        <f>IFERROR(IF(X314=0,"",ROUNDUP(X314/H314,0)*0.00753),"")</f>
        <v/>
      </c>
      <c r="Z314" s="69" t="inlineStr"/>
      <c r="AA314" s="70" t="inlineStr"/>
      <c r="AE314" s="80" t="n"/>
      <c r="BB314" s="260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SU003168</t>
        </is>
      </c>
      <c r="B315" s="64" t="inlineStr">
        <is>
          <t>P003364</t>
        </is>
      </c>
      <c r="C315" s="37" t="n">
        <v>4301051485</v>
      </c>
      <c r="D315" s="384" t="n">
        <v>4680115883567</v>
      </c>
      <c r="E315" s="767" t="n"/>
      <c r="F315" s="801" t="n">
        <v>0.35</v>
      </c>
      <c r="G315" s="38" t="n">
        <v>6</v>
      </c>
      <c r="H315" s="801" t="n">
        <v>2.1</v>
      </c>
      <c r="I315" s="801" t="n">
        <v>2.36</v>
      </c>
      <c r="J315" s="38" t="n">
        <v>156</v>
      </c>
      <c r="K315" s="38" t="inlineStr">
        <is>
          <t>12</t>
        </is>
      </c>
      <c r="L315" s="39" t="inlineStr">
        <is>
          <t>СК2</t>
        </is>
      </c>
      <c r="M315" s="39" t="n"/>
      <c r="N315" s="38" t="n">
        <v>40</v>
      </c>
      <c r="O315" s="989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5" s="803" t="n"/>
      <c r="Q315" s="803" t="n"/>
      <c r="R315" s="803" t="n"/>
      <c r="S315" s="767" t="n"/>
      <c r="T315" s="40" t="inlineStr"/>
      <c r="U315" s="40" t="inlineStr"/>
      <c r="V315" s="41" t="inlineStr">
        <is>
          <t>кг</t>
        </is>
      </c>
      <c r="W315" s="804" t="n">
        <v>630</v>
      </c>
      <c r="X315" s="805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1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>
      <c r="A316" s="393" t="n"/>
      <c r="B316" s="381" t="n"/>
      <c r="C316" s="381" t="n"/>
      <c r="D316" s="381" t="n"/>
      <c r="E316" s="381" t="n"/>
      <c r="F316" s="381" t="n"/>
      <c r="G316" s="381" t="n"/>
      <c r="H316" s="381" t="n"/>
      <c r="I316" s="381" t="n"/>
      <c r="J316" s="381" t="n"/>
      <c r="K316" s="381" t="n"/>
      <c r="L316" s="381" t="n"/>
      <c r="M316" s="381" t="n"/>
      <c r="N316" s="807" t="n"/>
      <c r="O316" s="808" t="inlineStr">
        <is>
          <t>Итого</t>
        </is>
      </c>
      <c r="P316" s="775" t="n"/>
      <c r="Q316" s="775" t="n"/>
      <c r="R316" s="775" t="n"/>
      <c r="S316" s="775" t="n"/>
      <c r="T316" s="775" t="n"/>
      <c r="U316" s="776" t="n"/>
      <c r="V316" s="43" t="inlineStr">
        <is>
          <t>кор</t>
        </is>
      </c>
      <c r="W316" s="809">
        <f>IFERROR(W313/H313,"0")+IFERROR(W314/H314,"0")+IFERROR(W315/H315,"0")</f>
        <v/>
      </c>
      <c r="X316" s="809">
        <f>IFERROR(X313/H313,"0")+IFERROR(X314/H314,"0")+IFERROR(X315/H315,"0")</f>
        <v/>
      </c>
      <c r="Y316" s="809">
        <f>IFERROR(IF(Y313="",0,Y313),"0")+IFERROR(IF(Y314="",0,Y314),"0")+IFERROR(IF(Y315="",0,Y315),"0")</f>
        <v/>
      </c>
      <c r="Z316" s="810" t="n"/>
      <c r="AA316" s="810" t="n"/>
    </row>
    <row r="317">
      <c r="A317" s="381" t="n"/>
      <c r="B317" s="381" t="n"/>
      <c r="C317" s="381" t="n"/>
      <c r="D317" s="381" t="n"/>
      <c r="E317" s="381" t="n"/>
      <c r="F317" s="381" t="n"/>
      <c r="G317" s="381" t="n"/>
      <c r="H317" s="381" t="n"/>
      <c r="I317" s="381" t="n"/>
      <c r="J317" s="381" t="n"/>
      <c r="K317" s="381" t="n"/>
      <c r="L317" s="381" t="n"/>
      <c r="M317" s="381" t="n"/>
      <c r="N317" s="807" t="n"/>
      <c r="O317" s="808" t="inlineStr">
        <is>
          <t>Итого</t>
        </is>
      </c>
      <c r="P317" s="775" t="n"/>
      <c r="Q317" s="775" t="n"/>
      <c r="R317" s="775" t="n"/>
      <c r="S317" s="775" t="n"/>
      <c r="T317" s="775" t="n"/>
      <c r="U317" s="776" t="n"/>
      <c r="V317" s="43" t="inlineStr">
        <is>
          <t>кг</t>
        </is>
      </c>
      <c r="W317" s="809">
        <f>IFERROR(SUM(W313:W315),"0")</f>
        <v/>
      </c>
      <c r="X317" s="809">
        <f>IFERROR(SUM(X313:X315),"0")</f>
        <v/>
      </c>
      <c r="Y317" s="43" t="n"/>
      <c r="Z317" s="810" t="n"/>
      <c r="AA317" s="810" t="n"/>
    </row>
    <row r="318" ht="14.25" customHeight="1">
      <c r="A318" s="399" t="inlineStr">
        <is>
          <t>Сардельки</t>
        </is>
      </c>
      <c r="B318" s="381" t="n"/>
      <c r="C318" s="381" t="n"/>
      <c r="D318" s="381" t="n"/>
      <c r="E318" s="381" t="n"/>
      <c r="F318" s="381" t="n"/>
      <c r="G318" s="381" t="n"/>
      <c r="H318" s="381" t="n"/>
      <c r="I318" s="381" t="n"/>
      <c r="J318" s="381" t="n"/>
      <c r="K318" s="381" t="n"/>
      <c r="L318" s="381" t="n"/>
      <c r="M318" s="381" t="n"/>
      <c r="N318" s="381" t="n"/>
      <c r="O318" s="381" t="n"/>
      <c r="P318" s="381" t="n"/>
      <c r="Q318" s="381" t="n"/>
      <c r="R318" s="381" t="n"/>
      <c r="S318" s="381" t="n"/>
      <c r="T318" s="381" t="n"/>
      <c r="U318" s="381" t="n"/>
      <c r="V318" s="381" t="n"/>
      <c r="W318" s="381" t="n"/>
      <c r="X318" s="381" t="n"/>
      <c r="Y318" s="381" t="n"/>
      <c r="Z318" s="399" t="n"/>
      <c r="AA318" s="399" t="n"/>
    </row>
    <row r="319" ht="27" customHeight="1">
      <c r="A319" s="64" t="inlineStr">
        <is>
          <t>SU002173</t>
        </is>
      </c>
      <c r="B319" s="64" t="inlineStr">
        <is>
          <t>P002361</t>
        </is>
      </c>
      <c r="C319" s="37" t="n">
        <v>4301060324</v>
      </c>
      <c r="D319" s="384" t="n">
        <v>4607091388831</v>
      </c>
      <c r="E319" s="767" t="n"/>
      <c r="F319" s="801" t="n">
        <v>0.38</v>
      </c>
      <c r="G319" s="38" t="n">
        <v>6</v>
      </c>
      <c r="H319" s="801" t="n">
        <v>2.28</v>
      </c>
      <c r="I319" s="801" t="n">
        <v>2.552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9" t="n"/>
      <c r="N319" s="38" t="n">
        <v>40</v>
      </c>
      <c r="O319" s="99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9" s="803" t="n"/>
      <c r="Q319" s="803" t="n"/>
      <c r="R319" s="803" t="n"/>
      <c r="S319" s="767" t="n"/>
      <c r="T319" s="40" t="inlineStr"/>
      <c r="U319" s="40" t="inlineStr"/>
      <c r="V319" s="41" t="inlineStr">
        <is>
          <t>кг</t>
        </is>
      </c>
      <c r="W319" s="804" t="n">
        <v>45.6</v>
      </c>
      <c r="X319" s="805">
        <f>IFERROR(IF(W319="",0,CEILING((W319/$H319),1)*$H319),"")</f>
        <v/>
      </c>
      <c r="Y319" s="42">
        <f>IFERROR(IF(X319=0,"",ROUNDUP(X319/H319,0)*0.00753),"")</f>
        <v/>
      </c>
      <c r="Z319" s="69" t="inlineStr"/>
      <c r="AA319" s="70" t="inlineStr"/>
      <c r="AE319" s="80" t="n"/>
      <c r="BB319" s="262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>
      <c r="A320" s="393" t="n"/>
      <c r="B320" s="381" t="n"/>
      <c r="C320" s="381" t="n"/>
      <c r="D320" s="381" t="n"/>
      <c r="E320" s="381" t="n"/>
      <c r="F320" s="381" t="n"/>
      <c r="G320" s="381" t="n"/>
      <c r="H320" s="381" t="n"/>
      <c r="I320" s="381" t="n"/>
      <c r="J320" s="381" t="n"/>
      <c r="K320" s="381" t="n"/>
      <c r="L320" s="381" t="n"/>
      <c r="M320" s="381" t="n"/>
      <c r="N320" s="807" t="n"/>
      <c r="O320" s="808" t="inlineStr">
        <is>
          <t>Итого</t>
        </is>
      </c>
      <c r="P320" s="775" t="n"/>
      <c r="Q320" s="775" t="n"/>
      <c r="R320" s="775" t="n"/>
      <c r="S320" s="775" t="n"/>
      <c r="T320" s="775" t="n"/>
      <c r="U320" s="776" t="n"/>
      <c r="V320" s="43" t="inlineStr">
        <is>
          <t>кор</t>
        </is>
      </c>
      <c r="W320" s="809">
        <f>IFERROR(W319/H319,"0")</f>
        <v/>
      </c>
      <c r="X320" s="809">
        <f>IFERROR(X319/H319,"0")</f>
        <v/>
      </c>
      <c r="Y320" s="809">
        <f>IFERROR(IF(Y319="",0,Y319),"0")</f>
        <v/>
      </c>
      <c r="Z320" s="810" t="n"/>
      <c r="AA320" s="810" t="n"/>
    </row>
    <row r="321">
      <c r="A321" s="381" t="n"/>
      <c r="B321" s="381" t="n"/>
      <c r="C321" s="381" t="n"/>
      <c r="D321" s="381" t="n"/>
      <c r="E321" s="381" t="n"/>
      <c r="F321" s="381" t="n"/>
      <c r="G321" s="381" t="n"/>
      <c r="H321" s="381" t="n"/>
      <c r="I321" s="381" t="n"/>
      <c r="J321" s="381" t="n"/>
      <c r="K321" s="381" t="n"/>
      <c r="L321" s="381" t="n"/>
      <c r="M321" s="381" t="n"/>
      <c r="N321" s="807" t="n"/>
      <c r="O321" s="808" t="inlineStr">
        <is>
          <t>Итого</t>
        </is>
      </c>
      <c r="P321" s="775" t="n"/>
      <c r="Q321" s="775" t="n"/>
      <c r="R321" s="775" t="n"/>
      <c r="S321" s="775" t="n"/>
      <c r="T321" s="775" t="n"/>
      <c r="U321" s="776" t="n"/>
      <c r="V321" s="43" t="inlineStr">
        <is>
          <t>кг</t>
        </is>
      </c>
      <c r="W321" s="809">
        <f>IFERROR(SUM(W319:W319),"0")</f>
        <v/>
      </c>
      <c r="X321" s="809">
        <f>IFERROR(SUM(X319:X319),"0")</f>
        <v/>
      </c>
      <c r="Y321" s="43" t="n"/>
      <c r="Z321" s="810" t="n"/>
      <c r="AA321" s="810" t="n"/>
    </row>
    <row r="322" ht="14.25" customHeight="1">
      <c r="A322" s="399" t="inlineStr">
        <is>
          <t>Сырокопченые колбасы</t>
        </is>
      </c>
      <c r="B322" s="381" t="n"/>
      <c r="C322" s="381" t="n"/>
      <c r="D322" s="381" t="n"/>
      <c r="E322" s="381" t="n"/>
      <c r="F322" s="381" t="n"/>
      <c r="G322" s="381" t="n"/>
      <c r="H322" s="381" t="n"/>
      <c r="I322" s="381" t="n"/>
      <c r="J322" s="381" t="n"/>
      <c r="K322" s="381" t="n"/>
      <c r="L322" s="381" t="n"/>
      <c r="M322" s="381" t="n"/>
      <c r="N322" s="381" t="n"/>
      <c r="O322" s="381" t="n"/>
      <c r="P322" s="381" t="n"/>
      <c r="Q322" s="381" t="n"/>
      <c r="R322" s="381" t="n"/>
      <c r="S322" s="381" t="n"/>
      <c r="T322" s="381" t="n"/>
      <c r="U322" s="381" t="n"/>
      <c r="V322" s="381" t="n"/>
      <c r="W322" s="381" t="n"/>
      <c r="X322" s="381" t="n"/>
      <c r="Y322" s="381" t="n"/>
      <c r="Z322" s="399" t="n"/>
      <c r="AA322" s="399" t="n"/>
    </row>
    <row r="323" ht="27" customHeight="1">
      <c r="A323" s="64" t="inlineStr">
        <is>
          <t>SU002092</t>
        </is>
      </c>
      <c r="B323" s="64" t="inlineStr">
        <is>
          <t>P002290</t>
        </is>
      </c>
      <c r="C323" s="37" t="n">
        <v>4301032015</v>
      </c>
      <c r="D323" s="384" t="n">
        <v>4607091383102</v>
      </c>
      <c r="E323" s="767" t="n"/>
      <c r="F323" s="801" t="n">
        <v>0.17</v>
      </c>
      <c r="G323" s="38" t="n">
        <v>15</v>
      </c>
      <c r="H323" s="801" t="n">
        <v>2.55</v>
      </c>
      <c r="I323" s="801" t="n">
        <v>2.975</v>
      </c>
      <c r="J323" s="38" t="n">
        <v>156</v>
      </c>
      <c r="K323" s="38" t="inlineStr">
        <is>
          <t>12</t>
        </is>
      </c>
      <c r="L323" s="39" t="inlineStr">
        <is>
          <t>АК</t>
        </is>
      </c>
      <c r="M323" s="39" t="n"/>
      <c r="N323" s="38" t="n">
        <v>180</v>
      </c>
      <c r="O323" s="99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3" s="803" t="n"/>
      <c r="Q323" s="803" t="n"/>
      <c r="R323" s="803" t="n"/>
      <c r="S323" s="767" t="n"/>
      <c r="T323" s="40" t="inlineStr"/>
      <c r="U323" s="40" t="inlineStr"/>
      <c r="V323" s="41" t="inlineStr">
        <is>
          <t>кг</t>
        </is>
      </c>
      <c r="W323" s="804" t="n">
        <v>0</v>
      </c>
      <c r="X323" s="805">
        <f>IFERROR(IF(W323="",0,CEILING((W323/$H323),1)*$H323),"")</f>
        <v/>
      </c>
      <c r="Y323" s="42">
        <f>IFERROR(IF(X323=0,"",ROUNDUP(X323/H323,0)*0.00753),"")</f>
        <v/>
      </c>
      <c r="Z323" s="69" t="inlineStr"/>
      <c r="AA323" s="70" t="inlineStr"/>
      <c r="AE323" s="80" t="n"/>
      <c r="BB323" s="263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>
      <c r="A324" s="393" t="n"/>
      <c r="B324" s="381" t="n"/>
      <c r="C324" s="381" t="n"/>
      <c r="D324" s="381" t="n"/>
      <c r="E324" s="381" t="n"/>
      <c r="F324" s="381" t="n"/>
      <c r="G324" s="381" t="n"/>
      <c r="H324" s="381" t="n"/>
      <c r="I324" s="381" t="n"/>
      <c r="J324" s="381" t="n"/>
      <c r="K324" s="381" t="n"/>
      <c r="L324" s="381" t="n"/>
      <c r="M324" s="381" t="n"/>
      <c r="N324" s="807" t="n"/>
      <c r="O324" s="808" t="inlineStr">
        <is>
          <t>Итого</t>
        </is>
      </c>
      <c r="P324" s="775" t="n"/>
      <c r="Q324" s="775" t="n"/>
      <c r="R324" s="775" t="n"/>
      <c r="S324" s="775" t="n"/>
      <c r="T324" s="775" t="n"/>
      <c r="U324" s="776" t="n"/>
      <c r="V324" s="43" t="inlineStr">
        <is>
          <t>кор</t>
        </is>
      </c>
      <c r="W324" s="809">
        <f>IFERROR(W323/H323,"0")</f>
        <v/>
      </c>
      <c r="X324" s="809">
        <f>IFERROR(X323/H323,"0")</f>
        <v/>
      </c>
      <c r="Y324" s="809">
        <f>IFERROR(IF(Y323="",0,Y323),"0")</f>
        <v/>
      </c>
      <c r="Z324" s="810" t="n"/>
      <c r="AA324" s="810" t="n"/>
    </row>
    <row r="325">
      <c r="A325" s="381" t="n"/>
      <c r="B325" s="381" t="n"/>
      <c r="C325" s="381" t="n"/>
      <c r="D325" s="381" t="n"/>
      <c r="E325" s="381" t="n"/>
      <c r="F325" s="381" t="n"/>
      <c r="G325" s="381" t="n"/>
      <c r="H325" s="381" t="n"/>
      <c r="I325" s="381" t="n"/>
      <c r="J325" s="381" t="n"/>
      <c r="K325" s="381" t="n"/>
      <c r="L325" s="381" t="n"/>
      <c r="M325" s="381" t="n"/>
      <c r="N325" s="807" t="n"/>
      <c r="O325" s="808" t="inlineStr">
        <is>
          <t>Итого</t>
        </is>
      </c>
      <c r="P325" s="775" t="n"/>
      <c r="Q325" s="775" t="n"/>
      <c r="R325" s="775" t="n"/>
      <c r="S325" s="775" t="n"/>
      <c r="T325" s="775" t="n"/>
      <c r="U325" s="776" t="n"/>
      <c r="V325" s="43" t="inlineStr">
        <is>
          <t>кг</t>
        </is>
      </c>
      <c r="W325" s="809">
        <f>IFERROR(SUM(W323:W323),"0")</f>
        <v/>
      </c>
      <c r="X325" s="809">
        <f>IFERROR(SUM(X323:X323),"0")</f>
        <v/>
      </c>
      <c r="Y325" s="43" t="n"/>
      <c r="Z325" s="810" t="n"/>
      <c r="AA325" s="810" t="n"/>
    </row>
    <row r="326" ht="27.75" customHeight="1">
      <c r="A326" s="420" t="inlineStr">
        <is>
          <t>Особый рецепт</t>
        </is>
      </c>
      <c r="B326" s="800" t="n"/>
      <c r="C326" s="800" t="n"/>
      <c r="D326" s="800" t="n"/>
      <c r="E326" s="800" t="n"/>
      <c r="F326" s="800" t="n"/>
      <c r="G326" s="800" t="n"/>
      <c r="H326" s="800" t="n"/>
      <c r="I326" s="800" t="n"/>
      <c r="J326" s="800" t="n"/>
      <c r="K326" s="800" t="n"/>
      <c r="L326" s="800" t="n"/>
      <c r="M326" s="800" t="n"/>
      <c r="N326" s="800" t="n"/>
      <c r="O326" s="800" t="n"/>
      <c r="P326" s="800" t="n"/>
      <c r="Q326" s="800" t="n"/>
      <c r="R326" s="800" t="n"/>
      <c r="S326" s="800" t="n"/>
      <c r="T326" s="800" t="n"/>
      <c r="U326" s="800" t="n"/>
      <c r="V326" s="800" t="n"/>
      <c r="W326" s="800" t="n"/>
      <c r="X326" s="800" t="n"/>
      <c r="Y326" s="800" t="n"/>
      <c r="Z326" s="55" t="n"/>
      <c r="AA326" s="55" t="n"/>
    </row>
    <row r="327" ht="16.5" customHeight="1">
      <c r="A327" s="421" t="inlineStr">
        <is>
          <t>Особая</t>
        </is>
      </c>
      <c r="B327" s="381" t="n"/>
      <c r="C327" s="381" t="n"/>
      <c r="D327" s="381" t="n"/>
      <c r="E327" s="381" t="n"/>
      <c r="F327" s="381" t="n"/>
      <c r="G327" s="381" t="n"/>
      <c r="H327" s="381" t="n"/>
      <c r="I327" s="381" t="n"/>
      <c r="J327" s="381" t="n"/>
      <c r="K327" s="381" t="n"/>
      <c r="L327" s="381" t="n"/>
      <c r="M327" s="381" t="n"/>
      <c r="N327" s="381" t="n"/>
      <c r="O327" s="381" t="n"/>
      <c r="P327" s="381" t="n"/>
      <c r="Q327" s="381" t="n"/>
      <c r="R327" s="381" t="n"/>
      <c r="S327" s="381" t="n"/>
      <c r="T327" s="381" t="n"/>
      <c r="U327" s="381" t="n"/>
      <c r="V327" s="381" t="n"/>
      <c r="W327" s="381" t="n"/>
      <c r="X327" s="381" t="n"/>
      <c r="Y327" s="381" t="n"/>
      <c r="Z327" s="421" t="n"/>
      <c r="AA327" s="421" t="n"/>
    </row>
    <row r="328" ht="14.25" customHeight="1">
      <c r="A328" s="399" t="inlineStr">
        <is>
          <t>Вареные колбасы</t>
        </is>
      </c>
      <c r="B328" s="381" t="n"/>
      <c r="C328" s="381" t="n"/>
      <c r="D328" s="381" t="n"/>
      <c r="E328" s="381" t="n"/>
      <c r="F328" s="381" t="n"/>
      <c r="G328" s="381" t="n"/>
      <c r="H328" s="381" t="n"/>
      <c r="I328" s="381" t="n"/>
      <c r="J328" s="381" t="n"/>
      <c r="K328" s="381" t="n"/>
      <c r="L328" s="381" t="n"/>
      <c r="M328" s="381" t="n"/>
      <c r="N328" s="381" t="n"/>
      <c r="O328" s="381" t="n"/>
      <c r="P328" s="381" t="n"/>
      <c r="Q328" s="381" t="n"/>
      <c r="R328" s="381" t="n"/>
      <c r="S328" s="381" t="n"/>
      <c r="T328" s="381" t="n"/>
      <c r="U328" s="381" t="n"/>
      <c r="V328" s="381" t="n"/>
      <c r="W328" s="381" t="n"/>
      <c r="X328" s="381" t="n"/>
      <c r="Y328" s="381" t="n"/>
      <c r="Z328" s="399" t="n"/>
      <c r="AA328" s="399" t="n"/>
    </row>
    <row r="329" ht="27" customHeight="1">
      <c r="A329" s="64" t="inlineStr">
        <is>
          <t>SU003418</t>
        </is>
      </c>
      <c r="B329" s="64" t="inlineStr">
        <is>
          <t>P004248</t>
        </is>
      </c>
      <c r="C329" s="37" t="n">
        <v>4301011865</v>
      </c>
      <c r="D329" s="384" t="n">
        <v>4680115884076</v>
      </c>
      <c r="E329" s="767" t="n"/>
      <c r="F329" s="801" t="n">
        <v>2.5</v>
      </c>
      <c r="G329" s="38" t="n">
        <v>6</v>
      </c>
      <c r="H329" s="801" t="n">
        <v>15</v>
      </c>
      <c r="I329" s="801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9" t="n"/>
      <c r="N329" s="38" t="n">
        <v>60</v>
      </c>
      <c r="O329" s="992" t="inlineStr">
        <is>
          <t>Вареные колбасы «Докторская Филейная» Весовой п/а ТМ «Особый рецепт» большой батон</t>
        </is>
      </c>
      <c r="P329" s="803" t="n"/>
      <c r="Q329" s="803" t="n"/>
      <c r="R329" s="803" t="n"/>
      <c r="S329" s="767" t="n"/>
      <c r="T329" s="40" t="inlineStr"/>
      <c r="U329" s="40" t="inlineStr"/>
      <c r="V329" s="41" t="inlineStr">
        <is>
          <t>кг</t>
        </is>
      </c>
      <c r="W329" s="804" t="n">
        <v>0</v>
      </c>
      <c r="X329" s="805">
        <f>IFERROR(IF(W329="",0,CEILING((W329/$H329),1)*$H329),"")</f>
        <v/>
      </c>
      <c r="Y329" s="42">
        <f>IFERROR(IF(X329=0,"",ROUNDUP(X329/H329,0)*0.02175),"")</f>
        <v/>
      </c>
      <c r="Z329" s="69" t="inlineStr"/>
      <c r="AA329" s="70" t="inlineStr"/>
      <c r="AE329" s="80" t="n"/>
      <c r="BB329" s="264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384" t="n">
        <v>4607091383997</v>
      </c>
      <c r="E330" s="767" t="n"/>
      <c r="F330" s="801" t="n">
        <v>2.5</v>
      </c>
      <c r="G330" s="38" t="n">
        <v>6</v>
      </c>
      <c r="H330" s="801" t="n">
        <v>15</v>
      </c>
      <c r="I330" s="80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99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30" s="803" t="n"/>
      <c r="Q330" s="803" t="n"/>
      <c r="R330" s="803" t="n"/>
      <c r="S330" s="767" t="n"/>
      <c r="T330" s="40" t="inlineStr"/>
      <c r="U330" s="40" t="inlineStr"/>
      <c r="V330" s="41" t="inlineStr">
        <is>
          <t>кг</t>
        </is>
      </c>
      <c r="W330" s="804" t="n">
        <v>0</v>
      </c>
      <c r="X330" s="805">
        <f>IFERROR(IF(W330="",0,CEILING((W330/$H330),1)*$H330),"")</f>
        <v/>
      </c>
      <c r="Y330" s="42">
        <f>IFERROR(IF(X330=0,"",ROUNDUP(X330/H330,0)*0.02039),"")</f>
        <v/>
      </c>
      <c r="Z330" s="69" t="inlineStr"/>
      <c r="AA330" s="70" t="inlineStr"/>
      <c r="AE330" s="80" t="n"/>
      <c r="BB330" s="265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384" t="n">
        <v>4607091383997</v>
      </c>
      <c r="E331" s="767" t="n"/>
      <c r="F331" s="801" t="n">
        <v>2.5</v>
      </c>
      <c r="G331" s="38" t="n">
        <v>6</v>
      </c>
      <c r="H331" s="801" t="n">
        <v>15</v>
      </c>
      <c r="I331" s="80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99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31" s="803" t="n"/>
      <c r="Q331" s="803" t="n"/>
      <c r="R331" s="803" t="n"/>
      <c r="S331" s="767" t="n"/>
      <c r="T331" s="40" t="inlineStr"/>
      <c r="U331" s="40" t="inlineStr"/>
      <c r="V331" s="41" t="inlineStr">
        <is>
          <t>кг</t>
        </is>
      </c>
      <c r="W331" s="804" t="n">
        <v>1700</v>
      </c>
      <c r="X331" s="805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80" t="n"/>
      <c r="BB331" s="266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84" t="n">
        <v>4607091384130</v>
      </c>
      <c r="E332" s="767" t="n"/>
      <c r="F332" s="801" t="n">
        <v>2.5</v>
      </c>
      <c r="G332" s="38" t="n">
        <v>6</v>
      </c>
      <c r="H332" s="801" t="n">
        <v>15</v>
      </c>
      <c r="I332" s="80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99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2" s="803" t="n"/>
      <c r="Q332" s="803" t="n"/>
      <c r="R332" s="803" t="n"/>
      <c r="S332" s="767" t="n"/>
      <c r="T332" s="40" t="inlineStr"/>
      <c r="U332" s="40" t="inlineStr"/>
      <c r="V332" s="41" t="inlineStr">
        <is>
          <t>кг</t>
        </is>
      </c>
      <c r="W332" s="804" t="n">
        <v>900</v>
      </c>
      <c r="X332" s="805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7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384" t="n">
        <v>4607091384130</v>
      </c>
      <c r="E333" s="767" t="n"/>
      <c r="F333" s="801" t="n">
        <v>2.5</v>
      </c>
      <c r="G333" s="38" t="n">
        <v>6</v>
      </c>
      <c r="H333" s="801" t="n">
        <v>15</v>
      </c>
      <c r="I333" s="80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99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3" s="803" t="n"/>
      <c r="Q333" s="803" t="n"/>
      <c r="R333" s="803" t="n"/>
      <c r="S333" s="767" t="n"/>
      <c r="T333" s="40" t="inlineStr"/>
      <c r="U333" s="40" t="inlineStr"/>
      <c r="V333" s="41" t="inlineStr">
        <is>
          <t>кг</t>
        </is>
      </c>
      <c r="W333" s="804" t="n">
        <v>0</v>
      </c>
      <c r="X333" s="805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68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84" t="n">
        <v>4607091384147</v>
      </c>
      <c r="E334" s="767" t="n"/>
      <c r="F334" s="801" t="n">
        <v>2.5</v>
      </c>
      <c r="G334" s="38" t="n">
        <v>6</v>
      </c>
      <c r="H334" s="801" t="n">
        <v>15</v>
      </c>
      <c r="I334" s="80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99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4" s="803" t="n"/>
      <c r="Q334" s="803" t="n"/>
      <c r="R334" s="803" t="n"/>
      <c r="S334" s="767" t="n"/>
      <c r="T334" s="40" t="inlineStr"/>
      <c r="U334" s="40" t="inlineStr"/>
      <c r="V334" s="41" t="inlineStr">
        <is>
          <t>кг</t>
        </is>
      </c>
      <c r="W334" s="804" t="n">
        <v>1300</v>
      </c>
      <c r="X334" s="805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69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SU003423</t>
        </is>
      </c>
      <c r="B335" s="64" t="inlineStr">
        <is>
          <t>P004315</t>
        </is>
      </c>
      <c r="C335" s="37" t="n">
        <v>4301011947</v>
      </c>
      <c r="D335" s="384" t="n">
        <v>4680115884854</v>
      </c>
      <c r="E335" s="767" t="n"/>
      <c r="F335" s="801" t="n">
        <v>2.5</v>
      </c>
      <c r="G335" s="38" t="n">
        <v>6</v>
      </c>
      <c r="H335" s="801" t="n">
        <v>15</v>
      </c>
      <c r="I335" s="801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9" t="n"/>
      <c r="N335" s="38" t="n">
        <v>60</v>
      </c>
      <c r="O335" s="998" t="inlineStr">
        <is>
          <t>Вареные колбасы «Со шпиком» Весовой п/а ТМ «Особый рецепт» большой батон</t>
        </is>
      </c>
      <c r="P335" s="803" t="n"/>
      <c r="Q335" s="803" t="n"/>
      <c r="R335" s="803" t="n"/>
      <c r="S335" s="767" t="n"/>
      <c r="T335" s="40" t="inlineStr"/>
      <c r="U335" s="40" t="inlineStr"/>
      <c r="V335" s="41" t="inlineStr">
        <is>
          <t>кг</t>
        </is>
      </c>
      <c r="W335" s="804" t="n">
        <v>0</v>
      </c>
      <c r="X335" s="805">
        <f>IFERROR(IF(W335="",0,CEILING((W335/$H335),1)*$H335),"")</f>
        <v/>
      </c>
      <c r="Y335" s="42">
        <f>IFERROR(IF(X335=0,"",ROUNDUP(X335/H335,0)*0.02039),"")</f>
        <v/>
      </c>
      <c r="Z335" s="69" t="inlineStr"/>
      <c r="AA335" s="70" t="inlineStr"/>
      <c r="AE335" s="80" t="n"/>
      <c r="BB335" s="270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84" t="n">
        <v>4607091384147</v>
      </c>
      <c r="E336" s="767" t="n"/>
      <c r="F336" s="801" t="n">
        <v>2.5</v>
      </c>
      <c r="G336" s="38" t="n">
        <v>6</v>
      </c>
      <c r="H336" s="801" t="n">
        <v>15</v>
      </c>
      <c r="I336" s="80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99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6" s="803" t="n"/>
      <c r="Q336" s="803" t="n"/>
      <c r="R336" s="803" t="n"/>
      <c r="S336" s="767" t="n"/>
      <c r="T336" s="40" t="inlineStr"/>
      <c r="U336" s="40" t="inlineStr"/>
      <c r="V336" s="41" t="inlineStr">
        <is>
          <t>кг</t>
        </is>
      </c>
      <c r="W336" s="804" t="n">
        <v>0</v>
      </c>
      <c r="X336" s="805">
        <f>IFERROR(IF(W336="",0,CEILING((W336/$H336),1)*$H336),"")</f>
        <v/>
      </c>
      <c r="Y336" s="42">
        <f>IFERROR(IF(X336=0,"",ROUNDUP(X336/H336,0)*0.02039),"")</f>
        <v/>
      </c>
      <c r="Z336" s="69" t="inlineStr"/>
      <c r="AA336" s="70" t="inlineStr"/>
      <c r="AE336" s="80" t="n"/>
      <c r="BB336" s="271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SU001989</t>
        </is>
      </c>
      <c r="B337" s="64" t="inlineStr">
        <is>
          <t>P002560</t>
        </is>
      </c>
      <c r="C337" s="37" t="n">
        <v>4301011327</v>
      </c>
      <c r="D337" s="384" t="n">
        <v>4607091384154</v>
      </c>
      <c r="E337" s="767" t="n"/>
      <c r="F337" s="801" t="n">
        <v>0.5</v>
      </c>
      <c r="G337" s="38" t="n">
        <v>10</v>
      </c>
      <c r="H337" s="801" t="n">
        <v>5</v>
      </c>
      <c r="I337" s="801" t="n">
        <v>5.21</v>
      </c>
      <c r="J337" s="38" t="n">
        <v>120</v>
      </c>
      <c r="K337" s="38" t="inlineStr">
        <is>
          <t>12</t>
        </is>
      </c>
      <c r="L337" s="39" t="inlineStr">
        <is>
          <t>СК2</t>
        </is>
      </c>
      <c r="M337" s="39" t="n"/>
      <c r="N337" s="38" t="n">
        <v>60</v>
      </c>
      <c r="O337" s="100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7" s="803" t="n"/>
      <c r="Q337" s="803" t="n"/>
      <c r="R337" s="803" t="n"/>
      <c r="S337" s="767" t="n"/>
      <c r="T337" s="40" t="inlineStr"/>
      <c r="U337" s="40" t="inlineStr"/>
      <c r="V337" s="41" t="inlineStr">
        <is>
          <t>кг</t>
        </is>
      </c>
      <c r="W337" s="804" t="n">
        <v>55</v>
      </c>
      <c r="X337" s="805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2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 ht="27" customHeight="1">
      <c r="A338" s="64" t="inlineStr">
        <is>
          <t>SU000256</t>
        </is>
      </c>
      <c r="B338" s="64" t="inlineStr">
        <is>
          <t>P002565</t>
        </is>
      </c>
      <c r="C338" s="37" t="n">
        <v>4301011332</v>
      </c>
      <c r="D338" s="384" t="n">
        <v>4607091384161</v>
      </c>
      <c r="E338" s="767" t="n"/>
      <c r="F338" s="801" t="n">
        <v>0.5</v>
      </c>
      <c r="G338" s="38" t="n">
        <v>10</v>
      </c>
      <c r="H338" s="801" t="n">
        <v>5</v>
      </c>
      <c r="I338" s="80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0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38" s="803" t="n"/>
      <c r="Q338" s="803" t="n"/>
      <c r="R338" s="803" t="n"/>
      <c r="S338" s="767" t="n"/>
      <c r="T338" s="40" t="inlineStr"/>
      <c r="U338" s="40" t="inlineStr"/>
      <c r="V338" s="41" t="inlineStr">
        <is>
          <t>кг</t>
        </is>
      </c>
      <c r="W338" s="804" t="n">
        <v>0</v>
      </c>
      <c r="X338" s="805">
        <f>IFERROR(IF(W338="",0,CEILING((W338/$H338),1)*$H338),"")</f>
        <v/>
      </c>
      <c r="Y338" s="42">
        <f>IFERROR(IF(X338=0,"",ROUNDUP(X338/H338,0)*0.00937),"")</f>
        <v/>
      </c>
      <c r="Z338" s="69" t="inlineStr"/>
      <c r="AA338" s="70" t="inlineStr"/>
      <c r="AE338" s="80" t="n"/>
      <c r="BB338" s="273" t="inlineStr">
        <is>
          <t>КИ</t>
        </is>
      </c>
      <c r="BL338" s="80">
        <f>IFERROR(W338*I338/H338,"0")</f>
        <v/>
      </c>
      <c r="BM338" s="80">
        <f>IFERROR(X338*I338/H338,"0")</f>
        <v/>
      </c>
      <c r="BN338" s="80">
        <f>IFERROR(1/J338*(W338/H338),"0")</f>
        <v/>
      </c>
      <c r="BO338" s="80">
        <f>IFERROR(1/J338*(X338/H338),"0")</f>
        <v/>
      </c>
    </row>
    <row r="339">
      <c r="A339" s="393" t="n"/>
      <c r="B339" s="381" t="n"/>
      <c r="C339" s="381" t="n"/>
      <c r="D339" s="381" t="n"/>
      <c r="E339" s="381" t="n"/>
      <c r="F339" s="381" t="n"/>
      <c r="G339" s="381" t="n"/>
      <c r="H339" s="381" t="n"/>
      <c r="I339" s="381" t="n"/>
      <c r="J339" s="381" t="n"/>
      <c r="K339" s="381" t="n"/>
      <c r="L339" s="381" t="n"/>
      <c r="M339" s="381" t="n"/>
      <c r="N339" s="807" t="n"/>
      <c r="O339" s="808" t="inlineStr">
        <is>
          <t>Итого</t>
        </is>
      </c>
      <c r="P339" s="775" t="n"/>
      <c r="Q339" s="775" t="n"/>
      <c r="R339" s="775" t="n"/>
      <c r="S339" s="775" t="n"/>
      <c r="T339" s="775" t="n"/>
      <c r="U339" s="776" t="n"/>
      <c r="V339" s="43" t="inlineStr">
        <is>
          <t>кор</t>
        </is>
      </c>
      <c r="W339" s="809">
        <f>IFERROR(W329/H329,"0")+IFERROR(W330/H330,"0")+IFERROR(W331/H331,"0")+IFERROR(W332/H332,"0")+IFERROR(W333/H333,"0")+IFERROR(W334/H334,"0")+IFERROR(W335/H335,"0")+IFERROR(W336/H336,"0")+IFERROR(W337/H337,"0")+IFERROR(W338/H338,"0")</f>
        <v/>
      </c>
      <c r="X339" s="809">
        <f>IFERROR(X329/H329,"0")+IFERROR(X330/H330,"0")+IFERROR(X331/H331,"0")+IFERROR(X332/H332,"0")+IFERROR(X333/H333,"0")+IFERROR(X334/H334,"0")+IFERROR(X335/H335,"0")+IFERROR(X336/H336,"0")+IFERROR(X337/H337,"0")+IFERROR(X338/H338,"0")</f>
        <v/>
      </c>
      <c r="Y339" s="80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/>
      </c>
      <c r="Z339" s="810" t="n"/>
      <c r="AA339" s="810" t="n"/>
    </row>
    <row r="340">
      <c r="A340" s="381" t="n"/>
      <c r="B340" s="381" t="n"/>
      <c r="C340" s="381" t="n"/>
      <c r="D340" s="381" t="n"/>
      <c r="E340" s="381" t="n"/>
      <c r="F340" s="381" t="n"/>
      <c r="G340" s="381" t="n"/>
      <c r="H340" s="381" t="n"/>
      <c r="I340" s="381" t="n"/>
      <c r="J340" s="381" t="n"/>
      <c r="K340" s="381" t="n"/>
      <c r="L340" s="381" t="n"/>
      <c r="M340" s="381" t="n"/>
      <c r="N340" s="807" t="n"/>
      <c r="O340" s="808" t="inlineStr">
        <is>
          <t>Итого</t>
        </is>
      </c>
      <c r="P340" s="775" t="n"/>
      <c r="Q340" s="775" t="n"/>
      <c r="R340" s="775" t="n"/>
      <c r="S340" s="775" t="n"/>
      <c r="T340" s="775" t="n"/>
      <c r="U340" s="776" t="n"/>
      <c r="V340" s="43" t="inlineStr">
        <is>
          <t>кг</t>
        </is>
      </c>
      <c r="W340" s="809">
        <f>IFERROR(SUM(W329:W338),"0")</f>
        <v/>
      </c>
      <c r="X340" s="809">
        <f>IFERROR(SUM(X329:X338),"0")</f>
        <v/>
      </c>
      <c r="Y340" s="43" t="n"/>
      <c r="Z340" s="810" t="n"/>
      <c r="AA340" s="810" t="n"/>
    </row>
    <row r="341" ht="14.25" customHeight="1">
      <c r="A341" s="399" t="inlineStr">
        <is>
          <t>Ветчины</t>
        </is>
      </c>
      <c r="B341" s="381" t="n"/>
      <c r="C341" s="381" t="n"/>
      <c r="D341" s="381" t="n"/>
      <c r="E341" s="381" t="n"/>
      <c r="F341" s="381" t="n"/>
      <c r="G341" s="381" t="n"/>
      <c r="H341" s="381" t="n"/>
      <c r="I341" s="381" t="n"/>
      <c r="J341" s="381" t="n"/>
      <c r="K341" s="381" t="n"/>
      <c r="L341" s="381" t="n"/>
      <c r="M341" s="381" t="n"/>
      <c r="N341" s="381" t="n"/>
      <c r="O341" s="381" t="n"/>
      <c r="P341" s="381" t="n"/>
      <c r="Q341" s="381" t="n"/>
      <c r="R341" s="381" t="n"/>
      <c r="S341" s="381" t="n"/>
      <c r="T341" s="381" t="n"/>
      <c r="U341" s="381" t="n"/>
      <c r="V341" s="381" t="n"/>
      <c r="W341" s="381" t="n"/>
      <c r="X341" s="381" t="n"/>
      <c r="Y341" s="381" t="n"/>
      <c r="Z341" s="399" t="n"/>
      <c r="AA341" s="399" t="n"/>
    </row>
    <row r="342" ht="27" customHeight="1">
      <c r="A342" s="64" t="inlineStr">
        <is>
          <t>SU000126</t>
        </is>
      </c>
      <c r="B342" s="64" t="inlineStr">
        <is>
          <t>P002555</t>
        </is>
      </c>
      <c r="C342" s="37" t="n">
        <v>4301020178</v>
      </c>
      <c r="D342" s="384" t="n">
        <v>4607091383980</v>
      </c>
      <c r="E342" s="767" t="n"/>
      <c r="F342" s="801" t="n">
        <v>2.5</v>
      </c>
      <c r="G342" s="38" t="n">
        <v>6</v>
      </c>
      <c r="H342" s="801" t="n">
        <v>15</v>
      </c>
      <c r="I342" s="801" t="n">
        <v>15.48</v>
      </c>
      <c r="J342" s="38" t="n">
        <v>48</v>
      </c>
      <c r="K342" s="38" t="inlineStr">
        <is>
          <t>8</t>
        </is>
      </c>
      <c r="L342" s="39" t="inlineStr">
        <is>
          <t>СК1</t>
        </is>
      </c>
      <c r="M342" s="39" t="n"/>
      <c r="N342" s="38" t="n">
        <v>50</v>
      </c>
      <c r="O342" s="100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2" s="803" t="n"/>
      <c r="Q342" s="803" t="n"/>
      <c r="R342" s="803" t="n"/>
      <c r="S342" s="767" t="n"/>
      <c r="T342" s="40" t="inlineStr"/>
      <c r="U342" s="40" t="inlineStr"/>
      <c r="V342" s="41" t="inlineStr">
        <is>
          <t>кг</t>
        </is>
      </c>
      <c r="W342" s="804" t="n">
        <v>1300</v>
      </c>
      <c r="X342" s="805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4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 ht="16.5" customHeight="1">
      <c r="A343" s="64" t="inlineStr">
        <is>
          <t>SU003121</t>
        </is>
      </c>
      <c r="B343" s="64" t="inlineStr">
        <is>
          <t>P003715</t>
        </is>
      </c>
      <c r="C343" s="37" t="n">
        <v>4301020270</v>
      </c>
      <c r="D343" s="384" t="n">
        <v>4680115883314</v>
      </c>
      <c r="E343" s="767" t="n"/>
      <c r="F343" s="801" t="n">
        <v>1.35</v>
      </c>
      <c r="G343" s="38" t="n">
        <v>8</v>
      </c>
      <c r="H343" s="801" t="n">
        <v>10.8</v>
      </c>
      <c r="I343" s="801" t="n">
        <v>11.28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9" t="n"/>
      <c r="N343" s="38" t="n">
        <v>50</v>
      </c>
      <c r="O343" s="1003">
        <f>HYPERLINK("https://abi.ru/products/Охлажденные/Особый рецепт/Особая/Ветчины/P003715/","Ветчины «Славница» Весовой п/а ТМ «Особый рецепт»")</f>
        <v/>
      </c>
      <c r="P343" s="803" t="n"/>
      <c r="Q343" s="803" t="n"/>
      <c r="R343" s="803" t="n"/>
      <c r="S343" s="767" t="n"/>
      <c r="T343" s="40" t="inlineStr"/>
      <c r="U343" s="40" t="inlineStr"/>
      <c r="V343" s="41" t="inlineStr">
        <is>
          <t>кг</t>
        </is>
      </c>
      <c r="W343" s="804" t="n">
        <v>0</v>
      </c>
      <c r="X343" s="805">
        <f>IFERROR(IF(W343="",0,CEILING((W343/$H343),1)*$H343),"")</f>
        <v/>
      </c>
      <c r="Y343" s="42">
        <f>IFERROR(IF(X343=0,"",ROUNDUP(X343/H343,0)*0.02175),"")</f>
        <v/>
      </c>
      <c r="Z343" s="69" t="inlineStr"/>
      <c r="AA343" s="70" t="inlineStr"/>
      <c r="AE343" s="80" t="n"/>
      <c r="BB343" s="275" t="inlineStr">
        <is>
          <t>КИ</t>
        </is>
      </c>
      <c r="BL343" s="80">
        <f>IFERROR(W343*I343/H343,"0")</f>
        <v/>
      </c>
      <c r="BM343" s="80">
        <f>IFERROR(X343*I343/H343,"0")</f>
        <v/>
      </c>
      <c r="BN343" s="80">
        <f>IFERROR(1/J343*(W343/H343),"0")</f>
        <v/>
      </c>
      <c r="BO343" s="80">
        <f>IFERROR(1/J343*(X343/H343),"0")</f>
        <v/>
      </c>
    </row>
    <row r="344" ht="27" customHeight="1">
      <c r="A344" s="64" t="inlineStr">
        <is>
          <t>SU002027</t>
        </is>
      </c>
      <c r="B344" s="64" t="inlineStr">
        <is>
          <t>P002556</t>
        </is>
      </c>
      <c r="C344" s="37" t="n">
        <v>4301020179</v>
      </c>
      <c r="D344" s="384" t="n">
        <v>4607091384178</v>
      </c>
      <c r="E344" s="767" t="n"/>
      <c r="F344" s="801" t="n">
        <v>0.4</v>
      </c>
      <c r="G344" s="38" t="n">
        <v>10</v>
      </c>
      <c r="H344" s="801" t="n">
        <v>4</v>
      </c>
      <c r="I344" s="801" t="n">
        <v>4.24</v>
      </c>
      <c r="J344" s="38" t="n">
        <v>120</v>
      </c>
      <c r="K344" s="38" t="inlineStr">
        <is>
          <t>12</t>
        </is>
      </c>
      <c r="L344" s="39" t="inlineStr">
        <is>
          <t>СК1</t>
        </is>
      </c>
      <c r="M344" s="39" t="n"/>
      <c r="N344" s="38" t="n">
        <v>50</v>
      </c>
      <c r="O344" s="100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4" s="803" t="n"/>
      <c r="Q344" s="803" t="n"/>
      <c r="R344" s="803" t="n"/>
      <c r="S344" s="767" t="n"/>
      <c r="T344" s="40" t="inlineStr"/>
      <c r="U344" s="40" t="inlineStr"/>
      <c r="V344" s="41" t="inlineStr">
        <is>
          <t>кг</t>
        </is>
      </c>
      <c r="W344" s="804" t="n">
        <v>0</v>
      </c>
      <c r="X344" s="805">
        <f>IFERROR(IF(W344="",0,CEILING((W344/$H344),1)*$H344),"")</f>
        <v/>
      </c>
      <c r="Y344" s="42">
        <f>IFERROR(IF(X344=0,"",ROUNDUP(X344/H344,0)*0.00937),"")</f>
        <v/>
      </c>
      <c r="Z344" s="69" t="inlineStr"/>
      <c r="AA344" s="70" t="inlineStr"/>
      <c r="AE344" s="80" t="n"/>
      <c r="BB344" s="276" t="inlineStr">
        <is>
          <t>КИ</t>
        </is>
      </c>
      <c r="BL344" s="80">
        <f>IFERROR(W344*I344/H344,"0")</f>
        <v/>
      </c>
      <c r="BM344" s="80">
        <f>IFERROR(X344*I344/H344,"0")</f>
        <v/>
      </c>
      <c r="BN344" s="80">
        <f>IFERROR(1/J344*(W344/H344),"0")</f>
        <v/>
      </c>
      <c r="BO344" s="80">
        <f>IFERROR(1/J344*(X344/H344),"0")</f>
        <v/>
      </c>
    </row>
    <row r="345">
      <c r="A345" s="393" t="n"/>
      <c r="B345" s="381" t="n"/>
      <c r="C345" s="381" t="n"/>
      <c r="D345" s="381" t="n"/>
      <c r="E345" s="381" t="n"/>
      <c r="F345" s="381" t="n"/>
      <c r="G345" s="381" t="n"/>
      <c r="H345" s="381" t="n"/>
      <c r="I345" s="381" t="n"/>
      <c r="J345" s="381" t="n"/>
      <c r="K345" s="381" t="n"/>
      <c r="L345" s="381" t="n"/>
      <c r="M345" s="381" t="n"/>
      <c r="N345" s="807" t="n"/>
      <c r="O345" s="808" t="inlineStr">
        <is>
          <t>Итого</t>
        </is>
      </c>
      <c r="P345" s="775" t="n"/>
      <c r="Q345" s="775" t="n"/>
      <c r="R345" s="775" t="n"/>
      <c r="S345" s="775" t="n"/>
      <c r="T345" s="775" t="n"/>
      <c r="U345" s="776" t="n"/>
      <c r="V345" s="43" t="inlineStr">
        <is>
          <t>кор</t>
        </is>
      </c>
      <c r="W345" s="809">
        <f>IFERROR(W342/H342,"0")+IFERROR(W343/H343,"0")+IFERROR(W344/H344,"0")</f>
        <v/>
      </c>
      <c r="X345" s="809">
        <f>IFERROR(X342/H342,"0")+IFERROR(X343/H343,"0")+IFERROR(X344/H344,"0")</f>
        <v/>
      </c>
      <c r="Y345" s="809">
        <f>IFERROR(IF(Y342="",0,Y342),"0")+IFERROR(IF(Y343="",0,Y343),"0")+IFERROR(IF(Y344="",0,Y344),"0")</f>
        <v/>
      </c>
      <c r="Z345" s="810" t="n"/>
      <c r="AA345" s="810" t="n"/>
    </row>
    <row r="346">
      <c r="A346" s="381" t="n"/>
      <c r="B346" s="381" t="n"/>
      <c r="C346" s="381" t="n"/>
      <c r="D346" s="381" t="n"/>
      <c r="E346" s="381" t="n"/>
      <c r="F346" s="381" t="n"/>
      <c r="G346" s="381" t="n"/>
      <c r="H346" s="381" t="n"/>
      <c r="I346" s="381" t="n"/>
      <c r="J346" s="381" t="n"/>
      <c r="K346" s="381" t="n"/>
      <c r="L346" s="381" t="n"/>
      <c r="M346" s="381" t="n"/>
      <c r="N346" s="807" t="n"/>
      <c r="O346" s="808" t="inlineStr">
        <is>
          <t>Итого</t>
        </is>
      </c>
      <c r="P346" s="775" t="n"/>
      <c r="Q346" s="775" t="n"/>
      <c r="R346" s="775" t="n"/>
      <c r="S346" s="775" t="n"/>
      <c r="T346" s="775" t="n"/>
      <c r="U346" s="776" t="n"/>
      <c r="V346" s="43" t="inlineStr">
        <is>
          <t>кг</t>
        </is>
      </c>
      <c r="W346" s="809">
        <f>IFERROR(SUM(W342:W344),"0")</f>
        <v/>
      </c>
      <c r="X346" s="809">
        <f>IFERROR(SUM(X342:X344),"0")</f>
        <v/>
      </c>
      <c r="Y346" s="43" t="n"/>
      <c r="Z346" s="810" t="n"/>
      <c r="AA346" s="810" t="n"/>
    </row>
    <row r="347" ht="14.25" customHeight="1">
      <c r="A347" s="399" t="inlineStr">
        <is>
          <t>Сосиски</t>
        </is>
      </c>
      <c r="B347" s="381" t="n"/>
      <c r="C347" s="381" t="n"/>
      <c r="D347" s="381" t="n"/>
      <c r="E347" s="381" t="n"/>
      <c r="F347" s="381" t="n"/>
      <c r="G347" s="381" t="n"/>
      <c r="H347" s="381" t="n"/>
      <c r="I347" s="381" t="n"/>
      <c r="J347" s="381" t="n"/>
      <c r="K347" s="381" t="n"/>
      <c r="L347" s="381" t="n"/>
      <c r="M347" s="381" t="n"/>
      <c r="N347" s="381" t="n"/>
      <c r="O347" s="381" t="n"/>
      <c r="P347" s="381" t="n"/>
      <c r="Q347" s="381" t="n"/>
      <c r="R347" s="381" t="n"/>
      <c r="S347" s="381" t="n"/>
      <c r="T347" s="381" t="n"/>
      <c r="U347" s="381" t="n"/>
      <c r="V347" s="381" t="n"/>
      <c r="W347" s="381" t="n"/>
      <c r="X347" s="381" t="n"/>
      <c r="Y347" s="381" t="n"/>
      <c r="Z347" s="399" t="n"/>
      <c r="AA347" s="399" t="n"/>
    </row>
    <row r="348" ht="27" customHeight="1">
      <c r="A348" s="64" t="inlineStr">
        <is>
          <t>SU003161</t>
        </is>
      </c>
      <c r="B348" s="64" t="inlineStr">
        <is>
          <t>P003767</t>
        </is>
      </c>
      <c r="C348" s="37" t="n">
        <v>4301051560</v>
      </c>
      <c r="D348" s="384" t="n">
        <v>4607091383928</v>
      </c>
      <c r="E348" s="767" t="n"/>
      <c r="F348" s="801" t="n">
        <v>1.3</v>
      </c>
      <c r="G348" s="38" t="n">
        <v>6</v>
      </c>
      <c r="H348" s="801" t="n">
        <v>7.8</v>
      </c>
      <c r="I348" s="801" t="n">
        <v>8.369999999999999</v>
      </c>
      <c r="J348" s="38" t="n">
        <v>56</v>
      </c>
      <c r="K348" s="38" t="inlineStr">
        <is>
          <t>8</t>
        </is>
      </c>
      <c r="L348" s="39" t="inlineStr">
        <is>
          <t>СК3</t>
        </is>
      </c>
      <c r="M348" s="39" t="n"/>
      <c r="N348" s="38" t="n">
        <v>40</v>
      </c>
      <c r="O348" s="1005">
        <f>HYPERLINK("https://abi.ru/products/Охлажденные/Особый рецепт/Особая/Сосиски/P003767/","Сосиски «Датские» Весовые п/а мгс ТМ «Особый рецепт»")</f>
        <v/>
      </c>
      <c r="P348" s="803" t="n"/>
      <c r="Q348" s="803" t="n"/>
      <c r="R348" s="803" t="n"/>
      <c r="S348" s="767" t="n"/>
      <c r="T348" s="40" t="inlineStr"/>
      <c r="U348" s="40" t="inlineStr"/>
      <c r="V348" s="41" t="inlineStr">
        <is>
          <t>кг</t>
        </is>
      </c>
      <c r="W348" s="804" t="n">
        <v>0</v>
      </c>
      <c r="X348" s="805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77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 ht="27" customHeight="1">
      <c r="A349" s="64" t="inlineStr">
        <is>
          <t>SU000246</t>
        </is>
      </c>
      <c r="B349" s="64" t="inlineStr">
        <is>
          <t>P002690</t>
        </is>
      </c>
      <c r="C349" s="37" t="n">
        <v>4301051298</v>
      </c>
      <c r="D349" s="384" t="n">
        <v>4607091384260</v>
      </c>
      <c r="E349" s="767" t="n"/>
      <c r="F349" s="801" t="n">
        <v>1.3</v>
      </c>
      <c r="G349" s="38" t="n">
        <v>6</v>
      </c>
      <c r="H349" s="801" t="n">
        <v>7.8</v>
      </c>
      <c r="I349" s="801" t="n">
        <v>8.364000000000001</v>
      </c>
      <c r="J349" s="38" t="n">
        <v>56</v>
      </c>
      <c r="K349" s="38" t="inlineStr">
        <is>
          <t>8</t>
        </is>
      </c>
      <c r="L349" s="39" t="inlineStr">
        <is>
          <t>СК2</t>
        </is>
      </c>
      <c r="M349" s="39" t="n"/>
      <c r="N349" s="38" t="n">
        <v>35</v>
      </c>
      <c r="O349" s="100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49" s="803" t="n"/>
      <c r="Q349" s="803" t="n"/>
      <c r="R349" s="803" t="n"/>
      <c r="S349" s="767" t="n"/>
      <c r="T349" s="40" t="inlineStr"/>
      <c r="U349" s="40" t="inlineStr"/>
      <c r="V349" s="41" t="inlineStr">
        <is>
          <t>кг</t>
        </is>
      </c>
      <c r="W349" s="804" t="n">
        <v>70</v>
      </c>
      <c r="X349" s="805">
        <f>IFERROR(IF(W349="",0,CEILING((W349/$H349),1)*$H349),"")</f>
        <v/>
      </c>
      <c r="Y349" s="42">
        <f>IFERROR(IF(X349=0,"",ROUNDUP(X349/H349,0)*0.02175),"")</f>
        <v/>
      </c>
      <c r="Z349" s="69" t="inlineStr"/>
      <c r="AA349" s="70" t="inlineStr"/>
      <c r="AE349" s="80" t="n"/>
      <c r="BB349" s="278" t="inlineStr">
        <is>
          <t>КИ</t>
        </is>
      </c>
      <c r="BL349" s="80">
        <f>IFERROR(W349*I349/H349,"0")</f>
        <v/>
      </c>
      <c r="BM349" s="80">
        <f>IFERROR(X349*I349/H349,"0")</f>
        <v/>
      </c>
      <c r="BN349" s="80">
        <f>IFERROR(1/J349*(W349/H349),"0")</f>
        <v/>
      </c>
      <c r="BO349" s="80">
        <f>IFERROR(1/J349*(X349/H349),"0")</f>
        <v/>
      </c>
    </row>
    <row r="350">
      <c r="A350" s="393" t="n"/>
      <c r="B350" s="381" t="n"/>
      <c r="C350" s="381" t="n"/>
      <c r="D350" s="381" t="n"/>
      <c r="E350" s="381" t="n"/>
      <c r="F350" s="381" t="n"/>
      <c r="G350" s="381" t="n"/>
      <c r="H350" s="381" t="n"/>
      <c r="I350" s="381" t="n"/>
      <c r="J350" s="381" t="n"/>
      <c r="K350" s="381" t="n"/>
      <c r="L350" s="381" t="n"/>
      <c r="M350" s="381" t="n"/>
      <c r="N350" s="807" t="n"/>
      <c r="O350" s="808" t="inlineStr">
        <is>
          <t>Итого</t>
        </is>
      </c>
      <c r="P350" s="775" t="n"/>
      <c r="Q350" s="775" t="n"/>
      <c r="R350" s="775" t="n"/>
      <c r="S350" s="775" t="n"/>
      <c r="T350" s="775" t="n"/>
      <c r="U350" s="776" t="n"/>
      <c r="V350" s="43" t="inlineStr">
        <is>
          <t>кор</t>
        </is>
      </c>
      <c r="W350" s="809">
        <f>IFERROR(W348/H348,"0")+IFERROR(W349/H349,"0")</f>
        <v/>
      </c>
      <c r="X350" s="809">
        <f>IFERROR(X348/H348,"0")+IFERROR(X349/H349,"0")</f>
        <v/>
      </c>
      <c r="Y350" s="809">
        <f>IFERROR(IF(Y348="",0,Y348),"0")+IFERROR(IF(Y349="",0,Y349),"0")</f>
        <v/>
      </c>
      <c r="Z350" s="810" t="n"/>
      <c r="AA350" s="810" t="n"/>
    </row>
    <row r="351">
      <c r="A351" s="381" t="n"/>
      <c r="B351" s="381" t="n"/>
      <c r="C351" s="381" t="n"/>
      <c r="D351" s="381" t="n"/>
      <c r="E351" s="381" t="n"/>
      <c r="F351" s="381" t="n"/>
      <c r="G351" s="381" t="n"/>
      <c r="H351" s="381" t="n"/>
      <c r="I351" s="381" t="n"/>
      <c r="J351" s="381" t="n"/>
      <c r="K351" s="381" t="n"/>
      <c r="L351" s="381" t="n"/>
      <c r="M351" s="381" t="n"/>
      <c r="N351" s="807" t="n"/>
      <c r="O351" s="808" t="inlineStr">
        <is>
          <t>Итого</t>
        </is>
      </c>
      <c r="P351" s="775" t="n"/>
      <c r="Q351" s="775" t="n"/>
      <c r="R351" s="775" t="n"/>
      <c r="S351" s="775" t="n"/>
      <c r="T351" s="775" t="n"/>
      <c r="U351" s="776" t="n"/>
      <c r="V351" s="43" t="inlineStr">
        <is>
          <t>кг</t>
        </is>
      </c>
      <c r="W351" s="809">
        <f>IFERROR(SUM(W348:W349),"0")</f>
        <v/>
      </c>
      <c r="X351" s="809">
        <f>IFERROR(SUM(X348:X349),"0")</f>
        <v/>
      </c>
      <c r="Y351" s="43" t="n"/>
      <c r="Z351" s="810" t="n"/>
      <c r="AA351" s="810" t="n"/>
    </row>
    <row r="352" ht="14.25" customHeight="1">
      <c r="A352" s="399" t="inlineStr">
        <is>
          <t>Сардельки</t>
        </is>
      </c>
      <c r="B352" s="381" t="n"/>
      <c r="C352" s="381" t="n"/>
      <c r="D352" s="381" t="n"/>
      <c r="E352" s="381" t="n"/>
      <c r="F352" s="381" t="n"/>
      <c r="G352" s="381" t="n"/>
      <c r="H352" s="381" t="n"/>
      <c r="I352" s="381" t="n"/>
      <c r="J352" s="381" t="n"/>
      <c r="K352" s="381" t="n"/>
      <c r="L352" s="381" t="n"/>
      <c r="M352" s="381" t="n"/>
      <c r="N352" s="381" t="n"/>
      <c r="O352" s="381" t="n"/>
      <c r="P352" s="381" t="n"/>
      <c r="Q352" s="381" t="n"/>
      <c r="R352" s="381" t="n"/>
      <c r="S352" s="381" t="n"/>
      <c r="T352" s="381" t="n"/>
      <c r="U352" s="381" t="n"/>
      <c r="V352" s="381" t="n"/>
      <c r="W352" s="381" t="n"/>
      <c r="X352" s="381" t="n"/>
      <c r="Y352" s="381" t="n"/>
      <c r="Z352" s="399" t="n"/>
      <c r="AA352" s="399" t="n"/>
    </row>
    <row r="353" ht="16.5" customHeight="1">
      <c r="A353" s="64" t="inlineStr">
        <is>
          <t>SU002287</t>
        </is>
      </c>
      <c r="B353" s="64" t="inlineStr">
        <is>
          <t>P002490</t>
        </is>
      </c>
      <c r="C353" s="37" t="n">
        <v>4301060314</v>
      </c>
      <c r="D353" s="384" t="n">
        <v>4607091384673</v>
      </c>
      <c r="E353" s="767" t="n"/>
      <c r="F353" s="801" t="n">
        <v>1.3</v>
      </c>
      <c r="G353" s="38" t="n">
        <v>6</v>
      </c>
      <c r="H353" s="801" t="n">
        <v>7.8</v>
      </c>
      <c r="I353" s="801" t="n">
        <v>8.364000000000001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30</v>
      </c>
      <c r="O353" s="100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3" s="803" t="n"/>
      <c r="Q353" s="803" t="n"/>
      <c r="R353" s="803" t="n"/>
      <c r="S353" s="767" t="n"/>
      <c r="T353" s="40" t="inlineStr"/>
      <c r="U353" s="40" t="inlineStr"/>
      <c r="V353" s="41" t="inlineStr">
        <is>
          <t>кг</t>
        </is>
      </c>
      <c r="W353" s="804" t="n">
        <v>30</v>
      </c>
      <c r="X353" s="805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79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>
      <c r="A354" s="393" t="n"/>
      <c r="B354" s="381" t="n"/>
      <c r="C354" s="381" t="n"/>
      <c r="D354" s="381" t="n"/>
      <c r="E354" s="381" t="n"/>
      <c r="F354" s="381" t="n"/>
      <c r="G354" s="381" t="n"/>
      <c r="H354" s="381" t="n"/>
      <c r="I354" s="381" t="n"/>
      <c r="J354" s="381" t="n"/>
      <c r="K354" s="381" t="n"/>
      <c r="L354" s="381" t="n"/>
      <c r="M354" s="381" t="n"/>
      <c r="N354" s="807" t="n"/>
      <c r="O354" s="808" t="inlineStr">
        <is>
          <t>Итого</t>
        </is>
      </c>
      <c r="P354" s="775" t="n"/>
      <c r="Q354" s="775" t="n"/>
      <c r="R354" s="775" t="n"/>
      <c r="S354" s="775" t="n"/>
      <c r="T354" s="775" t="n"/>
      <c r="U354" s="776" t="n"/>
      <c r="V354" s="43" t="inlineStr">
        <is>
          <t>кор</t>
        </is>
      </c>
      <c r="W354" s="809">
        <f>IFERROR(W353/H353,"0")</f>
        <v/>
      </c>
      <c r="X354" s="809">
        <f>IFERROR(X353/H353,"0")</f>
        <v/>
      </c>
      <c r="Y354" s="809">
        <f>IFERROR(IF(Y353="",0,Y353),"0")</f>
        <v/>
      </c>
      <c r="Z354" s="810" t="n"/>
      <c r="AA354" s="810" t="n"/>
    </row>
    <row r="355">
      <c r="A355" s="381" t="n"/>
      <c r="B355" s="381" t="n"/>
      <c r="C355" s="381" t="n"/>
      <c r="D355" s="381" t="n"/>
      <c r="E355" s="381" t="n"/>
      <c r="F355" s="381" t="n"/>
      <c r="G355" s="381" t="n"/>
      <c r="H355" s="381" t="n"/>
      <c r="I355" s="381" t="n"/>
      <c r="J355" s="381" t="n"/>
      <c r="K355" s="381" t="n"/>
      <c r="L355" s="381" t="n"/>
      <c r="M355" s="381" t="n"/>
      <c r="N355" s="807" t="n"/>
      <c r="O355" s="808" t="inlineStr">
        <is>
          <t>Итого</t>
        </is>
      </c>
      <c r="P355" s="775" t="n"/>
      <c r="Q355" s="775" t="n"/>
      <c r="R355" s="775" t="n"/>
      <c r="S355" s="775" t="n"/>
      <c r="T355" s="775" t="n"/>
      <c r="U355" s="776" t="n"/>
      <c r="V355" s="43" t="inlineStr">
        <is>
          <t>кг</t>
        </is>
      </c>
      <c r="W355" s="809">
        <f>IFERROR(SUM(W353:W353),"0")</f>
        <v/>
      </c>
      <c r="X355" s="809">
        <f>IFERROR(SUM(X353:X353),"0")</f>
        <v/>
      </c>
      <c r="Y355" s="43" t="n"/>
      <c r="Z355" s="810" t="n"/>
      <c r="AA355" s="810" t="n"/>
    </row>
    <row r="356" ht="16.5" customHeight="1">
      <c r="A356" s="421" t="inlineStr">
        <is>
          <t>Особая Без свинины</t>
        </is>
      </c>
      <c r="B356" s="381" t="n"/>
      <c r="C356" s="381" t="n"/>
      <c r="D356" s="381" t="n"/>
      <c r="E356" s="381" t="n"/>
      <c r="F356" s="381" t="n"/>
      <c r="G356" s="381" t="n"/>
      <c r="H356" s="381" t="n"/>
      <c r="I356" s="381" t="n"/>
      <c r="J356" s="381" t="n"/>
      <c r="K356" s="381" t="n"/>
      <c r="L356" s="381" t="n"/>
      <c r="M356" s="381" t="n"/>
      <c r="N356" s="381" t="n"/>
      <c r="O356" s="381" t="n"/>
      <c r="P356" s="381" t="n"/>
      <c r="Q356" s="381" t="n"/>
      <c r="R356" s="381" t="n"/>
      <c r="S356" s="381" t="n"/>
      <c r="T356" s="381" t="n"/>
      <c r="U356" s="381" t="n"/>
      <c r="V356" s="381" t="n"/>
      <c r="W356" s="381" t="n"/>
      <c r="X356" s="381" t="n"/>
      <c r="Y356" s="381" t="n"/>
      <c r="Z356" s="421" t="n"/>
      <c r="AA356" s="421" t="n"/>
    </row>
    <row r="357" ht="14.25" customHeight="1">
      <c r="A357" s="399" t="inlineStr">
        <is>
          <t>Вареные колбасы</t>
        </is>
      </c>
      <c r="B357" s="381" t="n"/>
      <c r="C357" s="381" t="n"/>
      <c r="D357" s="381" t="n"/>
      <c r="E357" s="381" t="n"/>
      <c r="F357" s="381" t="n"/>
      <c r="G357" s="381" t="n"/>
      <c r="H357" s="381" t="n"/>
      <c r="I357" s="381" t="n"/>
      <c r="J357" s="381" t="n"/>
      <c r="K357" s="381" t="n"/>
      <c r="L357" s="381" t="n"/>
      <c r="M357" s="381" t="n"/>
      <c r="N357" s="381" t="n"/>
      <c r="O357" s="381" t="n"/>
      <c r="P357" s="381" t="n"/>
      <c r="Q357" s="381" t="n"/>
      <c r="R357" s="381" t="n"/>
      <c r="S357" s="381" t="n"/>
      <c r="T357" s="381" t="n"/>
      <c r="U357" s="381" t="n"/>
      <c r="V357" s="381" t="n"/>
      <c r="W357" s="381" t="n"/>
      <c r="X357" s="381" t="n"/>
      <c r="Y357" s="381" t="n"/>
      <c r="Z357" s="399" t="n"/>
      <c r="AA357" s="399" t="n"/>
    </row>
    <row r="358" ht="37.5" customHeight="1">
      <c r="A358" s="64" t="inlineStr">
        <is>
          <t>SU002073</t>
        </is>
      </c>
      <c r="B358" s="64" t="inlineStr">
        <is>
          <t>P002563</t>
        </is>
      </c>
      <c r="C358" s="37" t="n">
        <v>4301011324</v>
      </c>
      <c r="D358" s="384" t="n">
        <v>4607091384185</v>
      </c>
      <c r="E358" s="767" t="n"/>
      <c r="F358" s="801" t="n">
        <v>0.8</v>
      </c>
      <c r="G358" s="38" t="n">
        <v>15</v>
      </c>
      <c r="H358" s="801" t="n">
        <v>12</v>
      </c>
      <c r="I358" s="801" t="n">
        <v>12.48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0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8" s="803" t="n"/>
      <c r="Q358" s="803" t="n"/>
      <c r="R358" s="803" t="n"/>
      <c r="S358" s="767" t="n"/>
      <c r="T358" s="40" t="inlineStr"/>
      <c r="U358" s="40" t="inlineStr"/>
      <c r="V358" s="41" t="inlineStr">
        <is>
          <t>кг</t>
        </is>
      </c>
      <c r="W358" s="804" t="n">
        <v>90</v>
      </c>
      <c r="X358" s="805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0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37.5" customHeight="1">
      <c r="A359" s="64" t="inlineStr">
        <is>
          <t>SU002187</t>
        </is>
      </c>
      <c r="B359" s="64" t="inlineStr">
        <is>
          <t>P002559</t>
        </is>
      </c>
      <c r="C359" s="37" t="n">
        <v>4301011312</v>
      </c>
      <c r="D359" s="384" t="n">
        <v>4607091384192</v>
      </c>
      <c r="E359" s="767" t="n"/>
      <c r="F359" s="801" t="n">
        <v>1.8</v>
      </c>
      <c r="G359" s="38" t="n">
        <v>6</v>
      </c>
      <c r="H359" s="801" t="n">
        <v>10.8</v>
      </c>
      <c r="I359" s="801" t="n">
        <v>11.28</v>
      </c>
      <c r="J359" s="38" t="n">
        <v>56</v>
      </c>
      <c r="K359" s="38" t="inlineStr">
        <is>
          <t>8</t>
        </is>
      </c>
      <c r="L359" s="39" t="inlineStr">
        <is>
          <t>СК1</t>
        </is>
      </c>
      <c r="M359" s="39" t="n"/>
      <c r="N359" s="38" t="n">
        <v>60</v>
      </c>
      <c r="O359" s="100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9" s="803" t="n"/>
      <c r="Q359" s="803" t="n"/>
      <c r="R359" s="803" t="n"/>
      <c r="S359" s="767" t="n"/>
      <c r="T359" s="40" t="inlineStr"/>
      <c r="U359" s="40" t="inlineStr"/>
      <c r="V359" s="41" t="inlineStr">
        <is>
          <t>кг</t>
        </is>
      </c>
      <c r="W359" s="804" t="n">
        <v>0</v>
      </c>
      <c r="X359" s="805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1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27" customHeight="1">
      <c r="A360" s="64" t="inlineStr">
        <is>
          <t>SU002899</t>
        </is>
      </c>
      <c r="B360" s="64" t="inlineStr">
        <is>
          <t>P003323</t>
        </is>
      </c>
      <c r="C360" s="37" t="n">
        <v>4301011483</v>
      </c>
      <c r="D360" s="384" t="n">
        <v>4680115881907</v>
      </c>
      <c r="E360" s="767" t="n"/>
      <c r="F360" s="801" t="n">
        <v>1.8</v>
      </c>
      <c r="G360" s="38" t="n">
        <v>6</v>
      </c>
      <c r="H360" s="801" t="n">
        <v>10.8</v>
      </c>
      <c r="I360" s="801" t="n">
        <v>11.28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9" t="n"/>
      <c r="N360" s="38" t="n">
        <v>60</v>
      </c>
      <c r="O360" s="10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0" s="803" t="n"/>
      <c r="Q360" s="803" t="n"/>
      <c r="R360" s="803" t="n"/>
      <c r="S360" s="767" t="n"/>
      <c r="T360" s="40" t="inlineStr"/>
      <c r="U360" s="40" t="inlineStr"/>
      <c r="V360" s="41" t="inlineStr">
        <is>
          <t>кг</t>
        </is>
      </c>
      <c r="W360" s="804" t="n">
        <v>0</v>
      </c>
      <c r="X360" s="805">
        <f>IFERROR(IF(W360="",0,CEILING((W360/$H360),1)*$H360),"")</f>
        <v/>
      </c>
      <c r="Y360" s="42">
        <f>IFERROR(IF(X360=0,"",ROUNDUP(X360/H360,0)*0.02175),"")</f>
        <v/>
      </c>
      <c r="Z360" s="69" t="inlineStr"/>
      <c r="AA360" s="70" t="inlineStr"/>
      <c r="AE360" s="80" t="n"/>
      <c r="BB360" s="282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SU003226</t>
        </is>
      </c>
      <c r="B361" s="64" t="inlineStr">
        <is>
          <t>P003844</t>
        </is>
      </c>
      <c r="C361" s="37" t="n">
        <v>4301011655</v>
      </c>
      <c r="D361" s="384" t="n">
        <v>4680115883925</v>
      </c>
      <c r="E361" s="767" t="n"/>
      <c r="F361" s="801" t="n">
        <v>2.5</v>
      </c>
      <c r="G361" s="38" t="n">
        <v>6</v>
      </c>
      <c r="H361" s="801" t="n">
        <v>15</v>
      </c>
      <c r="I361" s="801" t="n">
        <v>15.48</v>
      </c>
      <c r="J361" s="38" t="n">
        <v>48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1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1" s="803" t="n"/>
      <c r="Q361" s="803" t="n"/>
      <c r="R361" s="803" t="n"/>
      <c r="S361" s="767" t="n"/>
      <c r="T361" s="40" t="inlineStr"/>
      <c r="U361" s="40" t="inlineStr"/>
      <c r="V361" s="41" t="inlineStr">
        <is>
          <t>кг</t>
        </is>
      </c>
      <c r="W361" s="804" t="n">
        <v>0</v>
      </c>
      <c r="X361" s="805">
        <f>IFERROR(IF(W361="",0,CEILING((W361/$H361),1)*$H361),"")</f>
        <v/>
      </c>
      <c r="Y361" s="42">
        <f>IFERROR(IF(X361=0,"",ROUNDUP(X361/H361,0)*0.02175),"")</f>
        <v/>
      </c>
      <c r="Z361" s="69" t="inlineStr"/>
      <c r="AA361" s="70" t="inlineStr"/>
      <c r="AE361" s="80" t="n"/>
      <c r="BB361" s="283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 ht="37.5" customHeight="1">
      <c r="A362" s="64" t="inlineStr">
        <is>
          <t>SU002462</t>
        </is>
      </c>
      <c r="B362" s="64" t="inlineStr">
        <is>
          <t>P002768</t>
        </is>
      </c>
      <c r="C362" s="37" t="n">
        <v>4301011303</v>
      </c>
      <c r="D362" s="384" t="n">
        <v>4607091384680</v>
      </c>
      <c r="E362" s="767" t="n"/>
      <c r="F362" s="801" t="n">
        <v>0.4</v>
      </c>
      <c r="G362" s="38" t="n">
        <v>10</v>
      </c>
      <c r="H362" s="801" t="n">
        <v>4</v>
      </c>
      <c r="I362" s="801" t="n">
        <v>4.21</v>
      </c>
      <c r="J362" s="38" t="n">
        <v>120</v>
      </c>
      <c r="K362" s="38" t="inlineStr">
        <is>
          <t>12</t>
        </is>
      </c>
      <c r="L362" s="39" t="inlineStr">
        <is>
          <t>СК2</t>
        </is>
      </c>
      <c r="M362" s="39" t="n"/>
      <c r="N362" s="38" t="n">
        <v>60</v>
      </c>
      <c r="O362" s="10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2" s="803" t="n"/>
      <c r="Q362" s="803" t="n"/>
      <c r="R362" s="803" t="n"/>
      <c r="S362" s="767" t="n"/>
      <c r="T362" s="40" t="inlineStr"/>
      <c r="U362" s="40" t="inlineStr"/>
      <c r="V362" s="41" t="inlineStr">
        <is>
          <t>кг</t>
        </is>
      </c>
      <c r="W362" s="804" t="n">
        <v>0</v>
      </c>
      <c r="X362" s="805">
        <f>IFERROR(IF(W362="",0,CEILING((W362/$H362),1)*$H362),"")</f>
        <v/>
      </c>
      <c r="Y362" s="42">
        <f>IFERROR(IF(X362=0,"",ROUNDUP(X362/H362,0)*0.00937),"")</f>
        <v/>
      </c>
      <c r="Z362" s="69" t="inlineStr"/>
      <c r="AA362" s="70" t="inlineStr"/>
      <c r="AE362" s="80" t="n"/>
      <c r="BB362" s="284" t="inlineStr">
        <is>
          <t>КИ</t>
        </is>
      </c>
      <c r="BL362" s="80">
        <f>IFERROR(W362*I362/H362,"0")</f>
        <v/>
      </c>
      <c r="BM362" s="80">
        <f>IFERROR(X362*I362/H362,"0")</f>
        <v/>
      </c>
      <c r="BN362" s="80">
        <f>IFERROR(1/J362*(W362/H362),"0")</f>
        <v/>
      </c>
      <c r="BO362" s="80">
        <f>IFERROR(1/J362*(X362/H362),"0")</f>
        <v/>
      </c>
    </row>
    <row r="363">
      <c r="A363" s="393" t="n"/>
      <c r="B363" s="381" t="n"/>
      <c r="C363" s="381" t="n"/>
      <c r="D363" s="381" t="n"/>
      <c r="E363" s="381" t="n"/>
      <c r="F363" s="381" t="n"/>
      <c r="G363" s="381" t="n"/>
      <c r="H363" s="381" t="n"/>
      <c r="I363" s="381" t="n"/>
      <c r="J363" s="381" t="n"/>
      <c r="K363" s="381" t="n"/>
      <c r="L363" s="381" t="n"/>
      <c r="M363" s="381" t="n"/>
      <c r="N363" s="807" t="n"/>
      <c r="O363" s="808" t="inlineStr">
        <is>
          <t>Итого</t>
        </is>
      </c>
      <c r="P363" s="775" t="n"/>
      <c r="Q363" s="775" t="n"/>
      <c r="R363" s="775" t="n"/>
      <c r="S363" s="775" t="n"/>
      <c r="T363" s="775" t="n"/>
      <c r="U363" s="776" t="n"/>
      <c r="V363" s="43" t="inlineStr">
        <is>
          <t>кор</t>
        </is>
      </c>
      <c r="W363" s="809">
        <f>IFERROR(W358/H358,"0")+IFERROR(W359/H359,"0")+IFERROR(W360/H360,"0")+IFERROR(W361/H361,"0")+IFERROR(W362/H362,"0")</f>
        <v/>
      </c>
      <c r="X363" s="809">
        <f>IFERROR(X358/H358,"0")+IFERROR(X359/H359,"0")+IFERROR(X360/H360,"0")+IFERROR(X361/H361,"0")+IFERROR(X362/H362,"0")</f>
        <v/>
      </c>
      <c r="Y363" s="809">
        <f>IFERROR(IF(Y358="",0,Y358),"0")+IFERROR(IF(Y359="",0,Y359),"0")+IFERROR(IF(Y360="",0,Y360),"0")+IFERROR(IF(Y361="",0,Y361),"0")+IFERROR(IF(Y362="",0,Y362),"0")</f>
        <v/>
      </c>
      <c r="Z363" s="810" t="n"/>
      <c r="AA363" s="810" t="n"/>
    </row>
    <row r="364">
      <c r="A364" s="381" t="n"/>
      <c r="B364" s="381" t="n"/>
      <c r="C364" s="381" t="n"/>
      <c r="D364" s="381" t="n"/>
      <c r="E364" s="381" t="n"/>
      <c r="F364" s="381" t="n"/>
      <c r="G364" s="381" t="n"/>
      <c r="H364" s="381" t="n"/>
      <c r="I364" s="381" t="n"/>
      <c r="J364" s="381" t="n"/>
      <c r="K364" s="381" t="n"/>
      <c r="L364" s="381" t="n"/>
      <c r="M364" s="381" t="n"/>
      <c r="N364" s="807" t="n"/>
      <c r="O364" s="808" t="inlineStr">
        <is>
          <t>Итого</t>
        </is>
      </c>
      <c r="P364" s="775" t="n"/>
      <c r="Q364" s="775" t="n"/>
      <c r="R364" s="775" t="n"/>
      <c r="S364" s="775" t="n"/>
      <c r="T364" s="775" t="n"/>
      <c r="U364" s="776" t="n"/>
      <c r="V364" s="43" t="inlineStr">
        <is>
          <t>кг</t>
        </is>
      </c>
      <c r="W364" s="809">
        <f>IFERROR(SUM(W358:W362),"0")</f>
        <v/>
      </c>
      <c r="X364" s="809">
        <f>IFERROR(SUM(X358:X362),"0")</f>
        <v/>
      </c>
      <c r="Y364" s="43" t="n"/>
      <c r="Z364" s="810" t="n"/>
      <c r="AA364" s="810" t="n"/>
    </row>
    <row r="365" ht="14.25" customHeight="1">
      <c r="A365" s="399" t="inlineStr">
        <is>
          <t>Копченые колбасы</t>
        </is>
      </c>
      <c r="B365" s="381" t="n"/>
      <c r="C365" s="381" t="n"/>
      <c r="D365" s="381" t="n"/>
      <c r="E365" s="381" t="n"/>
      <c r="F365" s="381" t="n"/>
      <c r="G365" s="381" t="n"/>
      <c r="H365" s="381" t="n"/>
      <c r="I365" s="381" t="n"/>
      <c r="J365" s="381" t="n"/>
      <c r="K365" s="381" t="n"/>
      <c r="L365" s="381" t="n"/>
      <c r="M365" s="381" t="n"/>
      <c r="N365" s="381" t="n"/>
      <c r="O365" s="381" t="n"/>
      <c r="P365" s="381" t="n"/>
      <c r="Q365" s="381" t="n"/>
      <c r="R365" s="381" t="n"/>
      <c r="S365" s="381" t="n"/>
      <c r="T365" s="381" t="n"/>
      <c r="U365" s="381" t="n"/>
      <c r="V365" s="381" t="n"/>
      <c r="W365" s="381" t="n"/>
      <c r="X365" s="381" t="n"/>
      <c r="Y365" s="381" t="n"/>
      <c r="Z365" s="399" t="n"/>
      <c r="AA365" s="399" t="n"/>
    </row>
    <row r="366" ht="27" customHeight="1">
      <c r="A366" s="64" t="inlineStr">
        <is>
          <t>SU002360</t>
        </is>
      </c>
      <c r="B366" s="64" t="inlineStr">
        <is>
          <t>P002629</t>
        </is>
      </c>
      <c r="C366" s="37" t="n">
        <v>4301031139</v>
      </c>
      <c r="D366" s="384" t="n">
        <v>4607091384802</v>
      </c>
      <c r="E366" s="767" t="n"/>
      <c r="F366" s="801" t="n">
        <v>0.73</v>
      </c>
      <c r="G366" s="38" t="n">
        <v>6</v>
      </c>
      <c r="H366" s="801" t="n">
        <v>4.38</v>
      </c>
      <c r="I366" s="801" t="n">
        <v>4.58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9" t="n"/>
      <c r="N366" s="38" t="n">
        <v>35</v>
      </c>
      <c r="O366" s="101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6" s="803" t="n"/>
      <c r="Q366" s="803" t="n"/>
      <c r="R366" s="803" t="n"/>
      <c r="S366" s="767" t="n"/>
      <c r="T366" s="40" t="inlineStr"/>
      <c r="U366" s="40" t="inlineStr"/>
      <c r="V366" s="41" t="inlineStr">
        <is>
          <t>кг</t>
        </is>
      </c>
      <c r="W366" s="804" t="n">
        <v>0</v>
      </c>
      <c r="X366" s="805">
        <f>IFERROR(IF(W366="",0,CEILING((W366/$H366),1)*$H366),"")</f>
        <v/>
      </c>
      <c r="Y366" s="42">
        <f>IFERROR(IF(X366=0,"",ROUNDUP(X366/H366,0)*0.00753),"")</f>
        <v/>
      </c>
      <c r="Z366" s="69" t="inlineStr"/>
      <c r="AA366" s="70" t="inlineStr"/>
      <c r="AE366" s="80" t="n"/>
      <c r="BB366" s="285" t="inlineStr">
        <is>
          <t>КИ</t>
        </is>
      </c>
      <c r="BL366" s="80">
        <f>IFERROR(W366*I366/H366,"0")</f>
        <v/>
      </c>
      <c r="BM366" s="80">
        <f>IFERROR(X366*I366/H366,"0")</f>
        <v/>
      </c>
      <c r="BN366" s="80">
        <f>IFERROR(1/J366*(W366/H366),"0")</f>
        <v/>
      </c>
      <c r="BO366" s="80">
        <f>IFERROR(1/J366*(X366/H366),"0")</f>
        <v/>
      </c>
    </row>
    <row r="367" ht="27" customHeight="1">
      <c r="A367" s="64" t="inlineStr">
        <is>
          <t>SU002361</t>
        </is>
      </c>
      <c r="B367" s="64" t="inlineStr">
        <is>
          <t>P002630</t>
        </is>
      </c>
      <c r="C367" s="37" t="n">
        <v>4301031140</v>
      </c>
      <c r="D367" s="384" t="n">
        <v>4607091384826</v>
      </c>
      <c r="E367" s="767" t="n"/>
      <c r="F367" s="801" t="n">
        <v>0.35</v>
      </c>
      <c r="G367" s="38" t="n">
        <v>8</v>
      </c>
      <c r="H367" s="801" t="n">
        <v>2.8</v>
      </c>
      <c r="I367" s="801" t="n">
        <v>2.9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9" t="n"/>
      <c r="N367" s="38" t="n">
        <v>35</v>
      </c>
      <c r="O367" s="101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7" s="803" t="n"/>
      <c r="Q367" s="803" t="n"/>
      <c r="R367" s="803" t="n"/>
      <c r="S367" s="767" t="n"/>
      <c r="T367" s="40" t="inlineStr"/>
      <c r="U367" s="40" t="inlineStr"/>
      <c r="V367" s="41" t="inlineStr">
        <is>
          <t>кг</t>
        </is>
      </c>
      <c r="W367" s="804" t="n">
        <v>0</v>
      </c>
      <c r="X367" s="805">
        <f>IFERROR(IF(W367="",0,CEILING((W367/$H367),1)*$H367),"")</f>
        <v/>
      </c>
      <c r="Y367" s="42">
        <f>IFERROR(IF(X367=0,"",ROUNDUP(X367/H367,0)*0.00502),"")</f>
        <v/>
      </c>
      <c r="Z367" s="69" t="inlineStr"/>
      <c r="AA367" s="70" t="inlineStr"/>
      <c r="AE367" s="80" t="n"/>
      <c r="BB367" s="286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>
      <c r="A368" s="393" t="n"/>
      <c r="B368" s="381" t="n"/>
      <c r="C368" s="381" t="n"/>
      <c r="D368" s="381" t="n"/>
      <c r="E368" s="381" t="n"/>
      <c r="F368" s="381" t="n"/>
      <c r="G368" s="381" t="n"/>
      <c r="H368" s="381" t="n"/>
      <c r="I368" s="381" t="n"/>
      <c r="J368" s="381" t="n"/>
      <c r="K368" s="381" t="n"/>
      <c r="L368" s="381" t="n"/>
      <c r="M368" s="381" t="n"/>
      <c r="N368" s="807" t="n"/>
      <c r="O368" s="808" t="inlineStr">
        <is>
          <t>Итого</t>
        </is>
      </c>
      <c r="P368" s="775" t="n"/>
      <c r="Q368" s="775" t="n"/>
      <c r="R368" s="775" t="n"/>
      <c r="S368" s="775" t="n"/>
      <c r="T368" s="775" t="n"/>
      <c r="U368" s="776" t="n"/>
      <c r="V368" s="43" t="inlineStr">
        <is>
          <t>кор</t>
        </is>
      </c>
      <c r="W368" s="809">
        <f>IFERROR(W366/H366,"0")+IFERROR(W367/H367,"0")</f>
        <v/>
      </c>
      <c r="X368" s="809">
        <f>IFERROR(X366/H366,"0")+IFERROR(X367/H367,"0")</f>
        <v/>
      </c>
      <c r="Y368" s="809">
        <f>IFERROR(IF(Y366="",0,Y366),"0")+IFERROR(IF(Y367="",0,Y367),"0")</f>
        <v/>
      </c>
      <c r="Z368" s="810" t="n"/>
      <c r="AA368" s="810" t="n"/>
    </row>
    <row r="369">
      <c r="A369" s="381" t="n"/>
      <c r="B369" s="381" t="n"/>
      <c r="C369" s="381" t="n"/>
      <c r="D369" s="381" t="n"/>
      <c r="E369" s="381" t="n"/>
      <c r="F369" s="381" t="n"/>
      <c r="G369" s="381" t="n"/>
      <c r="H369" s="381" t="n"/>
      <c r="I369" s="381" t="n"/>
      <c r="J369" s="381" t="n"/>
      <c r="K369" s="381" t="n"/>
      <c r="L369" s="381" t="n"/>
      <c r="M369" s="381" t="n"/>
      <c r="N369" s="807" t="n"/>
      <c r="O369" s="808" t="inlineStr">
        <is>
          <t>Итого</t>
        </is>
      </c>
      <c r="P369" s="775" t="n"/>
      <c r="Q369" s="775" t="n"/>
      <c r="R369" s="775" t="n"/>
      <c r="S369" s="775" t="n"/>
      <c r="T369" s="775" t="n"/>
      <c r="U369" s="776" t="n"/>
      <c r="V369" s="43" t="inlineStr">
        <is>
          <t>кг</t>
        </is>
      </c>
      <c r="W369" s="809">
        <f>IFERROR(SUM(W366:W367),"0")</f>
        <v/>
      </c>
      <c r="X369" s="809">
        <f>IFERROR(SUM(X366:X367),"0")</f>
        <v/>
      </c>
      <c r="Y369" s="43" t="n"/>
      <c r="Z369" s="810" t="n"/>
      <c r="AA369" s="810" t="n"/>
    </row>
    <row r="370" ht="14.25" customHeight="1">
      <c r="A370" s="399" t="inlineStr">
        <is>
          <t>Сосиски</t>
        </is>
      </c>
      <c r="B370" s="381" t="n"/>
      <c r="C370" s="381" t="n"/>
      <c r="D370" s="381" t="n"/>
      <c r="E370" s="381" t="n"/>
      <c r="F370" s="381" t="n"/>
      <c r="G370" s="381" t="n"/>
      <c r="H370" s="381" t="n"/>
      <c r="I370" s="381" t="n"/>
      <c r="J370" s="381" t="n"/>
      <c r="K370" s="381" t="n"/>
      <c r="L370" s="381" t="n"/>
      <c r="M370" s="381" t="n"/>
      <c r="N370" s="381" t="n"/>
      <c r="O370" s="381" t="n"/>
      <c r="P370" s="381" t="n"/>
      <c r="Q370" s="381" t="n"/>
      <c r="R370" s="381" t="n"/>
      <c r="S370" s="381" t="n"/>
      <c r="T370" s="381" t="n"/>
      <c r="U370" s="381" t="n"/>
      <c r="V370" s="381" t="n"/>
      <c r="W370" s="381" t="n"/>
      <c r="X370" s="381" t="n"/>
      <c r="Y370" s="381" t="n"/>
      <c r="Z370" s="399" t="n"/>
      <c r="AA370" s="399" t="n"/>
    </row>
    <row r="371" ht="27" customHeight="1">
      <c r="A371" s="64" t="inlineStr">
        <is>
          <t>SU002074</t>
        </is>
      </c>
      <c r="B371" s="64" t="inlineStr">
        <is>
          <t>P002693</t>
        </is>
      </c>
      <c r="C371" s="37" t="n">
        <v>4301051303</v>
      </c>
      <c r="D371" s="384" t="n">
        <v>4607091384246</v>
      </c>
      <c r="E371" s="767" t="n"/>
      <c r="F371" s="801" t="n">
        <v>1.3</v>
      </c>
      <c r="G371" s="38" t="n">
        <v>6</v>
      </c>
      <c r="H371" s="801" t="n">
        <v>7.8</v>
      </c>
      <c r="I371" s="801" t="n">
        <v>8.364000000000001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9" t="n"/>
      <c r="N371" s="38" t="n">
        <v>40</v>
      </c>
      <c r="O371" s="101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1" s="803" t="n"/>
      <c r="Q371" s="803" t="n"/>
      <c r="R371" s="803" t="n"/>
      <c r="S371" s="767" t="n"/>
      <c r="T371" s="40" t="inlineStr"/>
      <c r="U371" s="40" t="inlineStr"/>
      <c r="V371" s="41" t="inlineStr">
        <is>
          <t>кг</t>
        </is>
      </c>
      <c r="W371" s="804" t="n">
        <v>40</v>
      </c>
      <c r="X371" s="805">
        <f>IFERROR(IF(W371="",0,CEILING((W371/$H371),1)*$H371),"")</f>
        <v/>
      </c>
      <c r="Y371" s="42">
        <f>IFERROR(IF(X371=0,"",ROUNDUP(X371/H371,0)*0.02175),"")</f>
        <v/>
      </c>
      <c r="Z371" s="69" t="inlineStr"/>
      <c r="AA371" s="70" t="inlineStr"/>
      <c r="AE371" s="80" t="n"/>
      <c r="BB371" s="287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SU002896</t>
        </is>
      </c>
      <c r="B372" s="64" t="inlineStr">
        <is>
          <t>P003330</t>
        </is>
      </c>
      <c r="C372" s="37" t="n">
        <v>4301051445</v>
      </c>
      <c r="D372" s="384" t="n">
        <v>4680115881976</v>
      </c>
      <c r="E372" s="767" t="n"/>
      <c r="F372" s="801" t="n">
        <v>1.3</v>
      </c>
      <c r="G372" s="38" t="n">
        <v>6</v>
      </c>
      <c r="H372" s="801" t="n">
        <v>7.8</v>
      </c>
      <c r="I372" s="801" t="n">
        <v>8.279999999999999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9" t="n"/>
      <c r="N372" s="38" t="n">
        <v>40</v>
      </c>
      <c r="O372" s="101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2" s="803" t="n"/>
      <c r="Q372" s="803" t="n"/>
      <c r="R372" s="803" t="n"/>
      <c r="S372" s="767" t="n"/>
      <c r="T372" s="40" t="inlineStr"/>
      <c r="U372" s="40" t="inlineStr"/>
      <c r="V372" s="41" t="inlineStr">
        <is>
          <t>кг</t>
        </is>
      </c>
      <c r="W372" s="804" t="n">
        <v>0</v>
      </c>
      <c r="X372" s="805">
        <f>IFERROR(IF(W372="",0,CEILING((W372/$H372),1)*$H372),"")</f>
        <v/>
      </c>
      <c r="Y372" s="42">
        <f>IFERROR(IF(X372=0,"",ROUNDUP(X372/H372,0)*0.02175),"")</f>
        <v/>
      </c>
      <c r="Z372" s="69" t="inlineStr"/>
      <c r="AA372" s="70" t="inlineStr"/>
      <c r="AE372" s="80" t="n"/>
      <c r="BB372" s="288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SU002205</t>
        </is>
      </c>
      <c r="B373" s="64" t="inlineStr">
        <is>
          <t>P002694</t>
        </is>
      </c>
      <c r="C373" s="37" t="n">
        <v>4301051297</v>
      </c>
      <c r="D373" s="384" t="n">
        <v>4607091384253</v>
      </c>
      <c r="E373" s="767" t="n"/>
      <c r="F373" s="801" t="n">
        <v>0.4</v>
      </c>
      <c r="G373" s="38" t="n">
        <v>6</v>
      </c>
      <c r="H373" s="801" t="n">
        <v>2.4</v>
      </c>
      <c r="I373" s="801" t="n">
        <v>2.684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40</v>
      </c>
      <c r="O373" s="101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3" s="803" t="n"/>
      <c r="Q373" s="803" t="n"/>
      <c r="R373" s="803" t="n"/>
      <c r="S373" s="767" t="n"/>
      <c r="T373" s="40" t="inlineStr"/>
      <c r="U373" s="40" t="inlineStr"/>
      <c r="V373" s="41" t="inlineStr">
        <is>
          <t>кг</t>
        </is>
      </c>
      <c r="W373" s="804" t="n">
        <v>0</v>
      </c>
      <c r="X373" s="805">
        <f>IFERROR(IF(W373="",0,CEILING((W373/$H373),1)*$H373),"")</f>
        <v/>
      </c>
      <c r="Y373" s="42">
        <f>IFERROR(IF(X373=0,"",ROUNDUP(X373/H373,0)*0.00753),"")</f>
        <v/>
      </c>
      <c r="Z373" s="69" t="inlineStr"/>
      <c r="AA373" s="70" t="inlineStr"/>
      <c r="AE373" s="80" t="n"/>
      <c r="BB373" s="289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SU002895</t>
        </is>
      </c>
      <c r="B374" s="64" t="inlineStr">
        <is>
          <t>P003329</t>
        </is>
      </c>
      <c r="C374" s="37" t="n">
        <v>4301051444</v>
      </c>
      <c r="D374" s="384" t="n">
        <v>4680115881969</v>
      </c>
      <c r="E374" s="767" t="n"/>
      <c r="F374" s="801" t="n">
        <v>0.4</v>
      </c>
      <c r="G374" s="38" t="n">
        <v>6</v>
      </c>
      <c r="H374" s="801" t="n">
        <v>2.4</v>
      </c>
      <c r="I374" s="801" t="n">
        <v>2.6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9" t="n"/>
      <c r="N374" s="38" t="n">
        <v>40</v>
      </c>
      <c r="O374" s="101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4" s="803" t="n"/>
      <c r="Q374" s="803" t="n"/>
      <c r="R374" s="803" t="n"/>
      <c r="S374" s="767" t="n"/>
      <c r="T374" s="40" t="inlineStr"/>
      <c r="U374" s="40" t="inlineStr"/>
      <c r="V374" s="41" t="inlineStr">
        <is>
          <t>кг</t>
        </is>
      </c>
      <c r="W374" s="804" t="n">
        <v>0</v>
      </c>
      <c r="X374" s="805">
        <f>IFERROR(IF(W374="",0,CEILING((W374/$H374),1)*$H374),"")</f>
        <v/>
      </c>
      <c r="Y374" s="42">
        <f>IFERROR(IF(X374=0,"",ROUNDUP(X374/H374,0)*0.00753),"")</f>
        <v/>
      </c>
      <c r="Z374" s="69" t="inlineStr"/>
      <c r="AA374" s="70" t="inlineStr"/>
      <c r="AE374" s="80" t="n"/>
      <c r="BB374" s="290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>
      <c r="A375" s="393" t="n"/>
      <c r="B375" s="381" t="n"/>
      <c r="C375" s="381" t="n"/>
      <c r="D375" s="381" t="n"/>
      <c r="E375" s="381" t="n"/>
      <c r="F375" s="381" t="n"/>
      <c r="G375" s="381" t="n"/>
      <c r="H375" s="381" t="n"/>
      <c r="I375" s="381" t="n"/>
      <c r="J375" s="381" t="n"/>
      <c r="K375" s="381" t="n"/>
      <c r="L375" s="381" t="n"/>
      <c r="M375" s="381" t="n"/>
      <c r="N375" s="807" t="n"/>
      <c r="O375" s="808" t="inlineStr">
        <is>
          <t>Итого</t>
        </is>
      </c>
      <c r="P375" s="775" t="n"/>
      <c r="Q375" s="775" t="n"/>
      <c r="R375" s="775" t="n"/>
      <c r="S375" s="775" t="n"/>
      <c r="T375" s="775" t="n"/>
      <c r="U375" s="776" t="n"/>
      <c r="V375" s="43" t="inlineStr">
        <is>
          <t>кор</t>
        </is>
      </c>
      <c r="W375" s="809">
        <f>IFERROR(W371/H371,"0")+IFERROR(W372/H372,"0")+IFERROR(W373/H373,"0")+IFERROR(W374/H374,"0")</f>
        <v/>
      </c>
      <c r="X375" s="809">
        <f>IFERROR(X371/H371,"0")+IFERROR(X372/H372,"0")+IFERROR(X373/H373,"0")+IFERROR(X374/H374,"0")</f>
        <v/>
      </c>
      <c r="Y375" s="809">
        <f>IFERROR(IF(Y371="",0,Y371),"0")+IFERROR(IF(Y372="",0,Y372),"0")+IFERROR(IF(Y373="",0,Y373),"0")+IFERROR(IF(Y374="",0,Y374),"0")</f>
        <v/>
      </c>
      <c r="Z375" s="810" t="n"/>
      <c r="AA375" s="810" t="n"/>
    </row>
    <row r="376">
      <c r="A376" s="381" t="n"/>
      <c r="B376" s="381" t="n"/>
      <c r="C376" s="381" t="n"/>
      <c r="D376" s="381" t="n"/>
      <c r="E376" s="381" t="n"/>
      <c r="F376" s="381" t="n"/>
      <c r="G376" s="381" t="n"/>
      <c r="H376" s="381" t="n"/>
      <c r="I376" s="381" t="n"/>
      <c r="J376" s="381" t="n"/>
      <c r="K376" s="381" t="n"/>
      <c r="L376" s="381" t="n"/>
      <c r="M376" s="381" t="n"/>
      <c r="N376" s="807" t="n"/>
      <c r="O376" s="808" t="inlineStr">
        <is>
          <t>Итого</t>
        </is>
      </c>
      <c r="P376" s="775" t="n"/>
      <c r="Q376" s="775" t="n"/>
      <c r="R376" s="775" t="n"/>
      <c r="S376" s="775" t="n"/>
      <c r="T376" s="775" t="n"/>
      <c r="U376" s="776" t="n"/>
      <c r="V376" s="43" t="inlineStr">
        <is>
          <t>кг</t>
        </is>
      </c>
      <c r="W376" s="809">
        <f>IFERROR(SUM(W371:W374),"0")</f>
        <v/>
      </c>
      <c r="X376" s="809">
        <f>IFERROR(SUM(X371:X374),"0")</f>
        <v/>
      </c>
      <c r="Y376" s="43" t="n"/>
      <c r="Z376" s="810" t="n"/>
      <c r="AA376" s="810" t="n"/>
    </row>
    <row r="377" ht="14.25" customHeight="1">
      <c r="A377" s="399" t="inlineStr">
        <is>
          <t>Сардельки</t>
        </is>
      </c>
      <c r="B377" s="381" t="n"/>
      <c r="C377" s="381" t="n"/>
      <c r="D377" s="381" t="n"/>
      <c r="E377" s="381" t="n"/>
      <c r="F377" s="381" t="n"/>
      <c r="G377" s="381" t="n"/>
      <c r="H377" s="381" t="n"/>
      <c r="I377" s="381" t="n"/>
      <c r="J377" s="381" t="n"/>
      <c r="K377" s="381" t="n"/>
      <c r="L377" s="381" t="n"/>
      <c r="M377" s="381" t="n"/>
      <c r="N377" s="381" t="n"/>
      <c r="O377" s="381" t="n"/>
      <c r="P377" s="381" t="n"/>
      <c r="Q377" s="381" t="n"/>
      <c r="R377" s="381" t="n"/>
      <c r="S377" s="381" t="n"/>
      <c r="T377" s="381" t="n"/>
      <c r="U377" s="381" t="n"/>
      <c r="V377" s="381" t="n"/>
      <c r="W377" s="381" t="n"/>
      <c r="X377" s="381" t="n"/>
      <c r="Y377" s="381" t="n"/>
      <c r="Z377" s="399" t="n"/>
      <c r="AA377" s="399" t="n"/>
    </row>
    <row r="378" ht="27" customHeight="1">
      <c r="A378" s="64" t="inlineStr">
        <is>
          <t>SU002472</t>
        </is>
      </c>
      <c r="B378" s="64" t="inlineStr">
        <is>
          <t>P002973</t>
        </is>
      </c>
      <c r="C378" s="37" t="n">
        <v>4301060322</v>
      </c>
      <c r="D378" s="384" t="n">
        <v>4607091389357</v>
      </c>
      <c r="E378" s="767" t="n"/>
      <c r="F378" s="801" t="n">
        <v>1.3</v>
      </c>
      <c r="G378" s="38" t="n">
        <v>6</v>
      </c>
      <c r="H378" s="801" t="n">
        <v>7.8</v>
      </c>
      <c r="I378" s="801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1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8" s="803" t="n"/>
      <c r="Q378" s="803" t="n"/>
      <c r="R378" s="803" t="n"/>
      <c r="S378" s="767" t="n"/>
      <c r="T378" s="40" t="inlineStr"/>
      <c r="U378" s="40" t="inlineStr"/>
      <c r="V378" s="41" t="inlineStr">
        <is>
          <t>кг</t>
        </is>
      </c>
      <c r="W378" s="804" t="n">
        <v>0</v>
      </c>
      <c r="X378" s="805">
        <f>IFERROR(IF(W378="",0,CEILING((W378/$H378),1)*$H378),"")</f>
        <v/>
      </c>
      <c r="Y378" s="42">
        <f>IFERROR(IF(X378=0,"",ROUNDUP(X378/H378,0)*0.02175),"")</f>
        <v/>
      </c>
      <c r="Z378" s="69" t="inlineStr"/>
      <c r="AA378" s="70" t="inlineStr"/>
      <c r="AE378" s="80" t="n"/>
      <c r="BB378" s="291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>
      <c r="A379" s="393" t="n"/>
      <c r="B379" s="381" t="n"/>
      <c r="C379" s="381" t="n"/>
      <c r="D379" s="381" t="n"/>
      <c r="E379" s="381" t="n"/>
      <c r="F379" s="381" t="n"/>
      <c r="G379" s="381" t="n"/>
      <c r="H379" s="381" t="n"/>
      <c r="I379" s="381" t="n"/>
      <c r="J379" s="381" t="n"/>
      <c r="K379" s="381" t="n"/>
      <c r="L379" s="381" t="n"/>
      <c r="M379" s="381" t="n"/>
      <c r="N379" s="807" t="n"/>
      <c r="O379" s="808" t="inlineStr">
        <is>
          <t>Итого</t>
        </is>
      </c>
      <c r="P379" s="775" t="n"/>
      <c r="Q379" s="775" t="n"/>
      <c r="R379" s="775" t="n"/>
      <c r="S379" s="775" t="n"/>
      <c r="T379" s="775" t="n"/>
      <c r="U379" s="776" t="n"/>
      <c r="V379" s="43" t="inlineStr">
        <is>
          <t>кор</t>
        </is>
      </c>
      <c r="W379" s="809">
        <f>IFERROR(W378/H378,"0")</f>
        <v/>
      </c>
      <c r="X379" s="809">
        <f>IFERROR(X378/H378,"0")</f>
        <v/>
      </c>
      <c r="Y379" s="809">
        <f>IFERROR(IF(Y378="",0,Y378),"0")</f>
        <v/>
      </c>
      <c r="Z379" s="810" t="n"/>
      <c r="AA379" s="810" t="n"/>
    </row>
    <row r="380">
      <c r="A380" s="381" t="n"/>
      <c r="B380" s="381" t="n"/>
      <c r="C380" s="381" t="n"/>
      <c r="D380" s="381" t="n"/>
      <c r="E380" s="381" t="n"/>
      <c r="F380" s="381" t="n"/>
      <c r="G380" s="381" t="n"/>
      <c r="H380" s="381" t="n"/>
      <c r="I380" s="381" t="n"/>
      <c r="J380" s="381" t="n"/>
      <c r="K380" s="381" t="n"/>
      <c r="L380" s="381" t="n"/>
      <c r="M380" s="381" t="n"/>
      <c r="N380" s="807" t="n"/>
      <c r="O380" s="808" t="inlineStr">
        <is>
          <t>Итого</t>
        </is>
      </c>
      <c r="P380" s="775" t="n"/>
      <c r="Q380" s="775" t="n"/>
      <c r="R380" s="775" t="n"/>
      <c r="S380" s="775" t="n"/>
      <c r="T380" s="775" t="n"/>
      <c r="U380" s="776" t="n"/>
      <c r="V380" s="43" t="inlineStr">
        <is>
          <t>кг</t>
        </is>
      </c>
      <c r="W380" s="809">
        <f>IFERROR(SUM(W378:W378),"0")</f>
        <v/>
      </c>
      <c r="X380" s="809">
        <f>IFERROR(SUM(X378:X378),"0")</f>
        <v/>
      </c>
      <c r="Y380" s="43" t="n"/>
      <c r="Z380" s="810" t="n"/>
      <c r="AA380" s="810" t="n"/>
    </row>
    <row r="381" ht="27.75" customHeight="1">
      <c r="A381" s="420" t="inlineStr">
        <is>
          <t>Баварушка</t>
        </is>
      </c>
      <c r="B381" s="800" t="n"/>
      <c r="C381" s="800" t="n"/>
      <c r="D381" s="800" t="n"/>
      <c r="E381" s="800" t="n"/>
      <c r="F381" s="800" t="n"/>
      <c r="G381" s="800" t="n"/>
      <c r="H381" s="800" t="n"/>
      <c r="I381" s="800" t="n"/>
      <c r="J381" s="800" t="n"/>
      <c r="K381" s="800" t="n"/>
      <c r="L381" s="800" t="n"/>
      <c r="M381" s="800" t="n"/>
      <c r="N381" s="800" t="n"/>
      <c r="O381" s="800" t="n"/>
      <c r="P381" s="800" t="n"/>
      <c r="Q381" s="800" t="n"/>
      <c r="R381" s="800" t="n"/>
      <c r="S381" s="800" t="n"/>
      <c r="T381" s="800" t="n"/>
      <c r="U381" s="800" t="n"/>
      <c r="V381" s="800" t="n"/>
      <c r="W381" s="800" t="n"/>
      <c r="X381" s="800" t="n"/>
      <c r="Y381" s="800" t="n"/>
      <c r="Z381" s="55" t="n"/>
      <c r="AA381" s="55" t="n"/>
    </row>
    <row r="382" ht="16.5" customHeight="1">
      <c r="A382" s="421" t="inlineStr">
        <is>
          <t>Филейбургская</t>
        </is>
      </c>
      <c r="B382" s="381" t="n"/>
      <c r="C382" s="381" t="n"/>
      <c r="D382" s="381" t="n"/>
      <c r="E382" s="381" t="n"/>
      <c r="F382" s="381" t="n"/>
      <c r="G382" s="381" t="n"/>
      <c r="H382" s="381" t="n"/>
      <c r="I382" s="381" t="n"/>
      <c r="J382" s="381" t="n"/>
      <c r="K382" s="381" t="n"/>
      <c r="L382" s="381" t="n"/>
      <c r="M382" s="381" t="n"/>
      <c r="N382" s="381" t="n"/>
      <c r="O382" s="381" t="n"/>
      <c r="P382" s="381" t="n"/>
      <c r="Q382" s="381" t="n"/>
      <c r="R382" s="381" t="n"/>
      <c r="S382" s="381" t="n"/>
      <c r="T382" s="381" t="n"/>
      <c r="U382" s="381" t="n"/>
      <c r="V382" s="381" t="n"/>
      <c r="W382" s="381" t="n"/>
      <c r="X382" s="381" t="n"/>
      <c r="Y382" s="381" t="n"/>
      <c r="Z382" s="421" t="n"/>
      <c r="AA382" s="421" t="n"/>
    </row>
    <row r="383" ht="14.25" customHeight="1">
      <c r="A383" s="399" t="inlineStr">
        <is>
          <t>Вареные колбасы</t>
        </is>
      </c>
      <c r="B383" s="381" t="n"/>
      <c r="C383" s="381" t="n"/>
      <c r="D383" s="381" t="n"/>
      <c r="E383" s="381" t="n"/>
      <c r="F383" s="381" t="n"/>
      <c r="G383" s="381" t="n"/>
      <c r="H383" s="381" t="n"/>
      <c r="I383" s="381" t="n"/>
      <c r="J383" s="381" t="n"/>
      <c r="K383" s="381" t="n"/>
      <c r="L383" s="381" t="n"/>
      <c r="M383" s="381" t="n"/>
      <c r="N383" s="381" t="n"/>
      <c r="O383" s="381" t="n"/>
      <c r="P383" s="381" t="n"/>
      <c r="Q383" s="381" t="n"/>
      <c r="R383" s="381" t="n"/>
      <c r="S383" s="381" t="n"/>
      <c r="T383" s="381" t="n"/>
      <c r="U383" s="381" t="n"/>
      <c r="V383" s="381" t="n"/>
      <c r="W383" s="381" t="n"/>
      <c r="X383" s="381" t="n"/>
      <c r="Y383" s="381" t="n"/>
      <c r="Z383" s="399" t="n"/>
      <c r="AA383" s="399" t="n"/>
    </row>
    <row r="384" ht="27" customHeight="1">
      <c r="A384" s="64" t="inlineStr">
        <is>
          <t>SU002477</t>
        </is>
      </c>
      <c r="B384" s="64" t="inlineStr">
        <is>
          <t>P003148</t>
        </is>
      </c>
      <c r="C384" s="37" t="n">
        <v>4301011428</v>
      </c>
      <c r="D384" s="384" t="n">
        <v>4607091389708</v>
      </c>
      <c r="E384" s="767" t="n"/>
      <c r="F384" s="801" t="n">
        <v>0.45</v>
      </c>
      <c r="G384" s="38" t="n">
        <v>6</v>
      </c>
      <c r="H384" s="801" t="n">
        <v>2.7</v>
      </c>
      <c r="I384" s="801" t="n">
        <v>2.9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9" t="n"/>
      <c r="N384" s="38" t="n">
        <v>50</v>
      </c>
      <c r="O384" s="102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4" s="803" t="n"/>
      <c r="Q384" s="803" t="n"/>
      <c r="R384" s="803" t="n"/>
      <c r="S384" s="767" t="n"/>
      <c r="T384" s="40" t="inlineStr"/>
      <c r="U384" s="40" t="inlineStr"/>
      <c r="V384" s="41" t="inlineStr">
        <is>
          <t>кг</t>
        </is>
      </c>
      <c r="W384" s="804" t="n">
        <v>0</v>
      </c>
      <c r="X384" s="805">
        <f>IFERROR(IF(W384="",0,CEILING((W384/$H384),1)*$H384),"")</f>
        <v/>
      </c>
      <c r="Y384" s="42">
        <f>IFERROR(IF(X384=0,"",ROUNDUP(X384/H384,0)*0.00753),"")</f>
        <v/>
      </c>
      <c r="Z384" s="69" t="inlineStr"/>
      <c r="AA384" s="70" t="inlineStr"/>
      <c r="AE384" s="80" t="n"/>
      <c r="BB384" s="292" t="inlineStr">
        <is>
          <t>КИ</t>
        </is>
      </c>
      <c r="BL384" s="80">
        <f>IFERROR(W384*I384/H384,"0")</f>
        <v/>
      </c>
      <c r="BM384" s="80">
        <f>IFERROR(X384*I384/H384,"0")</f>
        <v/>
      </c>
      <c r="BN384" s="80">
        <f>IFERROR(1/J384*(W384/H384),"0")</f>
        <v/>
      </c>
      <c r="BO384" s="80">
        <f>IFERROR(1/J384*(X384/H384),"0")</f>
        <v/>
      </c>
    </row>
    <row r="385" ht="27" customHeight="1">
      <c r="A385" s="64" t="inlineStr">
        <is>
          <t>SU002476</t>
        </is>
      </c>
      <c r="B385" s="64" t="inlineStr">
        <is>
          <t>P003147</t>
        </is>
      </c>
      <c r="C385" s="37" t="n">
        <v>4301011427</v>
      </c>
      <c r="D385" s="384" t="n">
        <v>4607091389692</v>
      </c>
      <c r="E385" s="767" t="n"/>
      <c r="F385" s="801" t="n">
        <v>0.45</v>
      </c>
      <c r="G385" s="38" t="n">
        <v>6</v>
      </c>
      <c r="H385" s="801" t="n">
        <v>2.7</v>
      </c>
      <c r="I385" s="801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2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5" s="803" t="n"/>
      <c r="Q385" s="803" t="n"/>
      <c r="R385" s="803" t="n"/>
      <c r="S385" s="767" t="n"/>
      <c r="T385" s="40" t="inlineStr"/>
      <c r="U385" s="40" t="inlineStr"/>
      <c r="V385" s="41" t="inlineStr">
        <is>
          <t>кг</t>
        </is>
      </c>
      <c r="W385" s="804" t="n">
        <v>0</v>
      </c>
      <c r="X385" s="805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3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>
      <c r="A386" s="393" t="n"/>
      <c r="B386" s="381" t="n"/>
      <c r="C386" s="381" t="n"/>
      <c r="D386" s="381" t="n"/>
      <c r="E386" s="381" t="n"/>
      <c r="F386" s="381" t="n"/>
      <c r="G386" s="381" t="n"/>
      <c r="H386" s="381" t="n"/>
      <c r="I386" s="381" t="n"/>
      <c r="J386" s="381" t="n"/>
      <c r="K386" s="381" t="n"/>
      <c r="L386" s="381" t="n"/>
      <c r="M386" s="381" t="n"/>
      <c r="N386" s="807" t="n"/>
      <c r="O386" s="808" t="inlineStr">
        <is>
          <t>Итого</t>
        </is>
      </c>
      <c r="P386" s="775" t="n"/>
      <c r="Q386" s="775" t="n"/>
      <c r="R386" s="775" t="n"/>
      <c r="S386" s="775" t="n"/>
      <c r="T386" s="775" t="n"/>
      <c r="U386" s="776" t="n"/>
      <c r="V386" s="43" t="inlineStr">
        <is>
          <t>кор</t>
        </is>
      </c>
      <c r="W386" s="809">
        <f>IFERROR(W384/H384,"0")+IFERROR(W385/H385,"0")</f>
        <v/>
      </c>
      <c r="X386" s="809">
        <f>IFERROR(X384/H384,"0")+IFERROR(X385/H385,"0")</f>
        <v/>
      </c>
      <c r="Y386" s="809">
        <f>IFERROR(IF(Y384="",0,Y384),"0")+IFERROR(IF(Y385="",0,Y385),"0")</f>
        <v/>
      </c>
      <c r="Z386" s="810" t="n"/>
      <c r="AA386" s="810" t="n"/>
    </row>
    <row r="387">
      <c r="A387" s="381" t="n"/>
      <c r="B387" s="381" t="n"/>
      <c r="C387" s="381" t="n"/>
      <c r="D387" s="381" t="n"/>
      <c r="E387" s="381" t="n"/>
      <c r="F387" s="381" t="n"/>
      <c r="G387" s="381" t="n"/>
      <c r="H387" s="381" t="n"/>
      <c r="I387" s="381" t="n"/>
      <c r="J387" s="381" t="n"/>
      <c r="K387" s="381" t="n"/>
      <c r="L387" s="381" t="n"/>
      <c r="M387" s="381" t="n"/>
      <c r="N387" s="807" t="n"/>
      <c r="O387" s="808" t="inlineStr">
        <is>
          <t>Итого</t>
        </is>
      </c>
      <c r="P387" s="775" t="n"/>
      <c r="Q387" s="775" t="n"/>
      <c r="R387" s="775" t="n"/>
      <c r="S387" s="775" t="n"/>
      <c r="T387" s="775" t="n"/>
      <c r="U387" s="776" t="n"/>
      <c r="V387" s="43" t="inlineStr">
        <is>
          <t>кг</t>
        </is>
      </c>
      <c r="W387" s="809">
        <f>IFERROR(SUM(W384:W385),"0")</f>
        <v/>
      </c>
      <c r="X387" s="809">
        <f>IFERROR(SUM(X384:X385),"0")</f>
        <v/>
      </c>
      <c r="Y387" s="43" t="n"/>
      <c r="Z387" s="810" t="n"/>
      <c r="AA387" s="810" t="n"/>
    </row>
    <row r="388" ht="14.25" customHeight="1">
      <c r="A388" s="399" t="inlineStr">
        <is>
          <t>Копченые колбасы</t>
        </is>
      </c>
      <c r="B388" s="381" t="n"/>
      <c r="C388" s="381" t="n"/>
      <c r="D388" s="381" t="n"/>
      <c r="E388" s="381" t="n"/>
      <c r="F388" s="381" t="n"/>
      <c r="G388" s="381" t="n"/>
      <c r="H388" s="381" t="n"/>
      <c r="I388" s="381" t="n"/>
      <c r="J388" s="381" t="n"/>
      <c r="K388" s="381" t="n"/>
      <c r="L388" s="381" t="n"/>
      <c r="M388" s="381" t="n"/>
      <c r="N388" s="381" t="n"/>
      <c r="O388" s="381" t="n"/>
      <c r="P388" s="381" t="n"/>
      <c r="Q388" s="381" t="n"/>
      <c r="R388" s="381" t="n"/>
      <c r="S388" s="381" t="n"/>
      <c r="T388" s="381" t="n"/>
      <c r="U388" s="381" t="n"/>
      <c r="V388" s="381" t="n"/>
      <c r="W388" s="381" t="n"/>
      <c r="X388" s="381" t="n"/>
      <c r="Y388" s="381" t="n"/>
      <c r="Z388" s="399" t="n"/>
      <c r="AA388" s="399" t="n"/>
    </row>
    <row r="389" ht="27" customHeight="1">
      <c r="A389" s="64" t="inlineStr">
        <is>
          <t>SU002614</t>
        </is>
      </c>
      <c r="B389" s="64" t="inlineStr">
        <is>
          <t>P003138</t>
        </is>
      </c>
      <c r="C389" s="37" t="n">
        <v>4301031177</v>
      </c>
      <c r="D389" s="384" t="n">
        <v>4607091389753</v>
      </c>
      <c r="E389" s="767" t="n"/>
      <c r="F389" s="801" t="n">
        <v>0.7</v>
      </c>
      <c r="G389" s="38" t="n">
        <v>6</v>
      </c>
      <c r="H389" s="801" t="n">
        <v>4.2</v>
      </c>
      <c r="I389" s="801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45</v>
      </c>
      <c r="O389" s="102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9" s="803" t="n"/>
      <c r="Q389" s="803" t="n"/>
      <c r="R389" s="803" t="n"/>
      <c r="S389" s="767" t="n"/>
      <c r="T389" s="40" t="inlineStr"/>
      <c r="U389" s="40" t="inlineStr"/>
      <c r="V389" s="41" t="inlineStr">
        <is>
          <t>кг</t>
        </is>
      </c>
      <c r="W389" s="804" t="n">
        <v>60</v>
      </c>
      <c r="X389" s="805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4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SU002615</t>
        </is>
      </c>
      <c r="B390" s="64" t="inlineStr">
        <is>
          <t>P003136</t>
        </is>
      </c>
      <c r="C390" s="37" t="n">
        <v>4301031174</v>
      </c>
      <c r="D390" s="384" t="n">
        <v>4607091389760</v>
      </c>
      <c r="E390" s="767" t="n"/>
      <c r="F390" s="801" t="n">
        <v>0.7</v>
      </c>
      <c r="G390" s="38" t="n">
        <v>6</v>
      </c>
      <c r="H390" s="801" t="n">
        <v>4.2</v>
      </c>
      <c r="I390" s="801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45</v>
      </c>
      <c r="O390" s="102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0" s="803" t="n"/>
      <c r="Q390" s="803" t="n"/>
      <c r="R390" s="803" t="n"/>
      <c r="S390" s="767" t="n"/>
      <c r="T390" s="40" t="inlineStr"/>
      <c r="U390" s="40" t="inlineStr"/>
      <c r="V390" s="41" t="inlineStr">
        <is>
          <t>кг</t>
        </is>
      </c>
      <c r="W390" s="804" t="n">
        <v>0</v>
      </c>
      <c r="X390" s="805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5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SU002613</t>
        </is>
      </c>
      <c r="B391" s="64" t="inlineStr">
        <is>
          <t>P003133</t>
        </is>
      </c>
      <c r="C391" s="37" t="n">
        <v>4301031175</v>
      </c>
      <c r="D391" s="384" t="n">
        <v>4607091389746</v>
      </c>
      <c r="E391" s="767" t="n"/>
      <c r="F391" s="801" t="n">
        <v>0.7</v>
      </c>
      <c r="G391" s="38" t="n">
        <v>6</v>
      </c>
      <c r="H391" s="801" t="n">
        <v>4.2</v>
      </c>
      <c r="I391" s="801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2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1" s="803" t="n"/>
      <c r="Q391" s="803" t="n"/>
      <c r="R391" s="803" t="n"/>
      <c r="S391" s="767" t="n"/>
      <c r="T391" s="40" t="inlineStr"/>
      <c r="U391" s="40" t="inlineStr"/>
      <c r="V391" s="41" t="inlineStr">
        <is>
          <t>кг</t>
        </is>
      </c>
      <c r="W391" s="804" t="n">
        <v>170</v>
      </c>
      <c r="X391" s="805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6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37.5" customHeight="1">
      <c r="A392" s="64" t="inlineStr">
        <is>
          <t>SU003035</t>
        </is>
      </c>
      <c r="B392" s="64" t="inlineStr">
        <is>
          <t>P003496</t>
        </is>
      </c>
      <c r="C392" s="37" t="n">
        <v>4301031236</v>
      </c>
      <c r="D392" s="384" t="n">
        <v>4680115882928</v>
      </c>
      <c r="E392" s="767" t="n"/>
      <c r="F392" s="801" t="n">
        <v>0.28</v>
      </c>
      <c r="G392" s="38" t="n">
        <v>6</v>
      </c>
      <c r="H392" s="801" t="n">
        <v>1.68</v>
      </c>
      <c r="I392" s="801" t="n">
        <v>2.6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35</v>
      </c>
      <c r="O392" s="102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2" s="803" t="n"/>
      <c r="Q392" s="803" t="n"/>
      <c r="R392" s="803" t="n"/>
      <c r="S392" s="767" t="n"/>
      <c r="T392" s="40" t="inlineStr"/>
      <c r="U392" s="40" t="inlineStr"/>
      <c r="V392" s="41" t="inlineStr">
        <is>
          <t>кг</t>
        </is>
      </c>
      <c r="W392" s="804" t="n">
        <v>168</v>
      </c>
      <c r="X392" s="805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297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SU003083</t>
        </is>
      </c>
      <c r="B393" s="64" t="inlineStr">
        <is>
          <t>P003646</t>
        </is>
      </c>
      <c r="C393" s="37" t="n">
        <v>4301031257</v>
      </c>
      <c r="D393" s="384" t="n">
        <v>4680115883147</v>
      </c>
      <c r="E393" s="767" t="n"/>
      <c r="F393" s="801" t="n">
        <v>0.28</v>
      </c>
      <c r="G393" s="38" t="n">
        <v>6</v>
      </c>
      <c r="H393" s="801" t="n">
        <v>1.68</v>
      </c>
      <c r="I393" s="80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2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3" s="803" t="n"/>
      <c r="Q393" s="803" t="n"/>
      <c r="R393" s="803" t="n"/>
      <c r="S393" s="767" t="n"/>
      <c r="T393" s="40" t="inlineStr"/>
      <c r="U393" s="40" t="inlineStr"/>
      <c r="V393" s="41" t="inlineStr">
        <is>
          <t>кг</t>
        </is>
      </c>
      <c r="W393" s="804" t="n">
        <v>0</v>
      </c>
      <c r="X393" s="805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298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SU002538</t>
        </is>
      </c>
      <c r="B394" s="64" t="inlineStr">
        <is>
          <t>P003139</t>
        </is>
      </c>
      <c r="C394" s="37" t="n">
        <v>4301031178</v>
      </c>
      <c r="D394" s="384" t="n">
        <v>4607091384338</v>
      </c>
      <c r="E394" s="767" t="n"/>
      <c r="F394" s="801" t="n">
        <v>0.35</v>
      </c>
      <c r="G394" s="38" t="n">
        <v>6</v>
      </c>
      <c r="H394" s="801" t="n">
        <v>2.1</v>
      </c>
      <c r="I394" s="801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2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4" s="803" t="n"/>
      <c r="Q394" s="803" t="n"/>
      <c r="R394" s="803" t="n"/>
      <c r="S394" s="767" t="n"/>
      <c r="T394" s="40" t="inlineStr"/>
      <c r="U394" s="40" t="inlineStr"/>
      <c r="V394" s="41" t="inlineStr">
        <is>
          <t>кг</t>
        </is>
      </c>
      <c r="W394" s="804" t="n">
        <v>35</v>
      </c>
      <c r="X394" s="805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299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37.5" customHeight="1">
      <c r="A395" s="64" t="inlineStr">
        <is>
          <t>SU003079</t>
        </is>
      </c>
      <c r="B395" s="64" t="inlineStr">
        <is>
          <t>P003643</t>
        </is>
      </c>
      <c r="C395" s="37" t="n">
        <v>4301031254</v>
      </c>
      <c r="D395" s="384" t="n">
        <v>4680115883154</v>
      </c>
      <c r="E395" s="767" t="n"/>
      <c r="F395" s="801" t="n">
        <v>0.28</v>
      </c>
      <c r="G395" s="38" t="n">
        <v>6</v>
      </c>
      <c r="H395" s="801" t="n">
        <v>1.68</v>
      </c>
      <c r="I395" s="801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2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5" s="803" t="n"/>
      <c r="Q395" s="803" t="n"/>
      <c r="R395" s="803" t="n"/>
      <c r="S395" s="767" t="n"/>
      <c r="T395" s="40" t="inlineStr"/>
      <c r="U395" s="40" t="inlineStr"/>
      <c r="V395" s="41" t="inlineStr">
        <is>
          <t>кг</t>
        </is>
      </c>
      <c r="W395" s="804" t="n">
        <v>0</v>
      </c>
      <c r="X395" s="805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0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SU002602</t>
        </is>
      </c>
      <c r="B396" s="64" t="inlineStr">
        <is>
          <t>P003132</t>
        </is>
      </c>
      <c r="C396" s="37" t="n">
        <v>4301031171</v>
      </c>
      <c r="D396" s="384" t="n">
        <v>4607091389524</v>
      </c>
      <c r="E396" s="767" t="n"/>
      <c r="F396" s="801" t="n">
        <v>0.35</v>
      </c>
      <c r="G396" s="38" t="n">
        <v>6</v>
      </c>
      <c r="H396" s="801" t="n">
        <v>2.1</v>
      </c>
      <c r="I396" s="801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2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6" s="803" t="n"/>
      <c r="Q396" s="803" t="n"/>
      <c r="R396" s="803" t="n"/>
      <c r="S396" s="767" t="n"/>
      <c r="T396" s="40" t="inlineStr"/>
      <c r="U396" s="40" t="inlineStr"/>
      <c r="V396" s="41" t="inlineStr">
        <is>
          <t>кг</t>
        </is>
      </c>
      <c r="W396" s="804" t="n">
        <v>122.5</v>
      </c>
      <c r="X396" s="805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1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SU003080</t>
        </is>
      </c>
      <c r="B397" s="64" t="inlineStr">
        <is>
          <t>P003647</t>
        </is>
      </c>
      <c r="C397" s="37" t="n">
        <v>4301031258</v>
      </c>
      <c r="D397" s="384" t="n">
        <v>4680115883161</v>
      </c>
      <c r="E397" s="767" t="n"/>
      <c r="F397" s="801" t="n">
        <v>0.28</v>
      </c>
      <c r="G397" s="38" t="n">
        <v>6</v>
      </c>
      <c r="H397" s="801" t="n">
        <v>1.68</v>
      </c>
      <c r="I397" s="80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3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7" s="803" t="n"/>
      <c r="Q397" s="803" t="n"/>
      <c r="R397" s="803" t="n"/>
      <c r="S397" s="767" t="n"/>
      <c r="T397" s="40" t="inlineStr"/>
      <c r="U397" s="40" t="inlineStr"/>
      <c r="V397" s="41" t="inlineStr">
        <is>
          <t>кг</t>
        </is>
      </c>
      <c r="W397" s="804" t="n">
        <v>0</v>
      </c>
      <c r="X397" s="805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2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SU002603</t>
        </is>
      </c>
      <c r="B398" s="64" t="inlineStr">
        <is>
          <t>P003131</t>
        </is>
      </c>
      <c r="C398" s="37" t="n">
        <v>4301031170</v>
      </c>
      <c r="D398" s="384" t="n">
        <v>4607091384345</v>
      </c>
      <c r="E398" s="767" t="n"/>
      <c r="F398" s="801" t="n">
        <v>0.35</v>
      </c>
      <c r="G398" s="38" t="n">
        <v>6</v>
      </c>
      <c r="H398" s="801" t="n">
        <v>2.1</v>
      </c>
      <c r="I398" s="80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8" s="803" t="n"/>
      <c r="Q398" s="803" t="n"/>
      <c r="R398" s="803" t="n"/>
      <c r="S398" s="767" t="n"/>
      <c r="T398" s="40" t="inlineStr"/>
      <c r="U398" s="40" t="inlineStr"/>
      <c r="V398" s="41" t="inlineStr">
        <is>
          <t>кг</t>
        </is>
      </c>
      <c r="W398" s="804" t="n">
        <v>0</v>
      </c>
      <c r="X398" s="805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3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SU003081</t>
        </is>
      </c>
      <c r="B399" s="64" t="inlineStr">
        <is>
          <t>P003645</t>
        </is>
      </c>
      <c r="C399" s="37" t="n">
        <v>4301031256</v>
      </c>
      <c r="D399" s="384" t="n">
        <v>4680115883178</v>
      </c>
      <c r="E399" s="767" t="n"/>
      <c r="F399" s="801" t="n">
        <v>0.28</v>
      </c>
      <c r="G399" s="38" t="n">
        <v>6</v>
      </c>
      <c r="H399" s="801" t="n">
        <v>1.68</v>
      </c>
      <c r="I399" s="801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3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399" s="803" t="n"/>
      <c r="Q399" s="803" t="n"/>
      <c r="R399" s="803" t="n"/>
      <c r="S399" s="767" t="n"/>
      <c r="T399" s="40" t="inlineStr"/>
      <c r="U399" s="40" t="inlineStr"/>
      <c r="V399" s="41" t="inlineStr">
        <is>
          <t>кг</t>
        </is>
      </c>
      <c r="W399" s="804" t="n">
        <v>0</v>
      </c>
      <c r="X399" s="805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4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SU002606</t>
        </is>
      </c>
      <c r="B400" s="64" t="inlineStr">
        <is>
          <t>P003134</t>
        </is>
      </c>
      <c r="C400" s="37" t="n">
        <v>4301031172</v>
      </c>
      <c r="D400" s="384" t="n">
        <v>4607091389531</v>
      </c>
      <c r="E400" s="767" t="n"/>
      <c r="F400" s="801" t="n">
        <v>0.35</v>
      </c>
      <c r="G400" s="38" t="n">
        <v>6</v>
      </c>
      <c r="H400" s="801" t="n">
        <v>2.1</v>
      </c>
      <c r="I400" s="801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3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0" s="803" t="n"/>
      <c r="Q400" s="803" t="n"/>
      <c r="R400" s="803" t="n"/>
      <c r="S400" s="767" t="n"/>
      <c r="T400" s="40" t="inlineStr"/>
      <c r="U400" s="40" t="inlineStr"/>
      <c r="V400" s="41" t="inlineStr">
        <is>
          <t>кг</t>
        </is>
      </c>
      <c r="W400" s="804" t="n">
        <v>52.5</v>
      </c>
      <c r="X400" s="805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5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SU003082</t>
        </is>
      </c>
      <c r="B401" s="64" t="inlineStr">
        <is>
          <t>P003644</t>
        </is>
      </c>
      <c r="C401" s="37" t="n">
        <v>4301031255</v>
      </c>
      <c r="D401" s="384" t="n">
        <v>4680115883185</v>
      </c>
      <c r="E401" s="767" t="n"/>
      <c r="F401" s="801" t="n">
        <v>0.28</v>
      </c>
      <c r="G401" s="38" t="n">
        <v>6</v>
      </c>
      <c r="H401" s="801" t="n">
        <v>1.68</v>
      </c>
      <c r="I401" s="801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3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1" s="803" t="n"/>
      <c r="Q401" s="803" t="n"/>
      <c r="R401" s="803" t="n"/>
      <c r="S401" s="767" t="n"/>
      <c r="T401" s="40" t="inlineStr"/>
      <c r="U401" s="40" t="inlineStr"/>
      <c r="V401" s="41" t="inlineStr">
        <is>
          <t>кг</t>
        </is>
      </c>
      <c r="W401" s="804" t="n">
        <v>0</v>
      </c>
      <c r="X401" s="805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6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>
      <c r="A402" s="393" t="n"/>
      <c r="B402" s="381" t="n"/>
      <c r="C402" s="381" t="n"/>
      <c r="D402" s="381" t="n"/>
      <c r="E402" s="381" t="n"/>
      <c r="F402" s="381" t="n"/>
      <c r="G402" s="381" t="n"/>
      <c r="H402" s="381" t="n"/>
      <c r="I402" s="381" t="n"/>
      <c r="J402" s="381" t="n"/>
      <c r="K402" s="381" t="n"/>
      <c r="L402" s="381" t="n"/>
      <c r="M402" s="381" t="n"/>
      <c r="N402" s="807" t="n"/>
      <c r="O402" s="808" t="inlineStr">
        <is>
          <t>Итого</t>
        </is>
      </c>
      <c r="P402" s="775" t="n"/>
      <c r="Q402" s="775" t="n"/>
      <c r="R402" s="775" t="n"/>
      <c r="S402" s="775" t="n"/>
      <c r="T402" s="775" t="n"/>
      <c r="U402" s="776" t="n"/>
      <c r="V402" s="43" t="inlineStr">
        <is>
          <t>кор</t>
        </is>
      </c>
      <c r="W402" s="809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/>
      </c>
      <c r="X402" s="809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/>
      </c>
      <c r="Y402" s="809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/>
      </c>
      <c r="Z402" s="810" t="n"/>
      <c r="AA402" s="810" t="n"/>
    </row>
    <row r="403">
      <c r="A403" s="381" t="n"/>
      <c r="B403" s="381" t="n"/>
      <c r="C403" s="381" t="n"/>
      <c r="D403" s="381" t="n"/>
      <c r="E403" s="381" t="n"/>
      <c r="F403" s="381" t="n"/>
      <c r="G403" s="381" t="n"/>
      <c r="H403" s="381" t="n"/>
      <c r="I403" s="381" t="n"/>
      <c r="J403" s="381" t="n"/>
      <c r="K403" s="381" t="n"/>
      <c r="L403" s="381" t="n"/>
      <c r="M403" s="381" t="n"/>
      <c r="N403" s="807" t="n"/>
      <c r="O403" s="808" t="inlineStr">
        <is>
          <t>Итого</t>
        </is>
      </c>
      <c r="P403" s="775" t="n"/>
      <c r="Q403" s="775" t="n"/>
      <c r="R403" s="775" t="n"/>
      <c r="S403" s="775" t="n"/>
      <c r="T403" s="775" t="n"/>
      <c r="U403" s="776" t="n"/>
      <c r="V403" s="43" t="inlineStr">
        <is>
          <t>кг</t>
        </is>
      </c>
      <c r="W403" s="809">
        <f>IFERROR(SUM(W389:W401),"0")</f>
        <v/>
      </c>
      <c r="X403" s="809">
        <f>IFERROR(SUM(X389:X401),"0")</f>
        <v/>
      </c>
      <c r="Y403" s="43" t="n"/>
      <c r="Z403" s="810" t="n"/>
      <c r="AA403" s="810" t="n"/>
    </row>
    <row r="404" ht="14.25" customHeight="1">
      <c r="A404" s="399" t="inlineStr">
        <is>
          <t>Сосиски</t>
        </is>
      </c>
      <c r="B404" s="381" t="n"/>
      <c r="C404" s="381" t="n"/>
      <c r="D404" s="381" t="n"/>
      <c r="E404" s="381" t="n"/>
      <c r="F404" s="381" t="n"/>
      <c r="G404" s="381" t="n"/>
      <c r="H404" s="381" t="n"/>
      <c r="I404" s="381" t="n"/>
      <c r="J404" s="381" t="n"/>
      <c r="K404" s="381" t="n"/>
      <c r="L404" s="381" t="n"/>
      <c r="M404" s="381" t="n"/>
      <c r="N404" s="381" t="n"/>
      <c r="O404" s="381" t="n"/>
      <c r="P404" s="381" t="n"/>
      <c r="Q404" s="381" t="n"/>
      <c r="R404" s="381" t="n"/>
      <c r="S404" s="381" t="n"/>
      <c r="T404" s="381" t="n"/>
      <c r="U404" s="381" t="n"/>
      <c r="V404" s="381" t="n"/>
      <c r="W404" s="381" t="n"/>
      <c r="X404" s="381" t="n"/>
      <c r="Y404" s="381" t="n"/>
      <c r="Z404" s="399" t="n"/>
      <c r="AA404" s="399" t="n"/>
    </row>
    <row r="405" ht="27" customHeight="1">
      <c r="A405" s="64" t="inlineStr">
        <is>
          <t>SU002448</t>
        </is>
      </c>
      <c r="B405" s="64" t="inlineStr">
        <is>
          <t>P002914</t>
        </is>
      </c>
      <c r="C405" s="37" t="n">
        <v>4301051258</v>
      </c>
      <c r="D405" s="384" t="n">
        <v>4607091389685</v>
      </c>
      <c r="E405" s="767" t="n"/>
      <c r="F405" s="801" t="n">
        <v>1.3</v>
      </c>
      <c r="G405" s="38" t="n">
        <v>6</v>
      </c>
      <c r="H405" s="801" t="n">
        <v>7.8</v>
      </c>
      <c r="I405" s="801" t="n">
        <v>8.346</v>
      </c>
      <c r="J405" s="38" t="n">
        <v>56</v>
      </c>
      <c r="K405" s="38" t="inlineStr">
        <is>
          <t>8</t>
        </is>
      </c>
      <c r="L405" s="39" t="inlineStr">
        <is>
          <t>СК3</t>
        </is>
      </c>
      <c r="M405" s="39" t="n"/>
      <c r="N405" s="38" t="n">
        <v>45</v>
      </c>
      <c r="O405" s="103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5" s="803" t="n"/>
      <c r="Q405" s="803" t="n"/>
      <c r="R405" s="803" t="n"/>
      <c r="S405" s="767" t="n"/>
      <c r="T405" s="40" t="inlineStr"/>
      <c r="U405" s="40" t="inlineStr"/>
      <c r="V405" s="41" t="inlineStr">
        <is>
          <t>кг</t>
        </is>
      </c>
      <c r="W405" s="804" t="n">
        <v>0</v>
      </c>
      <c r="X405" s="805">
        <f>IFERROR(IF(W405="",0,CEILING((W405/$H405),1)*$H405),"")</f>
        <v/>
      </c>
      <c r="Y405" s="42">
        <f>IFERROR(IF(X405=0,"",ROUNDUP(X405/H405,0)*0.02175),"")</f>
        <v/>
      </c>
      <c r="Z405" s="69" t="inlineStr"/>
      <c r="AA405" s="70" t="inlineStr"/>
      <c r="AE405" s="80" t="n"/>
      <c r="BB405" s="307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SU002557</t>
        </is>
      </c>
      <c r="B406" s="64" t="inlineStr">
        <is>
          <t>P003318</t>
        </is>
      </c>
      <c r="C406" s="37" t="n">
        <v>4301051431</v>
      </c>
      <c r="D406" s="384" t="n">
        <v>4607091389654</v>
      </c>
      <c r="E406" s="767" t="n"/>
      <c r="F406" s="801" t="n">
        <v>0.33</v>
      </c>
      <c r="G406" s="38" t="n">
        <v>6</v>
      </c>
      <c r="H406" s="801" t="n">
        <v>1.98</v>
      </c>
      <c r="I406" s="801" t="n">
        <v>2.258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9" t="n"/>
      <c r="N406" s="38" t="n">
        <v>45</v>
      </c>
      <c r="O406" s="103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6" s="803" t="n"/>
      <c r="Q406" s="803" t="n"/>
      <c r="R406" s="803" t="n"/>
      <c r="S406" s="767" t="n"/>
      <c r="T406" s="40" t="inlineStr"/>
      <c r="U406" s="40" t="inlineStr"/>
      <c r="V406" s="41" t="inlineStr">
        <is>
          <t>кг</t>
        </is>
      </c>
      <c r="W406" s="804" t="n">
        <v>0</v>
      </c>
      <c r="X406" s="805">
        <f>IFERROR(IF(W406="",0,CEILING((W406/$H406),1)*$H406),"")</f>
        <v/>
      </c>
      <c r="Y406" s="42">
        <f>IFERROR(IF(X406=0,"",ROUNDUP(X406/H406,0)*0.00753),"")</f>
        <v/>
      </c>
      <c r="Z406" s="69" t="inlineStr"/>
      <c r="AA406" s="70" t="inlineStr"/>
      <c r="AE406" s="80" t="n"/>
      <c r="BB406" s="308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SU002285</t>
        </is>
      </c>
      <c r="B407" s="64" t="inlineStr">
        <is>
          <t>P002969</t>
        </is>
      </c>
      <c r="C407" s="37" t="n">
        <v>4301051284</v>
      </c>
      <c r="D407" s="384" t="n">
        <v>4607091384352</v>
      </c>
      <c r="E407" s="767" t="n"/>
      <c r="F407" s="801" t="n">
        <v>0.6</v>
      </c>
      <c r="G407" s="38" t="n">
        <v>4</v>
      </c>
      <c r="H407" s="801" t="n">
        <v>2.4</v>
      </c>
      <c r="I407" s="801" t="n">
        <v>2.646</v>
      </c>
      <c r="J407" s="38" t="n">
        <v>120</v>
      </c>
      <c r="K407" s="38" t="inlineStr">
        <is>
          <t>12</t>
        </is>
      </c>
      <c r="L407" s="39" t="inlineStr">
        <is>
          <t>СК3</t>
        </is>
      </c>
      <c r="M407" s="39" t="n"/>
      <c r="N407" s="38" t="n">
        <v>45</v>
      </c>
      <c r="O407" s="103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7" s="803" t="n"/>
      <c r="Q407" s="803" t="n"/>
      <c r="R407" s="803" t="n"/>
      <c r="S407" s="767" t="n"/>
      <c r="T407" s="40" t="inlineStr"/>
      <c r="U407" s="40" t="inlineStr"/>
      <c r="V407" s="41" t="inlineStr">
        <is>
          <t>кг</t>
        </is>
      </c>
      <c r="W407" s="804" t="n">
        <v>0</v>
      </c>
      <c r="X407" s="805">
        <f>IFERROR(IF(W407="",0,CEILING((W407/$H407),1)*$H407),"")</f>
        <v/>
      </c>
      <c r="Y407" s="42">
        <f>IFERROR(IF(X407=0,"",ROUNDUP(X407/H407,0)*0.00937),"")</f>
        <v/>
      </c>
      <c r="Z407" s="69" t="inlineStr"/>
      <c r="AA407" s="70" t="inlineStr"/>
      <c r="AE407" s="80" t="n"/>
      <c r="BB407" s="309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>
      <c r="A408" s="393" t="n"/>
      <c r="B408" s="381" t="n"/>
      <c r="C408" s="381" t="n"/>
      <c r="D408" s="381" t="n"/>
      <c r="E408" s="381" t="n"/>
      <c r="F408" s="381" t="n"/>
      <c r="G408" s="381" t="n"/>
      <c r="H408" s="381" t="n"/>
      <c r="I408" s="381" t="n"/>
      <c r="J408" s="381" t="n"/>
      <c r="K408" s="381" t="n"/>
      <c r="L408" s="381" t="n"/>
      <c r="M408" s="381" t="n"/>
      <c r="N408" s="807" t="n"/>
      <c r="O408" s="808" t="inlineStr">
        <is>
          <t>Итого</t>
        </is>
      </c>
      <c r="P408" s="775" t="n"/>
      <c r="Q408" s="775" t="n"/>
      <c r="R408" s="775" t="n"/>
      <c r="S408" s="775" t="n"/>
      <c r="T408" s="775" t="n"/>
      <c r="U408" s="776" t="n"/>
      <c r="V408" s="43" t="inlineStr">
        <is>
          <t>кор</t>
        </is>
      </c>
      <c r="W408" s="809">
        <f>IFERROR(W405/H405,"0")+IFERROR(W406/H406,"0")+IFERROR(W407/H407,"0")</f>
        <v/>
      </c>
      <c r="X408" s="809">
        <f>IFERROR(X405/H405,"0")+IFERROR(X406/H406,"0")+IFERROR(X407/H407,"0")</f>
        <v/>
      </c>
      <c r="Y408" s="809">
        <f>IFERROR(IF(Y405="",0,Y405),"0")+IFERROR(IF(Y406="",0,Y406),"0")+IFERROR(IF(Y407="",0,Y407),"0")</f>
        <v/>
      </c>
      <c r="Z408" s="810" t="n"/>
      <c r="AA408" s="810" t="n"/>
    </row>
    <row r="409">
      <c r="A409" s="381" t="n"/>
      <c r="B409" s="381" t="n"/>
      <c r="C409" s="381" t="n"/>
      <c r="D409" s="381" t="n"/>
      <c r="E409" s="381" t="n"/>
      <c r="F409" s="381" t="n"/>
      <c r="G409" s="381" t="n"/>
      <c r="H409" s="381" t="n"/>
      <c r="I409" s="381" t="n"/>
      <c r="J409" s="381" t="n"/>
      <c r="K409" s="381" t="n"/>
      <c r="L409" s="381" t="n"/>
      <c r="M409" s="381" t="n"/>
      <c r="N409" s="807" t="n"/>
      <c r="O409" s="808" t="inlineStr">
        <is>
          <t>Итого</t>
        </is>
      </c>
      <c r="P409" s="775" t="n"/>
      <c r="Q409" s="775" t="n"/>
      <c r="R409" s="775" t="n"/>
      <c r="S409" s="775" t="n"/>
      <c r="T409" s="775" t="n"/>
      <c r="U409" s="776" t="n"/>
      <c r="V409" s="43" t="inlineStr">
        <is>
          <t>кг</t>
        </is>
      </c>
      <c r="W409" s="809">
        <f>IFERROR(SUM(W405:W407),"0")</f>
        <v/>
      </c>
      <c r="X409" s="809">
        <f>IFERROR(SUM(X405:X407),"0")</f>
        <v/>
      </c>
      <c r="Y409" s="43" t="n"/>
      <c r="Z409" s="810" t="n"/>
      <c r="AA409" s="810" t="n"/>
    </row>
    <row r="410" ht="14.25" customHeight="1">
      <c r="A410" s="399" t="inlineStr">
        <is>
          <t>Сардельки</t>
        </is>
      </c>
      <c r="B410" s="381" t="n"/>
      <c r="C410" s="381" t="n"/>
      <c r="D410" s="381" t="n"/>
      <c r="E410" s="381" t="n"/>
      <c r="F410" s="381" t="n"/>
      <c r="G410" s="381" t="n"/>
      <c r="H410" s="381" t="n"/>
      <c r="I410" s="381" t="n"/>
      <c r="J410" s="381" t="n"/>
      <c r="K410" s="381" t="n"/>
      <c r="L410" s="381" t="n"/>
      <c r="M410" s="381" t="n"/>
      <c r="N410" s="381" t="n"/>
      <c r="O410" s="381" t="n"/>
      <c r="P410" s="381" t="n"/>
      <c r="Q410" s="381" t="n"/>
      <c r="R410" s="381" t="n"/>
      <c r="S410" s="381" t="n"/>
      <c r="T410" s="381" t="n"/>
      <c r="U410" s="381" t="n"/>
      <c r="V410" s="381" t="n"/>
      <c r="W410" s="381" t="n"/>
      <c r="X410" s="381" t="n"/>
      <c r="Y410" s="381" t="n"/>
      <c r="Z410" s="399" t="n"/>
      <c r="AA410" s="399" t="n"/>
    </row>
    <row r="411" ht="27" customHeight="1">
      <c r="A411" s="64" t="inlineStr">
        <is>
          <t>SU002846</t>
        </is>
      </c>
      <c r="B411" s="64" t="inlineStr">
        <is>
          <t>P003254</t>
        </is>
      </c>
      <c r="C411" s="37" t="n">
        <v>4301060352</v>
      </c>
      <c r="D411" s="384" t="n">
        <v>4680115881648</v>
      </c>
      <c r="E411" s="767" t="n"/>
      <c r="F411" s="801" t="n">
        <v>1</v>
      </c>
      <c r="G411" s="38" t="n">
        <v>4</v>
      </c>
      <c r="H411" s="801" t="n">
        <v>4</v>
      </c>
      <c r="I411" s="801" t="n">
        <v>4.404</v>
      </c>
      <c r="J411" s="38" t="n">
        <v>104</v>
      </c>
      <c r="K411" s="38" t="inlineStr">
        <is>
          <t>8</t>
        </is>
      </c>
      <c r="L411" s="39" t="inlineStr">
        <is>
          <t>СК2</t>
        </is>
      </c>
      <c r="M411" s="39" t="n"/>
      <c r="N411" s="38" t="n">
        <v>35</v>
      </c>
      <c r="O411" s="103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1" s="803" t="n"/>
      <c r="Q411" s="803" t="n"/>
      <c r="R411" s="803" t="n"/>
      <c r="S411" s="767" t="n"/>
      <c r="T411" s="40" t="inlineStr"/>
      <c r="U411" s="40" t="inlineStr"/>
      <c r="V411" s="41" t="inlineStr">
        <is>
          <t>кг</t>
        </is>
      </c>
      <c r="W411" s="804" t="n">
        <v>0</v>
      </c>
      <c r="X411" s="805">
        <f>IFERROR(IF(W411="",0,CEILING((W411/$H411),1)*$H411),"")</f>
        <v/>
      </c>
      <c r="Y411" s="42">
        <f>IFERROR(IF(X411=0,"",ROUNDUP(X411/H411,0)*0.01196),"")</f>
        <v/>
      </c>
      <c r="Z411" s="69" t="inlineStr"/>
      <c r="AA411" s="70" t="inlineStr"/>
      <c r="AE411" s="80" t="n"/>
      <c r="BB411" s="310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>
      <c r="A412" s="393" t="n"/>
      <c r="B412" s="381" t="n"/>
      <c r="C412" s="381" t="n"/>
      <c r="D412" s="381" t="n"/>
      <c r="E412" s="381" t="n"/>
      <c r="F412" s="381" t="n"/>
      <c r="G412" s="381" t="n"/>
      <c r="H412" s="381" t="n"/>
      <c r="I412" s="381" t="n"/>
      <c r="J412" s="381" t="n"/>
      <c r="K412" s="381" t="n"/>
      <c r="L412" s="381" t="n"/>
      <c r="M412" s="381" t="n"/>
      <c r="N412" s="807" t="n"/>
      <c r="O412" s="808" t="inlineStr">
        <is>
          <t>Итого</t>
        </is>
      </c>
      <c r="P412" s="775" t="n"/>
      <c r="Q412" s="775" t="n"/>
      <c r="R412" s="775" t="n"/>
      <c r="S412" s="775" t="n"/>
      <c r="T412" s="775" t="n"/>
      <c r="U412" s="776" t="n"/>
      <c r="V412" s="43" t="inlineStr">
        <is>
          <t>кор</t>
        </is>
      </c>
      <c r="W412" s="809">
        <f>IFERROR(W411/H411,"0")</f>
        <v/>
      </c>
      <c r="X412" s="809">
        <f>IFERROR(X411/H411,"0")</f>
        <v/>
      </c>
      <c r="Y412" s="809">
        <f>IFERROR(IF(Y411="",0,Y411),"0")</f>
        <v/>
      </c>
      <c r="Z412" s="810" t="n"/>
      <c r="AA412" s="810" t="n"/>
    </row>
    <row r="413">
      <c r="A413" s="381" t="n"/>
      <c r="B413" s="381" t="n"/>
      <c r="C413" s="381" t="n"/>
      <c r="D413" s="381" t="n"/>
      <c r="E413" s="381" t="n"/>
      <c r="F413" s="381" t="n"/>
      <c r="G413" s="381" t="n"/>
      <c r="H413" s="381" t="n"/>
      <c r="I413" s="381" t="n"/>
      <c r="J413" s="381" t="n"/>
      <c r="K413" s="381" t="n"/>
      <c r="L413" s="381" t="n"/>
      <c r="M413" s="381" t="n"/>
      <c r="N413" s="807" t="n"/>
      <c r="O413" s="808" t="inlineStr">
        <is>
          <t>Итого</t>
        </is>
      </c>
      <c r="P413" s="775" t="n"/>
      <c r="Q413" s="775" t="n"/>
      <c r="R413" s="775" t="n"/>
      <c r="S413" s="775" t="n"/>
      <c r="T413" s="775" t="n"/>
      <c r="U413" s="776" t="n"/>
      <c r="V413" s="43" t="inlineStr">
        <is>
          <t>кг</t>
        </is>
      </c>
      <c r="W413" s="809">
        <f>IFERROR(SUM(W411:W411),"0")</f>
        <v/>
      </c>
      <c r="X413" s="809">
        <f>IFERROR(SUM(X411:X411),"0")</f>
        <v/>
      </c>
      <c r="Y413" s="43" t="n"/>
      <c r="Z413" s="810" t="n"/>
      <c r="AA413" s="810" t="n"/>
    </row>
    <row r="414" ht="14.25" customHeight="1">
      <c r="A414" s="399" t="inlineStr">
        <is>
          <t>Сырокопченые колбасы</t>
        </is>
      </c>
      <c r="B414" s="381" t="n"/>
      <c r="C414" s="381" t="n"/>
      <c r="D414" s="381" t="n"/>
      <c r="E414" s="381" t="n"/>
      <c r="F414" s="381" t="n"/>
      <c r="G414" s="381" t="n"/>
      <c r="H414" s="381" t="n"/>
      <c r="I414" s="381" t="n"/>
      <c r="J414" s="381" t="n"/>
      <c r="K414" s="381" t="n"/>
      <c r="L414" s="381" t="n"/>
      <c r="M414" s="381" t="n"/>
      <c r="N414" s="381" t="n"/>
      <c r="O414" s="381" t="n"/>
      <c r="P414" s="381" t="n"/>
      <c r="Q414" s="381" t="n"/>
      <c r="R414" s="381" t="n"/>
      <c r="S414" s="381" t="n"/>
      <c r="T414" s="381" t="n"/>
      <c r="U414" s="381" t="n"/>
      <c r="V414" s="381" t="n"/>
      <c r="W414" s="381" t="n"/>
      <c r="X414" s="381" t="n"/>
      <c r="Y414" s="381" t="n"/>
      <c r="Z414" s="399" t="n"/>
      <c r="AA414" s="399" t="n"/>
    </row>
    <row r="415" ht="27" customHeight="1">
      <c r="A415" s="64" t="inlineStr">
        <is>
          <t>SU003277</t>
        </is>
      </c>
      <c r="B415" s="64" t="inlineStr">
        <is>
          <t>P003775</t>
        </is>
      </c>
      <c r="C415" s="37" t="n">
        <v>4301032045</v>
      </c>
      <c r="D415" s="384" t="n">
        <v>4680115884335</v>
      </c>
      <c r="E415" s="767" t="n"/>
      <c r="F415" s="801" t="n">
        <v>0.06</v>
      </c>
      <c r="G415" s="38" t="n">
        <v>20</v>
      </c>
      <c r="H415" s="801" t="n">
        <v>1.2</v>
      </c>
      <c r="I415" s="801" t="n">
        <v>1.8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9" t="n"/>
      <c r="N415" s="38" t="n">
        <v>60</v>
      </c>
      <c r="O415" s="1039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5" s="803" t="n"/>
      <c r="Q415" s="803" t="n"/>
      <c r="R415" s="803" t="n"/>
      <c r="S415" s="767" t="n"/>
      <c r="T415" s="40" t="inlineStr"/>
      <c r="U415" s="40" t="inlineStr"/>
      <c r="V415" s="41" t="inlineStr">
        <is>
          <t>кг</t>
        </is>
      </c>
      <c r="W415" s="804" t="n">
        <v>12</v>
      </c>
      <c r="X415" s="805">
        <f>IFERROR(IF(W415="",0,CEILING((W415/$H415),1)*$H415),"")</f>
        <v/>
      </c>
      <c r="Y415" s="42">
        <f>IFERROR(IF(X415=0,"",ROUNDUP(X415/H415,0)*0.00627),"")</f>
        <v/>
      </c>
      <c r="Z415" s="69" t="inlineStr"/>
      <c r="AA415" s="70" t="inlineStr"/>
      <c r="AE415" s="80" t="n"/>
      <c r="BB415" s="311" t="inlineStr">
        <is>
          <t>КИ</t>
        </is>
      </c>
      <c r="BL415" s="80">
        <f>IFERROR(W415*I415/H415,"0")</f>
        <v/>
      </c>
      <c r="BM415" s="80">
        <f>IFERROR(X415*I415/H415,"0")</f>
        <v/>
      </c>
      <c r="BN415" s="80">
        <f>IFERROR(1/J415*(W415/H415),"0")</f>
        <v/>
      </c>
      <c r="BO415" s="80">
        <f>IFERROR(1/J415*(X415/H415),"0")</f>
        <v/>
      </c>
    </row>
    <row r="416" ht="27" customHeight="1">
      <c r="A416" s="64" t="inlineStr">
        <is>
          <t>SU003278</t>
        </is>
      </c>
      <c r="B416" s="64" t="inlineStr">
        <is>
          <t>P003777</t>
        </is>
      </c>
      <c r="C416" s="37" t="n">
        <v>4301032047</v>
      </c>
      <c r="D416" s="384" t="n">
        <v>4680115884342</v>
      </c>
      <c r="E416" s="767" t="n"/>
      <c r="F416" s="801" t="n">
        <v>0.06</v>
      </c>
      <c r="G416" s="38" t="n">
        <v>20</v>
      </c>
      <c r="H416" s="801" t="n">
        <v>1.2</v>
      </c>
      <c r="I416" s="801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40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6" s="803" t="n"/>
      <c r="Q416" s="803" t="n"/>
      <c r="R416" s="803" t="n"/>
      <c r="S416" s="767" t="n"/>
      <c r="T416" s="40" t="inlineStr"/>
      <c r="U416" s="40" t="inlineStr"/>
      <c r="V416" s="41" t="inlineStr">
        <is>
          <t>кг</t>
        </is>
      </c>
      <c r="W416" s="804" t="n">
        <v>12</v>
      </c>
      <c r="X416" s="805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12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SU003281</t>
        </is>
      </c>
      <c r="B417" s="64" t="inlineStr">
        <is>
          <t>P003774</t>
        </is>
      </c>
      <c r="C417" s="37" t="n">
        <v>4301170011</v>
      </c>
      <c r="D417" s="384" t="n">
        <v>4680115884113</v>
      </c>
      <c r="E417" s="767" t="n"/>
      <c r="F417" s="801" t="n">
        <v>0.11</v>
      </c>
      <c r="G417" s="38" t="n">
        <v>12</v>
      </c>
      <c r="H417" s="801" t="n">
        <v>1.32</v>
      </c>
      <c r="I417" s="801" t="n">
        <v>1.88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150</v>
      </c>
      <c r="O417" s="104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7" s="803" t="n"/>
      <c r="Q417" s="803" t="n"/>
      <c r="R417" s="803" t="n"/>
      <c r="S417" s="767" t="n"/>
      <c r="T417" s="40" t="inlineStr"/>
      <c r="U417" s="40" t="inlineStr"/>
      <c r="V417" s="41" t="inlineStr">
        <is>
          <t>кг</t>
        </is>
      </c>
      <c r="W417" s="804" t="n">
        <v>5.5</v>
      </c>
      <c r="X417" s="805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13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>
      <c r="A418" s="393" t="n"/>
      <c r="B418" s="381" t="n"/>
      <c r="C418" s="381" t="n"/>
      <c r="D418" s="381" t="n"/>
      <c r="E418" s="381" t="n"/>
      <c r="F418" s="381" t="n"/>
      <c r="G418" s="381" t="n"/>
      <c r="H418" s="381" t="n"/>
      <c r="I418" s="381" t="n"/>
      <c r="J418" s="381" t="n"/>
      <c r="K418" s="381" t="n"/>
      <c r="L418" s="381" t="n"/>
      <c r="M418" s="381" t="n"/>
      <c r="N418" s="807" t="n"/>
      <c r="O418" s="808" t="inlineStr">
        <is>
          <t>Итого</t>
        </is>
      </c>
      <c r="P418" s="775" t="n"/>
      <c r="Q418" s="775" t="n"/>
      <c r="R418" s="775" t="n"/>
      <c r="S418" s="775" t="n"/>
      <c r="T418" s="775" t="n"/>
      <c r="U418" s="776" t="n"/>
      <c r="V418" s="43" t="inlineStr">
        <is>
          <t>кор</t>
        </is>
      </c>
      <c r="W418" s="809">
        <f>IFERROR(W415/H415,"0")+IFERROR(W416/H416,"0")+IFERROR(W417/H417,"0")</f>
        <v/>
      </c>
      <c r="X418" s="809">
        <f>IFERROR(X415/H415,"0")+IFERROR(X416/H416,"0")+IFERROR(X417/H417,"0")</f>
        <v/>
      </c>
      <c r="Y418" s="809">
        <f>IFERROR(IF(Y415="",0,Y415),"0")+IFERROR(IF(Y416="",0,Y416),"0")+IFERROR(IF(Y417="",0,Y417),"0")</f>
        <v/>
      </c>
      <c r="Z418" s="810" t="n"/>
      <c r="AA418" s="810" t="n"/>
    </row>
    <row r="419">
      <c r="A419" s="381" t="n"/>
      <c r="B419" s="381" t="n"/>
      <c r="C419" s="381" t="n"/>
      <c r="D419" s="381" t="n"/>
      <c r="E419" s="381" t="n"/>
      <c r="F419" s="381" t="n"/>
      <c r="G419" s="381" t="n"/>
      <c r="H419" s="381" t="n"/>
      <c r="I419" s="381" t="n"/>
      <c r="J419" s="381" t="n"/>
      <c r="K419" s="381" t="n"/>
      <c r="L419" s="381" t="n"/>
      <c r="M419" s="381" t="n"/>
      <c r="N419" s="807" t="n"/>
      <c r="O419" s="808" t="inlineStr">
        <is>
          <t>Итого</t>
        </is>
      </c>
      <c r="P419" s="775" t="n"/>
      <c r="Q419" s="775" t="n"/>
      <c r="R419" s="775" t="n"/>
      <c r="S419" s="775" t="n"/>
      <c r="T419" s="775" t="n"/>
      <c r="U419" s="776" t="n"/>
      <c r="V419" s="43" t="inlineStr">
        <is>
          <t>кг</t>
        </is>
      </c>
      <c r="W419" s="809">
        <f>IFERROR(SUM(W415:W417),"0")</f>
        <v/>
      </c>
      <c r="X419" s="809">
        <f>IFERROR(SUM(X415:X417),"0")</f>
        <v/>
      </c>
      <c r="Y419" s="43" t="n"/>
      <c r="Z419" s="810" t="n"/>
      <c r="AA419" s="810" t="n"/>
    </row>
    <row r="420" ht="16.5" customHeight="1">
      <c r="A420" s="421" t="inlineStr">
        <is>
          <t>Балыкбургская</t>
        </is>
      </c>
      <c r="B420" s="381" t="n"/>
      <c r="C420" s="381" t="n"/>
      <c r="D420" s="381" t="n"/>
      <c r="E420" s="381" t="n"/>
      <c r="F420" s="381" t="n"/>
      <c r="G420" s="381" t="n"/>
      <c r="H420" s="381" t="n"/>
      <c r="I420" s="381" t="n"/>
      <c r="J420" s="381" t="n"/>
      <c r="K420" s="381" t="n"/>
      <c r="L420" s="381" t="n"/>
      <c r="M420" s="381" t="n"/>
      <c r="N420" s="381" t="n"/>
      <c r="O420" s="381" t="n"/>
      <c r="P420" s="381" t="n"/>
      <c r="Q420" s="381" t="n"/>
      <c r="R420" s="381" t="n"/>
      <c r="S420" s="381" t="n"/>
      <c r="T420" s="381" t="n"/>
      <c r="U420" s="381" t="n"/>
      <c r="V420" s="381" t="n"/>
      <c r="W420" s="381" t="n"/>
      <c r="X420" s="381" t="n"/>
      <c r="Y420" s="381" t="n"/>
      <c r="Z420" s="421" t="n"/>
      <c r="AA420" s="421" t="n"/>
    </row>
    <row r="421" ht="14.25" customHeight="1">
      <c r="A421" s="399" t="inlineStr">
        <is>
          <t>Ветчины</t>
        </is>
      </c>
      <c r="B421" s="381" t="n"/>
      <c r="C421" s="381" t="n"/>
      <c r="D421" s="381" t="n"/>
      <c r="E421" s="381" t="n"/>
      <c r="F421" s="381" t="n"/>
      <c r="G421" s="381" t="n"/>
      <c r="H421" s="381" t="n"/>
      <c r="I421" s="381" t="n"/>
      <c r="J421" s="381" t="n"/>
      <c r="K421" s="381" t="n"/>
      <c r="L421" s="381" t="n"/>
      <c r="M421" s="381" t="n"/>
      <c r="N421" s="381" t="n"/>
      <c r="O421" s="381" t="n"/>
      <c r="P421" s="381" t="n"/>
      <c r="Q421" s="381" t="n"/>
      <c r="R421" s="381" t="n"/>
      <c r="S421" s="381" t="n"/>
      <c r="T421" s="381" t="n"/>
      <c r="U421" s="381" t="n"/>
      <c r="V421" s="381" t="n"/>
      <c r="W421" s="381" t="n"/>
      <c r="X421" s="381" t="n"/>
      <c r="Y421" s="381" t="n"/>
      <c r="Z421" s="399" t="n"/>
      <c r="AA421" s="399" t="n"/>
    </row>
    <row r="422" ht="27" customHeight="1">
      <c r="A422" s="64" t="inlineStr">
        <is>
          <t>SU002542</t>
        </is>
      </c>
      <c r="B422" s="64" t="inlineStr">
        <is>
          <t>P002847</t>
        </is>
      </c>
      <c r="C422" s="37" t="n">
        <v>4301020214</v>
      </c>
      <c r="D422" s="384" t="n">
        <v>4607091389388</v>
      </c>
      <c r="E422" s="767" t="n"/>
      <c r="F422" s="801" t="n">
        <v>1.3</v>
      </c>
      <c r="G422" s="38" t="n">
        <v>4</v>
      </c>
      <c r="H422" s="801" t="n">
        <v>5.2</v>
      </c>
      <c r="I422" s="801" t="n">
        <v>5.608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9" t="n"/>
      <c r="N422" s="38" t="n">
        <v>35</v>
      </c>
      <c r="O422" s="104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2" s="803" t="n"/>
      <c r="Q422" s="803" t="n"/>
      <c r="R422" s="803" t="n"/>
      <c r="S422" s="767" t="n"/>
      <c r="T422" s="40" t="inlineStr"/>
      <c r="U422" s="40" t="inlineStr"/>
      <c r="V422" s="41" t="inlineStr">
        <is>
          <t>кг</t>
        </is>
      </c>
      <c r="W422" s="804" t="n">
        <v>0</v>
      </c>
      <c r="X422" s="805">
        <f>IFERROR(IF(W422="",0,CEILING((W422/$H422),1)*$H422),"")</f>
        <v/>
      </c>
      <c r="Y422" s="42">
        <f>IFERROR(IF(X422=0,"",ROUNDUP(X422/H422,0)*0.01196),"")</f>
        <v/>
      </c>
      <c r="Z422" s="69" t="inlineStr"/>
      <c r="AA422" s="70" t="inlineStr"/>
      <c r="AE422" s="80" t="n"/>
      <c r="BB422" s="314" t="inlineStr">
        <is>
          <t>КИ</t>
        </is>
      </c>
      <c r="BL422" s="80">
        <f>IFERROR(W422*I422/H422,"0")</f>
        <v/>
      </c>
      <c r="BM422" s="80">
        <f>IFERROR(X422*I422/H422,"0")</f>
        <v/>
      </c>
      <c r="BN422" s="80">
        <f>IFERROR(1/J422*(W422/H422),"0")</f>
        <v/>
      </c>
      <c r="BO422" s="80">
        <f>IFERROR(1/J422*(X422/H422),"0")</f>
        <v/>
      </c>
    </row>
    <row r="423" ht="27" customHeight="1">
      <c r="A423" s="64" t="inlineStr">
        <is>
          <t>SU002319</t>
        </is>
      </c>
      <c r="B423" s="64" t="inlineStr">
        <is>
          <t>P002597</t>
        </is>
      </c>
      <c r="C423" s="37" t="n">
        <v>4301020185</v>
      </c>
      <c r="D423" s="384" t="n">
        <v>4607091389364</v>
      </c>
      <c r="E423" s="767" t="n"/>
      <c r="F423" s="801" t="n">
        <v>0.42</v>
      </c>
      <c r="G423" s="38" t="n">
        <v>6</v>
      </c>
      <c r="H423" s="801" t="n">
        <v>2.52</v>
      </c>
      <c r="I423" s="801" t="n">
        <v>2.75</v>
      </c>
      <c r="J423" s="38" t="n">
        <v>156</v>
      </c>
      <c r="K423" s="38" t="inlineStr">
        <is>
          <t>12</t>
        </is>
      </c>
      <c r="L423" s="39" t="inlineStr">
        <is>
          <t>СК3</t>
        </is>
      </c>
      <c r="M423" s="39" t="n"/>
      <c r="N423" s="38" t="n">
        <v>35</v>
      </c>
      <c r="O423" s="104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3" s="803" t="n"/>
      <c r="Q423" s="803" t="n"/>
      <c r="R423" s="803" t="n"/>
      <c r="S423" s="767" t="n"/>
      <c r="T423" s="40" t="inlineStr"/>
      <c r="U423" s="40" t="inlineStr"/>
      <c r="V423" s="41" t="inlineStr">
        <is>
          <t>кг</t>
        </is>
      </c>
      <c r="W423" s="804" t="n">
        <v>0</v>
      </c>
      <c r="X423" s="805">
        <f>IFERROR(IF(W423="",0,CEILING((W423/$H423),1)*$H423),"")</f>
        <v/>
      </c>
      <c r="Y423" s="42">
        <f>IFERROR(IF(X423=0,"",ROUNDUP(X423/H423,0)*0.00753),"")</f>
        <v/>
      </c>
      <c r="Z423" s="69" t="inlineStr"/>
      <c r="AA423" s="70" t="inlineStr"/>
      <c r="AE423" s="80" t="n"/>
      <c r="BB423" s="315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>
      <c r="A424" s="393" t="n"/>
      <c r="B424" s="381" t="n"/>
      <c r="C424" s="381" t="n"/>
      <c r="D424" s="381" t="n"/>
      <c r="E424" s="381" t="n"/>
      <c r="F424" s="381" t="n"/>
      <c r="G424" s="381" t="n"/>
      <c r="H424" s="381" t="n"/>
      <c r="I424" s="381" t="n"/>
      <c r="J424" s="381" t="n"/>
      <c r="K424" s="381" t="n"/>
      <c r="L424" s="381" t="n"/>
      <c r="M424" s="381" t="n"/>
      <c r="N424" s="807" t="n"/>
      <c r="O424" s="808" t="inlineStr">
        <is>
          <t>Итого</t>
        </is>
      </c>
      <c r="P424" s="775" t="n"/>
      <c r="Q424" s="775" t="n"/>
      <c r="R424" s="775" t="n"/>
      <c r="S424" s="775" t="n"/>
      <c r="T424" s="775" t="n"/>
      <c r="U424" s="776" t="n"/>
      <c r="V424" s="43" t="inlineStr">
        <is>
          <t>кор</t>
        </is>
      </c>
      <c r="W424" s="809">
        <f>IFERROR(W422/H422,"0")+IFERROR(W423/H423,"0")</f>
        <v/>
      </c>
      <c r="X424" s="809">
        <f>IFERROR(X422/H422,"0")+IFERROR(X423/H423,"0")</f>
        <v/>
      </c>
      <c r="Y424" s="809">
        <f>IFERROR(IF(Y422="",0,Y422),"0")+IFERROR(IF(Y423="",0,Y423),"0")</f>
        <v/>
      </c>
      <c r="Z424" s="810" t="n"/>
      <c r="AA424" s="810" t="n"/>
    </row>
    <row r="425">
      <c r="A425" s="381" t="n"/>
      <c r="B425" s="381" t="n"/>
      <c r="C425" s="381" t="n"/>
      <c r="D425" s="381" t="n"/>
      <c r="E425" s="381" t="n"/>
      <c r="F425" s="381" t="n"/>
      <c r="G425" s="381" t="n"/>
      <c r="H425" s="381" t="n"/>
      <c r="I425" s="381" t="n"/>
      <c r="J425" s="381" t="n"/>
      <c r="K425" s="381" t="n"/>
      <c r="L425" s="381" t="n"/>
      <c r="M425" s="381" t="n"/>
      <c r="N425" s="807" t="n"/>
      <c r="O425" s="808" t="inlineStr">
        <is>
          <t>Итого</t>
        </is>
      </c>
      <c r="P425" s="775" t="n"/>
      <c r="Q425" s="775" t="n"/>
      <c r="R425" s="775" t="n"/>
      <c r="S425" s="775" t="n"/>
      <c r="T425" s="775" t="n"/>
      <c r="U425" s="776" t="n"/>
      <c r="V425" s="43" t="inlineStr">
        <is>
          <t>кг</t>
        </is>
      </c>
      <c r="W425" s="809">
        <f>IFERROR(SUM(W422:W423),"0")</f>
        <v/>
      </c>
      <c r="X425" s="809">
        <f>IFERROR(SUM(X422:X423),"0")</f>
        <v/>
      </c>
      <c r="Y425" s="43" t="n"/>
      <c r="Z425" s="810" t="n"/>
      <c r="AA425" s="810" t="n"/>
    </row>
    <row r="426" ht="14.25" customHeight="1">
      <c r="A426" s="399" t="inlineStr">
        <is>
          <t>Копченые колбасы</t>
        </is>
      </c>
      <c r="B426" s="381" t="n"/>
      <c r="C426" s="381" t="n"/>
      <c r="D426" s="381" t="n"/>
      <c r="E426" s="381" t="n"/>
      <c r="F426" s="381" t="n"/>
      <c r="G426" s="381" t="n"/>
      <c r="H426" s="381" t="n"/>
      <c r="I426" s="381" t="n"/>
      <c r="J426" s="381" t="n"/>
      <c r="K426" s="381" t="n"/>
      <c r="L426" s="381" t="n"/>
      <c r="M426" s="381" t="n"/>
      <c r="N426" s="381" t="n"/>
      <c r="O426" s="381" t="n"/>
      <c r="P426" s="381" t="n"/>
      <c r="Q426" s="381" t="n"/>
      <c r="R426" s="381" t="n"/>
      <c r="S426" s="381" t="n"/>
      <c r="T426" s="381" t="n"/>
      <c r="U426" s="381" t="n"/>
      <c r="V426" s="381" t="n"/>
      <c r="W426" s="381" t="n"/>
      <c r="X426" s="381" t="n"/>
      <c r="Y426" s="381" t="n"/>
      <c r="Z426" s="399" t="n"/>
      <c r="AA426" s="399" t="n"/>
    </row>
    <row r="427" ht="27" customHeight="1">
      <c r="A427" s="64" t="inlineStr">
        <is>
          <t>SU002612</t>
        </is>
      </c>
      <c r="B427" s="64" t="inlineStr">
        <is>
          <t>P003140</t>
        </is>
      </c>
      <c r="C427" s="37" t="n">
        <v>4301031212</v>
      </c>
      <c r="D427" s="384" t="n">
        <v>4607091389739</v>
      </c>
      <c r="E427" s="767" t="n"/>
      <c r="F427" s="801" t="n">
        <v>0.7</v>
      </c>
      <c r="G427" s="38" t="n">
        <v>6</v>
      </c>
      <c r="H427" s="801" t="n">
        <v>4.2</v>
      </c>
      <c r="I427" s="801" t="n">
        <v>4.43</v>
      </c>
      <c r="J427" s="38" t="n">
        <v>156</v>
      </c>
      <c r="K427" s="38" t="inlineStr">
        <is>
          <t>12</t>
        </is>
      </c>
      <c r="L427" s="39" t="inlineStr">
        <is>
          <t>СК1</t>
        </is>
      </c>
      <c r="M427" s="39" t="n"/>
      <c r="N427" s="38" t="n">
        <v>45</v>
      </c>
      <c r="O427" s="104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7" s="803" t="n"/>
      <c r="Q427" s="803" t="n"/>
      <c r="R427" s="803" t="n"/>
      <c r="S427" s="767" t="n"/>
      <c r="T427" s="40" t="inlineStr"/>
      <c r="U427" s="40" t="inlineStr"/>
      <c r="V427" s="41" t="inlineStr">
        <is>
          <t>кг</t>
        </is>
      </c>
      <c r="W427" s="804" t="n">
        <v>160</v>
      </c>
      <c r="X427" s="805">
        <f>IFERROR(IF(W427="",0,CEILING((W427/$H427),1)*$H427),"")</f>
        <v/>
      </c>
      <c r="Y427" s="42">
        <f>IFERROR(IF(X427=0,"",ROUNDUP(X427/H427,0)*0.00753),"")</f>
        <v/>
      </c>
      <c r="Z427" s="69" t="inlineStr"/>
      <c r="AA427" s="70" t="inlineStr"/>
      <c r="AE427" s="80" t="n"/>
      <c r="BB427" s="316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 ht="27" customHeight="1">
      <c r="A428" s="64" t="inlineStr">
        <is>
          <t>SU003071</t>
        </is>
      </c>
      <c r="B428" s="64" t="inlineStr">
        <is>
          <t>P003612</t>
        </is>
      </c>
      <c r="C428" s="37" t="n">
        <v>4301031247</v>
      </c>
      <c r="D428" s="384" t="n">
        <v>4680115883048</v>
      </c>
      <c r="E428" s="767" t="n"/>
      <c r="F428" s="801" t="n">
        <v>1</v>
      </c>
      <c r="G428" s="38" t="n">
        <v>4</v>
      </c>
      <c r="H428" s="801" t="n">
        <v>4</v>
      </c>
      <c r="I428" s="801" t="n">
        <v>4.21</v>
      </c>
      <c r="J428" s="38" t="n">
        <v>120</v>
      </c>
      <c r="K428" s="38" t="inlineStr">
        <is>
          <t>12</t>
        </is>
      </c>
      <c r="L428" s="39" t="inlineStr">
        <is>
          <t>СК2</t>
        </is>
      </c>
      <c r="M428" s="39" t="n"/>
      <c r="N428" s="38" t="n">
        <v>40</v>
      </c>
      <c r="O428" s="104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8" s="803" t="n"/>
      <c r="Q428" s="803" t="n"/>
      <c r="R428" s="803" t="n"/>
      <c r="S428" s="767" t="n"/>
      <c r="T428" s="40" t="inlineStr"/>
      <c r="U428" s="40" t="inlineStr"/>
      <c r="V428" s="41" t="inlineStr">
        <is>
          <t>кг</t>
        </is>
      </c>
      <c r="W428" s="804" t="n">
        <v>0</v>
      </c>
      <c r="X428" s="805">
        <f>IFERROR(IF(W428="",0,CEILING((W428/$H428),1)*$H428),"")</f>
        <v/>
      </c>
      <c r="Y428" s="42">
        <f>IFERROR(IF(X428=0,"",ROUNDUP(X428/H428,0)*0.00937),"")</f>
        <v/>
      </c>
      <c r="Z428" s="69" t="inlineStr"/>
      <c r="AA428" s="70" t="inlineStr"/>
      <c r="AE428" s="80" t="n"/>
      <c r="BB428" s="317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SU002545</t>
        </is>
      </c>
      <c r="B429" s="64" t="inlineStr">
        <is>
          <t>P003137</t>
        </is>
      </c>
      <c r="C429" s="37" t="n">
        <v>4301031176</v>
      </c>
      <c r="D429" s="384" t="n">
        <v>4607091389425</v>
      </c>
      <c r="E429" s="767" t="n"/>
      <c r="F429" s="801" t="n">
        <v>0.35</v>
      </c>
      <c r="G429" s="38" t="n">
        <v>6</v>
      </c>
      <c r="H429" s="801" t="n">
        <v>2.1</v>
      </c>
      <c r="I429" s="801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9" t="n"/>
      <c r="N429" s="38" t="n">
        <v>45</v>
      </c>
      <c r="O429" s="104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29" s="803" t="n"/>
      <c r="Q429" s="803" t="n"/>
      <c r="R429" s="803" t="n"/>
      <c r="S429" s="767" t="n"/>
      <c r="T429" s="40" t="inlineStr"/>
      <c r="U429" s="40" t="inlineStr"/>
      <c r="V429" s="41" t="inlineStr">
        <is>
          <t>кг</t>
        </is>
      </c>
      <c r="W429" s="804" t="n">
        <v>0</v>
      </c>
      <c r="X429" s="805">
        <f>IFERROR(IF(W429="",0,CEILING((W429/$H429),1)*$H429),"")</f>
        <v/>
      </c>
      <c r="Y429" s="42">
        <f>IFERROR(IF(X429=0,"",ROUNDUP(X429/H429,0)*0.00502),"")</f>
        <v/>
      </c>
      <c r="Z429" s="69" t="inlineStr"/>
      <c r="AA429" s="70" t="inlineStr"/>
      <c r="AE429" s="80" t="n"/>
      <c r="BB429" s="318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SU002917</t>
        </is>
      </c>
      <c r="B430" s="64" t="inlineStr">
        <is>
          <t>P003343</t>
        </is>
      </c>
      <c r="C430" s="37" t="n">
        <v>4301031215</v>
      </c>
      <c r="D430" s="384" t="n">
        <v>4680115882911</v>
      </c>
      <c r="E430" s="767" t="n"/>
      <c r="F430" s="801" t="n">
        <v>0.4</v>
      </c>
      <c r="G430" s="38" t="n">
        <v>6</v>
      </c>
      <c r="H430" s="801" t="n">
        <v>2.4</v>
      </c>
      <c r="I430" s="801" t="n">
        <v>2.53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40</v>
      </c>
      <c r="O430" s="1047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0" s="803" t="n"/>
      <c r="Q430" s="803" t="n"/>
      <c r="R430" s="803" t="n"/>
      <c r="S430" s="767" t="n"/>
      <c r="T430" s="40" t="inlineStr"/>
      <c r="U430" s="40" t="inlineStr"/>
      <c r="V430" s="41" t="inlineStr">
        <is>
          <t>кг</t>
        </is>
      </c>
      <c r="W430" s="804" t="n">
        <v>0</v>
      </c>
      <c r="X430" s="805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19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SU002726</t>
        </is>
      </c>
      <c r="B431" s="64" t="inlineStr">
        <is>
          <t>P003095</t>
        </is>
      </c>
      <c r="C431" s="37" t="n">
        <v>4301031167</v>
      </c>
      <c r="D431" s="384" t="n">
        <v>4680115880771</v>
      </c>
      <c r="E431" s="767" t="n"/>
      <c r="F431" s="801" t="n">
        <v>0.28</v>
      </c>
      <c r="G431" s="38" t="n">
        <v>6</v>
      </c>
      <c r="H431" s="801" t="n">
        <v>1.68</v>
      </c>
      <c r="I431" s="801" t="n">
        <v>1.81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45</v>
      </c>
      <c r="O431" s="104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1" s="803" t="n"/>
      <c r="Q431" s="803" t="n"/>
      <c r="R431" s="803" t="n"/>
      <c r="S431" s="767" t="n"/>
      <c r="T431" s="40" t="inlineStr"/>
      <c r="U431" s="40" t="inlineStr"/>
      <c r="V431" s="41" t="inlineStr">
        <is>
          <t>кг</t>
        </is>
      </c>
      <c r="W431" s="804" t="n">
        <v>0</v>
      </c>
      <c r="X431" s="805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0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SU002604</t>
        </is>
      </c>
      <c r="B432" s="64" t="inlineStr">
        <is>
          <t>P003135</t>
        </is>
      </c>
      <c r="C432" s="37" t="n">
        <v>4301031173</v>
      </c>
      <c r="D432" s="384" t="n">
        <v>4607091389500</v>
      </c>
      <c r="E432" s="767" t="n"/>
      <c r="F432" s="801" t="n">
        <v>0.35</v>
      </c>
      <c r="G432" s="38" t="n">
        <v>6</v>
      </c>
      <c r="H432" s="801" t="n">
        <v>2.1</v>
      </c>
      <c r="I432" s="80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4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2" s="803" t="n"/>
      <c r="Q432" s="803" t="n"/>
      <c r="R432" s="803" t="n"/>
      <c r="S432" s="767" t="n"/>
      <c r="T432" s="40" t="inlineStr"/>
      <c r="U432" s="40" t="inlineStr"/>
      <c r="V432" s="41" t="inlineStr">
        <is>
          <t>кг</t>
        </is>
      </c>
      <c r="W432" s="804" t="n">
        <v>21</v>
      </c>
      <c r="X432" s="805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21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SU002358</t>
        </is>
      </c>
      <c r="B433" s="64" t="inlineStr">
        <is>
          <t>P002642</t>
        </is>
      </c>
      <c r="C433" s="37" t="n">
        <v>4301031103</v>
      </c>
      <c r="D433" s="384" t="n">
        <v>4680115881983</v>
      </c>
      <c r="E433" s="767" t="n"/>
      <c r="F433" s="801" t="n">
        <v>0.28</v>
      </c>
      <c r="G433" s="38" t="n">
        <v>4</v>
      </c>
      <c r="H433" s="801" t="n">
        <v>1.12</v>
      </c>
      <c r="I433" s="801" t="n">
        <v>1.252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5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3" s="803" t="n"/>
      <c r="Q433" s="803" t="n"/>
      <c r="R433" s="803" t="n"/>
      <c r="S433" s="767" t="n"/>
      <c r="T433" s="40" t="inlineStr"/>
      <c r="U433" s="40" t="inlineStr"/>
      <c r="V433" s="41" t="inlineStr">
        <is>
          <t>кг</t>
        </is>
      </c>
      <c r="W433" s="804" t="n">
        <v>0</v>
      </c>
      <c r="X433" s="805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2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>
      <c r="A434" s="393" t="n"/>
      <c r="B434" s="381" t="n"/>
      <c r="C434" s="381" t="n"/>
      <c r="D434" s="381" t="n"/>
      <c r="E434" s="381" t="n"/>
      <c r="F434" s="381" t="n"/>
      <c r="G434" s="381" t="n"/>
      <c r="H434" s="381" t="n"/>
      <c r="I434" s="381" t="n"/>
      <c r="J434" s="381" t="n"/>
      <c r="K434" s="381" t="n"/>
      <c r="L434" s="381" t="n"/>
      <c r="M434" s="381" t="n"/>
      <c r="N434" s="807" t="n"/>
      <c r="O434" s="808" t="inlineStr">
        <is>
          <t>Итого</t>
        </is>
      </c>
      <c r="P434" s="775" t="n"/>
      <c r="Q434" s="775" t="n"/>
      <c r="R434" s="775" t="n"/>
      <c r="S434" s="775" t="n"/>
      <c r="T434" s="775" t="n"/>
      <c r="U434" s="776" t="n"/>
      <c r="V434" s="43" t="inlineStr">
        <is>
          <t>кор</t>
        </is>
      </c>
      <c r="W434" s="809">
        <f>IFERROR(W427/H427,"0")+IFERROR(W428/H428,"0")+IFERROR(W429/H429,"0")+IFERROR(W430/H430,"0")+IFERROR(W431/H431,"0")+IFERROR(W432/H432,"0")+IFERROR(W433/H433,"0")</f>
        <v/>
      </c>
      <c r="X434" s="809">
        <f>IFERROR(X427/H427,"0")+IFERROR(X428/H428,"0")+IFERROR(X429/H429,"0")+IFERROR(X430/H430,"0")+IFERROR(X431/H431,"0")+IFERROR(X432/H432,"0")+IFERROR(X433/H433,"0")</f>
        <v/>
      </c>
      <c r="Y434" s="809">
        <f>IFERROR(IF(Y427="",0,Y427),"0")+IFERROR(IF(Y428="",0,Y428),"0")+IFERROR(IF(Y429="",0,Y429),"0")+IFERROR(IF(Y430="",0,Y430),"0")+IFERROR(IF(Y431="",0,Y431),"0")+IFERROR(IF(Y432="",0,Y432),"0")+IFERROR(IF(Y433="",0,Y433),"0")</f>
        <v/>
      </c>
      <c r="Z434" s="810" t="n"/>
      <c r="AA434" s="810" t="n"/>
    </row>
    <row r="435">
      <c r="A435" s="381" t="n"/>
      <c r="B435" s="381" t="n"/>
      <c r="C435" s="381" t="n"/>
      <c r="D435" s="381" t="n"/>
      <c r="E435" s="381" t="n"/>
      <c r="F435" s="381" t="n"/>
      <c r="G435" s="381" t="n"/>
      <c r="H435" s="381" t="n"/>
      <c r="I435" s="381" t="n"/>
      <c r="J435" s="381" t="n"/>
      <c r="K435" s="381" t="n"/>
      <c r="L435" s="381" t="n"/>
      <c r="M435" s="381" t="n"/>
      <c r="N435" s="807" t="n"/>
      <c r="O435" s="808" t="inlineStr">
        <is>
          <t>Итого</t>
        </is>
      </c>
      <c r="P435" s="775" t="n"/>
      <c r="Q435" s="775" t="n"/>
      <c r="R435" s="775" t="n"/>
      <c r="S435" s="775" t="n"/>
      <c r="T435" s="775" t="n"/>
      <c r="U435" s="776" t="n"/>
      <c r="V435" s="43" t="inlineStr">
        <is>
          <t>кг</t>
        </is>
      </c>
      <c r="W435" s="809">
        <f>IFERROR(SUM(W427:W433),"0")</f>
        <v/>
      </c>
      <c r="X435" s="809">
        <f>IFERROR(SUM(X427:X433),"0")</f>
        <v/>
      </c>
      <c r="Y435" s="43" t="n"/>
      <c r="Z435" s="810" t="n"/>
      <c r="AA435" s="810" t="n"/>
    </row>
    <row r="436" ht="14.25" customHeight="1">
      <c r="A436" s="399" t="inlineStr">
        <is>
          <t>Сырокопченые колбасы</t>
        </is>
      </c>
      <c r="B436" s="381" t="n"/>
      <c r="C436" s="381" t="n"/>
      <c r="D436" s="381" t="n"/>
      <c r="E436" s="381" t="n"/>
      <c r="F436" s="381" t="n"/>
      <c r="G436" s="381" t="n"/>
      <c r="H436" s="381" t="n"/>
      <c r="I436" s="381" t="n"/>
      <c r="J436" s="381" t="n"/>
      <c r="K436" s="381" t="n"/>
      <c r="L436" s="381" t="n"/>
      <c r="M436" s="381" t="n"/>
      <c r="N436" s="381" t="n"/>
      <c r="O436" s="381" t="n"/>
      <c r="P436" s="381" t="n"/>
      <c r="Q436" s="381" t="n"/>
      <c r="R436" s="381" t="n"/>
      <c r="S436" s="381" t="n"/>
      <c r="T436" s="381" t="n"/>
      <c r="U436" s="381" t="n"/>
      <c r="V436" s="381" t="n"/>
      <c r="W436" s="381" t="n"/>
      <c r="X436" s="381" t="n"/>
      <c r="Y436" s="381" t="n"/>
      <c r="Z436" s="399" t="n"/>
      <c r="AA436" s="399" t="n"/>
    </row>
    <row r="437" ht="27" customHeight="1">
      <c r="A437" s="64" t="inlineStr">
        <is>
          <t>SU003280</t>
        </is>
      </c>
      <c r="B437" s="64" t="inlineStr">
        <is>
          <t>P003776</t>
        </is>
      </c>
      <c r="C437" s="37" t="n">
        <v>4301032046</v>
      </c>
      <c r="D437" s="384" t="n">
        <v>4680115884359</v>
      </c>
      <c r="E437" s="767" t="n"/>
      <c r="F437" s="801" t="n">
        <v>0.06</v>
      </c>
      <c r="G437" s="38" t="n">
        <v>20</v>
      </c>
      <c r="H437" s="801" t="n">
        <v>1.2</v>
      </c>
      <c r="I437" s="801" t="n">
        <v>1.8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9" t="n"/>
      <c r="N437" s="38" t="n">
        <v>60</v>
      </c>
      <c r="O437" s="1051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7" s="803" t="n"/>
      <c r="Q437" s="803" t="n"/>
      <c r="R437" s="803" t="n"/>
      <c r="S437" s="767" t="n"/>
      <c r="T437" s="40" t="inlineStr"/>
      <c r="U437" s="40" t="inlineStr"/>
      <c r="V437" s="41" t="inlineStr">
        <is>
          <t>кг</t>
        </is>
      </c>
      <c r="W437" s="804" t="n">
        <v>12</v>
      </c>
      <c r="X437" s="805">
        <f>IFERROR(IF(W437="",0,CEILING((W437/$H437),1)*$H437),"")</f>
        <v/>
      </c>
      <c r="Y437" s="42">
        <f>IFERROR(IF(X437=0,"",ROUNDUP(X437/H437,0)*0.00627),"")</f>
        <v/>
      </c>
      <c r="Z437" s="69" t="inlineStr"/>
      <c r="AA437" s="70" t="inlineStr"/>
      <c r="AE437" s="80" t="n"/>
      <c r="BB437" s="323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 ht="27" customHeight="1">
      <c r="A438" s="64" t="inlineStr">
        <is>
          <t>SU003315</t>
        </is>
      </c>
      <c r="B438" s="64" t="inlineStr">
        <is>
          <t>P004036</t>
        </is>
      </c>
      <c r="C438" s="37" t="n">
        <v>4301040358</v>
      </c>
      <c r="D438" s="384" t="n">
        <v>4680115884571</v>
      </c>
      <c r="E438" s="767" t="n"/>
      <c r="F438" s="801" t="n">
        <v>0.1</v>
      </c>
      <c r="G438" s="38" t="n">
        <v>20</v>
      </c>
      <c r="H438" s="801" t="n">
        <v>2</v>
      </c>
      <c r="I438" s="801" t="n">
        <v>2.6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9" t="n"/>
      <c r="N438" s="38" t="n">
        <v>60</v>
      </c>
      <c r="O438" s="1052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8" s="803" t="n"/>
      <c r="Q438" s="803" t="n"/>
      <c r="R438" s="803" t="n"/>
      <c r="S438" s="767" t="n"/>
      <c r="T438" s="40" t="inlineStr"/>
      <c r="U438" s="40" t="inlineStr"/>
      <c r="V438" s="41" t="inlineStr">
        <is>
          <t>кг</t>
        </is>
      </c>
      <c r="W438" s="804" t="n">
        <v>0</v>
      </c>
      <c r="X438" s="805">
        <f>IFERROR(IF(W438="",0,CEILING((W438/$H438),1)*$H438),"")</f>
        <v/>
      </c>
      <c r="Y438" s="42">
        <f>IFERROR(IF(X438=0,"",ROUNDUP(X438/H438,0)*0.00627),"")</f>
        <v/>
      </c>
      <c r="Z438" s="69" t="inlineStr"/>
      <c r="AA438" s="70" t="inlineStr"/>
      <c r="AE438" s="80" t="n"/>
      <c r="BB438" s="324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>
      <c r="A439" s="393" t="n"/>
      <c r="B439" s="381" t="n"/>
      <c r="C439" s="381" t="n"/>
      <c r="D439" s="381" t="n"/>
      <c r="E439" s="381" t="n"/>
      <c r="F439" s="381" t="n"/>
      <c r="G439" s="381" t="n"/>
      <c r="H439" s="381" t="n"/>
      <c r="I439" s="381" t="n"/>
      <c r="J439" s="381" t="n"/>
      <c r="K439" s="381" t="n"/>
      <c r="L439" s="381" t="n"/>
      <c r="M439" s="381" t="n"/>
      <c r="N439" s="807" t="n"/>
      <c r="O439" s="808" t="inlineStr">
        <is>
          <t>Итого</t>
        </is>
      </c>
      <c r="P439" s="775" t="n"/>
      <c r="Q439" s="775" t="n"/>
      <c r="R439" s="775" t="n"/>
      <c r="S439" s="775" t="n"/>
      <c r="T439" s="775" t="n"/>
      <c r="U439" s="776" t="n"/>
      <c r="V439" s="43" t="inlineStr">
        <is>
          <t>кор</t>
        </is>
      </c>
      <c r="W439" s="809">
        <f>IFERROR(W437/H437,"0")+IFERROR(W438/H438,"0")</f>
        <v/>
      </c>
      <c r="X439" s="809">
        <f>IFERROR(X437/H437,"0")+IFERROR(X438/H438,"0")</f>
        <v/>
      </c>
      <c r="Y439" s="809">
        <f>IFERROR(IF(Y437="",0,Y437),"0")+IFERROR(IF(Y438="",0,Y438),"0")</f>
        <v/>
      </c>
      <c r="Z439" s="810" t="n"/>
      <c r="AA439" s="810" t="n"/>
    </row>
    <row r="440">
      <c r="A440" s="381" t="n"/>
      <c r="B440" s="381" t="n"/>
      <c r="C440" s="381" t="n"/>
      <c r="D440" s="381" t="n"/>
      <c r="E440" s="381" t="n"/>
      <c r="F440" s="381" t="n"/>
      <c r="G440" s="381" t="n"/>
      <c r="H440" s="381" t="n"/>
      <c r="I440" s="381" t="n"/>
      <c r="J440" s="381" t="n"/>
      <c r="K440" s="381" t="n"/>
      <c r="L440" s="381" t="n"/>
      <c r="M440" s="381" t="n"/>
      <c r="N440" s="807" t="n"/>
      <c r="O440" s="808" t="inlineStr">
        <is>
          <t>Итого</t>
        </is>
      </c>
      <c r="P440" s="775" t="n"/>
      <c r="Q440" s="775" t="n"/>
      <c r="R440" s="775" t="n"/>
      <c r="S440" s="775" t="n"/>
      <c r="T440" s="775" t="n"/>
      <c r="U440" s="776" t="n"/>
      <c r="V440" s="43" t="inlineStr">
        <is>
          <t>кг</t>
        </is>
      </c>
      <c r="W440" s="809">
        <f>IFERROR(SUM(W437:W438),"0")</f>
        <v/>
      </c>
      <c r="X440" s="809">
        <f>IFERROR(SUM(X437:X438),"0")</f>
        <v/>
      </c>
      <c r="Y440" s="43" t="n"/>
      <c r="Z440" s="810" t="n"/>
      <c r="AA440" s="810" t="n"/>
    </row>
    <row r="441" ht="14.25" customHeight="1">
      <c r="A441" s="399" t="inlineStr">
        <is>
          <t>Сыровяленые колбасы</t>
        </is>
      </c>
      <c r="B441" s="381" t="n"/>
      <c r="C441" s="381" t="n"/>
      <c r="D441" s="381" t="n"/>
      <c r="E441" s="381" t="n"/>
      <c r="F441" s="381" t="n"/>
      <c r="G441" s="381" t="n"/>
      <c r="H441" s="381" t="n"/>
      <c r="I441" s="381" t="n"/>
      <c r="J441" s="381" t="n"/>
      <c r="K441" s="381" t="n"/>
      <c r="L441" s="381" t="n"/>
      <c r="M441" s="381" t="n"/>
      <c r="N441" s="381" t="n"/>
      <c r="O441" s="381" t="n"/>
      <c r="P441" s="381" t="n"/>
      <c r="Q441" s="381" t="n"/>
      <c r="R441" s="381" t="n"/>
      <c r="S441" s="381" t="n"/>
      <c r="T441" s="381" t="n"/>
      <c r="U441" s="381" t="n"/>
      <c r="V441" s="381" t="n"/>
      <c r="W441" s="381" t="n"/>
      <c r="X441" s="381" t="n"/>
      <c r="Y441" s="381" t="n"/>
      <c r="Z441" s="399" t="n"/>
      <c r="AA441" s="399" t="n"/>
    </row>
    <row r="442" ht="27" customHeight="1">
      <c r="A442" s="64" t="inlineStr">
        <is>
          <t>SU003279</t>
        </is>
      </c>
      <c r="B442" s="64" t="inlineStr">
        <is>
          <t>P003773</t>
        </is>
      </c>
      <c r="C442" s="37" t="n">
        <v>4301170010</v>
      </c>
      <c r="D442" s="384" t="n">
        <v>4680115884090</v>
      </c>
      <c r="E442" s="767" t="n"/>
      <c r="F442" s="801" t="n">
        <v>0.11</v>
      </c>
      <c r="G442" s="38" t="n">
        <v>12</v>
      </c>
      <c r="H442" s="801" t="n">
        <v>1.32</v>
      </c>
      <c r="I442" s="801" t="n">
        <v>1.88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150</v>
      </c>
      <c r="O442" s="105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2" s="803" t="n"/>
      <c r="Q442" s="803" t="n"/>
      <c r="R442" s="803" t="n"/>
      <c r="S442" s="767" t="n"/>
      <c r="T442" s="40" t="inlineStr"/>
      <c r="U442" s="40" t="inlineStr"/>
      <c r="V442" s="41" t="inlineStr">
        <is>
          <t>кг</t>
        </is>
      </c>
      <c r="W442" s="804" t="n">
        <v>11</v>
      </c>
      <c r="X442" s="805">
        <f>IFERROR(IF(W442="",0,CEILING((W442/$H442),1)*$H442),"")</f>
        <v/>
      </c>
      <c r="Y442" s="42">
        <f>IFERROR(IF(X442=0,"",ROUNDUP(X442/H442,0)*0.00627),"")</f>
        <v/>
      </c>
      <c r="Z442" s="69" t="inlineStr"/>
      <c r="AA442" s="70" t="inlineStr"/>
      <c r="AE442" s="80" t="n"/>
      <c r="BB442" s="325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>
      <c r="A443" s="393" t="n"/>
      <c r="B443" s="381" t="n"/>
      <c r="C443" s="381" t="n"/>
      <c r="D443" s="381" t="n"/>
      <c r="E443" s="381" t="n"/>
      <c r="F443" s="381" t="n"/>
      <c r="G443" s="381" t="n"/>
      <c r="H443" s="381" t="n"/>
      <c r="I443" s="381" t="n"/>
      <c r="J443" s="381" t="n"/>
      <c r="K443" s="381" t="n"/>
      <c r="L443" s="381" t="n"/>
      <c r="M443" s="381" t="n"/>
      <c r="N443" s="807" t="n"/>
      <c r="O443" s="808" t="inlineStr">
        <is>
          <t>Итого</t>
        </is>
      </c>
      <c r="P443" s="775" t="n"/>
      <c r="Q443" s="775" t="n"/>
      <c r="R443" s="775" t="n"/>
      <c r="S443" s="775" t="n"/>
      <c r="T443" s="775" t="n"/>
      <c r="U443" s="776" t="n"/>
      <c r="V443" s="43" t="inlineStr">
        <is>
          <t>кор</t>
        </is>
      </c>
      <c r="W443" s="809">
        <f>IFERROR(W442/H442,"0")</f>
        <v/>
      </c>
      <c r="X443" s="809">
        <f>IFERROR(X442/H442,"0")</f>
        <v/>
      </c>
      <c r="Y443" s="809">
        <f>IFERROR(IF(Y442="",0,Y442),"0")</f>
        <v/>
      </c>
      <c r="Z443" s="810" t="n"/>
      <c r="AA443" s="810" t="n"/>
    </row>
    <row r="444">
      <c r="A444" s="381" t="n"/>
      <c r="B444" s="381" t="n"/>
      <c r="C444" s="381" t="n"/>
      <c r="D444" s="381" t="n"/>
      <c r="E444" s="381" t="n"/>
      <c r="F444" s="381" t="n"/>
      <c r="G444" s="381" t="n"/>
      <c r="H444" s="381" t="n"/>
      <c r="I444" s="381" t="n"/>
      <c r="J444" s="381" t="n"/>
      <c r="K444" s="381" t="n"/>
      <c r="L444" s="381" t="n"/>
      <c r="M444" s="381" t="n"/>
      <c r="N444" s="807" t="n"/>
      <c r="O444" s="808" t="inlineStr">
        <is>
          <t>Итого</t>
        </is>
      </c>
      <c r="P444" s="775" t="n"/>
      <c r="Q444" s="775" t="n"/>
      <c r="R444" s="775" t="n"/>
      <c r="S444" s="775" t="n"/>
      <c r="T444" s="775" t="n"/>
      <c r="U444" s="776" t="n"/>
      <c r="V444" s="43" t="inlineStr">
        <is>
          <t>кг</t>
        </is>
      </c>
      <c r="W444" s="809">
        <f>IFERROR(SUM(W442:W442),"0")</f>
        <v/>
      </c>
      <c r="X444" s="809">
        <f>IFERROR(SUM(X442:X442),"0")</f>
        <v/>
      </c>
      <c r="Y444" s="43" t="n"/>
      <c r="Z444" s="810" t="n"/>
      <c r="AA444" s="810" t="n"/>
    </row>
    <row r="445" ht="14.25" customHeight="1">
      <c r="A445" s="399" t="inlineStr">
        <is>
          <t>Деликатесы</t>
        </is>
      </c>
      <c r="B445" s="381" t="n"/>
      <c r="C445" s="381" t="n"/>
      <c r="D445" s="381" t="n"/>
      <c r="E445" s="381" t="n"/>
      <c r="F445" s="381" t="n"/>
      <c r="G445" s="381" t="n"/>
      <c r="H445" s="381" t="n"/>
      <c r="I445" s="381" t="n"/>
      <c r="J445" s="381" t="n"/>
      <c r="K445" s="381" t="n"/>
      <c r="L445" s="381" t="n"/>
      <c r="M445" s="381" t="n"/>
      <c r="N445" s="381" t="n"/>
      <c r="O445" s="381" t="n"/>
      <c r="P445" s="381" t="n"/>
      <c r="Q445" s="381" t="n"/>
      <c r="R445" s="381" t="n"/>
      <c r="S445" s="381" t="n"/>
      <c r="T445" s="381" t="n"/>
      <c r="U445" s="381" t="n"/>
      <c r="V445" s="381" t="n"/>
      <c r="W445" s="381" t="n"/>
      <c r="X445" s="381" t="n"/>
      <c r="Y445" s="381" t="n"/>
      <c r="Z445" s="399" t="n"/>
      <c r="AA445" s="399" t="n"/>
    </row>
    <row r="446" ht="27" customHeight="1">
      <c r="A446" s="64" t="inlineStr">
        <is>
          <t>SU003314</t>
        </is>
      </c>
      <c r="B446" s="64" t="inlineStr">
        <is>
          <t>P004035</t>
        </is>
      </c>
      <c r="C446" s="37" t="n">
        <v>4301040357</v>
      </c>
      <c r="D446" s="384" t="n">
        <v>4680115884564</v>
      </c>
      <c r="E446" s="767" t="n"/>
      <c r="F446" s="801" t="n">
        <v>0.15</v>
      </c>
      <c r="G446" s="38" t="n">
        <v>20</v>
      </c>
      <c r="H446" s="801" t="n">
        <v>3</v>
      </c>
      <c r="I446" s="801" t="n">
        <v>3.6</v>
      </c>
      <c r="J446" s="38" t="n">
        <v>200</v>
      </c>
      <c r="K446" s="38" t="inlineStr">
        <is>
          <t>10</t>
        </is>
      </c>
      <c r="L446" s="39" t="inlineStr">
        <is>
          <t>ДК</t>
        </is>
      </c>
      <c r="M446" s="39" t="n"/>
      <c r="N446" s="38" t="n">
        <v>60</v>
      </c>
      <c r="O446" s="105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6" s="803" t="n"/>
      <c r="Q446" s="803" t="n"/>
      <c r="R446" s="803" t="n"/>
      <c r="S446" s="767" t="n"/>
      <c r="T446" s="40" t="inlineStr"/>
      <c r="U446" s="40" t="inlineStr"/>
      <c r="V446" s="41" t="inlineStr">
        <is>
          <t>кг</t>
        </is>
      </c>
      <c r="W446" s="804" t="n">
        <v>15</v>
      </c>
      <c r="X446" s="805">
        <f>IFERROR(IF(W446="",0,CEILING((W446/$H446),1)*$H446),"")</f>
        <v/>
      </c>
      <c r="Y446" s="42">
        <f>IFERROR(IF(X446=0,"",ROUNDUP(X446/H446,0)*0.00627),"")</f>
        <v/>
      </c>
      <c r="Z446" s="69" t="inlineStr"/>
      <c r="AA446" s="70" t="inlineStr"/>
      <c r="AE446" s="80" t="n"/>
      <c r="BB446" s="326" t="inlineStr">
        <is>
          <t>КИ</t>
        </is>
      </c>
      <c r="BL446" s="80">
        <f>IFERROR(W446*I446/H446,"0")</f>
        <v/>
      </c>
      <c r="BM446" s="80">
        <f>IFERROR(X446*I446/H446,"0")</f>
        <v/>
      </c>
      <c r="BN446" s="80">
        <f>IFERROR(1/J446*(W446/H446),"0")</f>
        <v/>
      </c>
      <c r="BO446" s="80">
        <f>IFERROR(1/J446*(X446/H446),"0")</f>
        <v/>
      </c>
    </row>
    <row r="447">
      <c r="A447" s="393" t="n"/>
      <c r="B447" s="381" t="n"/>
      <c r="C447" s="381" t="n"/>
      <c r="D447" s="381" t="n"/>
      <c r="E447" s="381" t="n"/>
      <c r="F447" s="381" t="n"/>
      <c r="G447" s="381" t="n"/>
      <c r="H447" s="381" t="n"/>
      <c r="I447" s="381" t="n"/>
      <c r="J447" s="381" t="n"/>
      <c r="K447" s="381" t="n"/>
      <c r="L447" s="381" t="n"/>
      <c r="M447" s="381" t="n"/>
      <c r="N447" s="807" t="n"/>
      <c r="O447" s="808" t="inlineStr">
        <is>
          <t>Итого</t>
        </is>
      </c>
      <c r="P447" s="775" t="n"/>
      <c r="Q447" s="775" t="n"/>
      <c r="R447" s="775" t="n"/>
      <c r="S447" s="775" t="n"/>
      <c r="T447" s="775" t="n"/>
      <c r="U447" s="776" t="n"/>
      <c r="V447" s="43" t="inlineStr">
        <is>
          <t>кор</t>
        </is>
      </c>
      <c r="W447" s="809">
        <f>IFERROR(W446/H446,"0")</f>
        <v/>
      </c>
      <c r="X447" s="809">
        <f>IFERROR(X446/H446,"0")</f>
        <v/>
      </c>
      <c r="Y447" s="809">
        <f>IFERROR(IF(Y446="",0,Y446),"0")</f>
        <v/>
      </c>
      <c r="Z447" s="810" t="n"/>
      <c r="AA447" s="810" t="n"/>
    </row>
    <row r="448">
      <c r="A448" s="381" t="n"/>
      <c r="B448" s="381" t="n"/>
      <c r="C448" s="381" t="n"/>
      <c r="D448" s="381" t="n"/>
      <c r="E448" s="381" t="n"/>
      <c r="F448" s="381" t="n"/>
      <c r="G448" s="381" t="n"/>
      <c r="H448" s="381" t="n"/>
      <c r="I448" s="381" t="n"/>
      <c r="J448" s="381" t="n"/>
      <c r="K448" s="381" t="n"/>
      <c r="L448" s="381" t="n"/>
      <c r="M448" s="381" t="n"/>
      <c r="N448" s="807" t="n"/>
      <c r="O448" s="808" t="inlineStr">
        <is>
          <t>Итого</t>
        </is>
      </c>
      <c r="P448" s="775" t="n"/>
      <c r="Q448" s="775" t="n"/>
      <c r="R448" s="775" t="n"/>
      <c r="S448" s="775" t="n"/>
      <c r="T448" s="775" t="n"/>
      <c r="U448" s="776" t="n"/>
      <c r="V448" s="43" t="inlineStr">
        <is>
          <t>кг</t>
        </is>
      </c>
      <c r="W448" s="809">
        <f>IFERROR(SUM(W446:W446),"0")</f>
        <v/>
      </c>
      <c r="X448" s="809">
        <f>IFERROR(SUM(X446:X446),"0")</f>
        <v/>
      </c>
      <c r="Y448" s="43" t="n"/>
      <c r="Z448" s="810" t="n"/>
      <c r="AA448" s="810" t="n"/>
    </row>
    <row r="449" ht="16.5" customHeight="1">
      <c r="A449" s="421" t="inlineStr">
        <is>
          <t>Краковюрст</t>
        </is>
      </c>
      <c r="B449" s="381" t="n"/>
      <c r="C449" s="381" t="n"/>
      <c r="D449" s="381" t="n"/>
      <c r="E449" s="381" t="n"/>
      <c r="F449" s="381" t="n"/>
      <c r="G449" s="381" t="n"/>
      <c r="H449" s="381" t="n"/>
      <c r="I449" s="381" t="n"/>
      <c r="J449" s="381" t="n"/>
      <c r="K449" s="381" t="n"/>
      <c r="L449" s="381" t="n"/>
      <c r="M449" s="381" t="n"/>
      <c r="N449" s="381" t="n"/>
      <c r="O449" s="381" t="n"/>
      <c r="P449" s="381" t="n"/>
      <c r="Q449" s="381" t="n"/>
      <c r="R449" s="381" t="n"/>
      <c r="S449" s="381" t="n"/>
      <c r="T449" s="381" t="n"/>
      <c r="U449" s="381" t="n"/>
      <c r="V449" s="381" t="n"/>
      <c r="W449" s="381" t="n"/>
      <c r="X449" s="381" t="n"/>
      <c r="Y449" s="381" t="n"/>
      <c r="Z449" s="421" t="n"/>
      <c r="AA449" s="421" t="n"/>
    </row>
    <row r="450" ht="14.25" customHeight="1">
      <c r="A450" s="399" t="inlineStr">
        <is>
          <t>Копченые колбасы</t>
        </is>
      </c>
      <c r="B450" s="381" t="n"/>
      <c r="C450" s="381" t="n"/>
      <c r="D450" s="381" t="n"/>
      <c r="E450" s="381" t="n"/>
      <c r="F450" s="381" t="n"/>
      <c r="G450" s="381" t="n"/>
      <c r="H450" s="381" t="n"/>
      <c r="I450" s="381" t="n"/>
      <c r="J450" s="381" t="n"/>
      <c r="K450" s="381" t="n"/>
      <c r="L450" s="381" t="n"/>
      <c r="M450" s="381" t="n"/>
      <c r="N450" s="381" t="n"/>
      <c r="O450" s="381" t="n"/>
      <c r="P450" s="381" t="n"/>
      <c r="Q450" s="381" t="n"/>
      <c r="R450" s="381" t="n"/>
      <c r="S450" s="381" t="n"/>
      <c r="T450" s="381" t="n"/>
      <c r="U450" s="381" t="n"/>
      <c r="V450" s="381" t="n"/>
      <c r="W450" s="381" t="n"/>
      <c r="X450" s="381" t="n"/>
      <c r="Y450" s="381" t="n"/>
      <c r="Z450" s="399" t="n"/>
      <c r="AA450" s="399" t="n"/>
    </row>
    <row r="451" ht="27" customHeight="1">
      <c r="A451" s="64" t="inlineStr">
        <is>
          <t>SU003345</t>
        </is>
      </c>
      <c r="B451" s="64" t="inlineStr">
        <is>
          <t>P004143</t>
        </is>
      </c>
      <c r="C451" s="37" t="n">
        <v>4301031294</v>
      </c>
      <c r="D451" s="384" t="n">
        <v>4680115885189</v>
      </c>
      <c r="E451" s="767" t="n"/>
      <c r="F451" s="801" t="n">
        <v>0.2</v>
      </c>
      <c r="G451" s="38" t="n">
        <v>6</v>
      </c>
      <c r="H451" s="801" t="n">
        <v>1.2</v>
      </c>
      <c r="I451" s="801" t="n">
        <v>1.372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55" t="inlineStr">
        <is>
          <t>Колбаса полукопченая Краковюрст ТМ Баварушка рубленая черева в/у ф/в 0,2 кг</t>
        </is>
      </c>
      <c r="P451" s="803" t="n"/>
      <c r="Q451" s="803" t="n"/>
      <c r="R451" s="803" t="n"/>
      <c r="S451" s="767" t="n"/>
      <c r="T451" s="40" t="inlineStr"/>
      <c r="U451" s="40" t="inlineStr"/>
      <c r="V451" s="41" t="inlineStr">
        <is>
          <t>кг</t>
        </is>
      </c>
      <c r="W451" s="804" t="n">
        <v>0</v>
      </c>
      <c r="X451" s="805">
        <f>IFERROR(IF(W451="",0,CEILING((W451/$H451),1)*$H451),"")</f>
        <v/>
      </c>
      <c r="Y451" s="42">
        <f>IFERROR(IF(X451=0,"",ROUNDUP(X451/H451,0)*0.00502),"")</f>
        <v/>
      </c>
      <c r="Z451" s="69" t="inlineStr"/>
      <c r="AA451" s="70" t="inlineStr">
        <is>
          <t>Новинка</t>
        </is>
      </c>
      <c r="AE451" s="80" t="n"/>
      <c r="BB451" s="327" t="inlineStr">
        <is>
          <t>КИ</t>
        </is>
      </c>
      <c r="BL451" s="80">
        <f>IFERROR(W451*I451/H451,"0")</f>
        <v/>
      </c>
      <c r="BM451" s="80">
        <f>IFERROR(X451*I451/H451,"0")</f>
        <v/>
      </c>
      <c r="BN451" s="80">
        <f>IFERROR(1/J451*(W451/H451),"0")</f>
        <v/>
      </c>
      <c r="BO451" s="80">
        <f>IFERROR(1/J451*(X451/H451),"0")</f>
        <v/>
      </c>
    </row>
    <row r="452" ht="27" customHeight="1">
      <c r="A452" s="64" t="inlineStr">
        <is>
          <t>SU003344</t>
        </is>
      </c>
      <c r="B452" s="64" t="inlineStr">
        <is>
          <t>P004142</t>
        </is>
      </c>
      <c r="C452" s="37" t="n">
        <v>4301031293</v>
      </c>
      <c r="D452" s="384" t="n">
        <v>4680115885172</v>
      </c>
      <c r="E452" s="767" t="n"/>
      <c r="F452" s="801" t="n">
        <v>0.2</v>
      </c>
      <c r="G452" s="38" t="n">
        <v>6</v>
      </c>
      <c r="H452" s="801" t="n">
        <v>1.2</v>
      </c>
      <c r="I452" s="801" t="n">
        <v>1.3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40</v>
      </c>
      <c r="O452" s="1056" t="inlineStr">
        <is>
          <t>Колбаса полукопченая Краковюрст ТМ Баварушка с душистым чесноком черева в/у ф/в 0,2 кг</t>
        </is>
      </c>
      <c r="P452" s="803" t="n"/>
      <c r="Q452" s="803" t="n"/>
      <c r="R452" s="803" t="n"/>
      <c r="S452" s="767" t="n"/>
      <c r="T452" s="40" t="inlineStr"/>
      <c r="U452" s="40" t="inlineStr"/>
      <c r="V452" s="41" t="inlineStr">
        <is>
          <t>кг</t>
        </is>
      </c>
      <c r="W452" s="804" t="n">
        <v>0</v>
      </c>
      <c r="X452" s="805">
        <f>IFERROR(IF(W452="",0,CEILING((W452/$H452),1)*$H452),"")</f>
        <v/>
      </c>
      <c r="Y452" s="42">
        <f>IFERROR(IF(X452=0,"",ROUNDUP(X452/H452,0)*0.00502),"")</f>
        <v/>
      </c>
      <c r="Z452" s="69" t="inlineStr"/>
      <c r="AA452" s="70" t="inlineStr">
        <is>
          <t>Новинка</t>
        </is>
      </c>
      <c r="AE452" s="80" t="n"/>
      <c r="BB452" s="328" t="inlineStr">
        <is>
          <t>КИ</t>
        </is>
      </c>
      <c r="BL452" s="80">
        <f>IFERROR(W452*I452/H452,"0")</f>
        <v/>
      </c>
      <c r="BM452" s="80">
        <f>IFERROR(X452*I452/H452,"0")</f>
        <v/>
      </c>
      <c r="BN452" s="80">
        <f>IFERROR(1/J452*(W452/H452),"0")</f>
        <v/>
      </c>
      <c r="BO452" s="80">
        <f>IFERROR(1/J452*(X452/H452),"0")</f>
        <v/>
      </c>
    </row>
    <row r="453" ht="27" customHeight="1">
      <c r="A453" s="64" t="inlineStr">
        <is>
          <t>SU003342</t>
        </is>
      </c>
      <c r="B453" s="64" t="inlineStr">
        <is>
          <t>P004140</t>
        </is>
      </c>
      <c r="C453" s="37" t="n">
        <v>4301031291</v>
      </c>
      <c r="D453" s="384" t="n">
        <v>4680115885110</v>
      </c>
      <c r="E453" s="767" t="n"/>
      <c r="F453" s="801" t="n">
        <v>0.2</v>
      </c>
      <c r="G453" s="38" t="n">
        <v>6</v>
      </c>
      <c r="H453" s="801" t="n">
        <v>1.2</v>
      </c>
      <c r="I453" s="801" t="n">
        <v>2.02</v>
      </c>
      <c r="J453" s="38" t="n">
        <v>234</v>
      </c>
      <c r="K453" s="38" t="inlineStr">
        <is>
          <t>18</t>
        </is>
      </c>
      <c r="L453" s="39" t="inlineStr">
        <is>
          <t>СК2</t>
        </is>
      </c>
      <c r="M453" s="39" t="n"/>
      <c r="N453" s="38" t="n">
        <v>35</v>
      </c>
      <c r="O453" s="1057" t="inlineStr">
        <is>
          <t>Копченые колбасы «Краковюрст с изысканными пряностями копченые» ф/в 0,2 NDX ТМ «Баварушка»</t>
        </is>
      </c>
      <c r="P453" s="803" t="n"/>
      <c r="Q453" s="803" t="n"/>
      <c r="R453" s="803" t="n"/>
      <c r="S453" s="767" t="n"/>
      <c r="T453" s="40" t="inlineStr"/>
      <c r="U453" s="40" t="inlineStr"/>
      <c r="V453" s="41" t="inlineStr">
        <is>
          <t>кг</t>
        </is>
      </c>
      <c r="W453" s="804" t="n">
        <v>0</v>
      </c>
      <c r="X453" s="805">
        <f>IFERROR(IF(W453="",0,CEILING((W453/$H453),1)*$H453),"")</f>
        <v/>
      </c>
      <c r="Y453" s="42">
        <f>IFERROR(IF(X453=0,"",ROUNDUP(X453/H453,0)*0.00502),"")</f>
        <v/>
      </c>
      <c r="Z453" s="69" t="inlineStr"/>
      <c r="AA453" s="70" t="inlineStr">
        <is>
          <t>Новинка</t>
        </is>
      </c>
      <c r="AE453" s="80" t="n"/>
      <c r="BB453" s="329" t="inlineStr">
        <is>
          <t>КИ</t>
        </is>
      </c>
      <c r="BL453" s="80">
        <f>IFERROR(W453*I453/H453,"0")</f>
        <v/>
      </c>
      <c r="BM453" s="80">
        <f>IFERROR(X453*I453/H453,"0")</f>
        <v/>
      </c>
      <c r="BN453" s="80">
        <f>IFERROR(1/J453*(W453/H453),"0")</f>
        <v/>
      </c>
      <c r="BO453" s="80">
        <f>IFERROR(1/J453*(X453/H453),"0")</f>
        <v/>
      </c>
    </row>
    <row r="454">
      <c r="A454" s="393" t="n"/>
      <c r="B454" s="381" t="n"/>
      <c r="C454" s="381" t="n"/>
      <c r="D454" s="381" t="n"/>
      <c r="E454" s="381" t="n"/>
      <c r="F454" s="381" t="n"/>
      <c r="G454" s="381" t="n"/>
      <c r="H454" s="381" t="n"/>
      <c r="I454" s="381" t="n"/>
      <c r="J454" s="381" t="n"/>
      <c r="K454" s="381" t="n"/>
      <c r="L454" s="381" t="n"/>
      <c r="M454" s="381" t="n"/>
      <c r="N454" s="807" t="n"/>
      <c r="O454" s="808" t="inlineStr">
        <is>
          <t>Итого</t>
        </is>
      </c>
      <c r="P454" s="775" t="n"/>
      <c r="Q454" s="775" t="n"/>
      <c r="R454" s="775" t="n"/>
      <c r="S454" s="775" t="n"/>
      <c r="T454" s="775" t="n"/>
      <c r="U454" s="776" t="n"/>
      <c r="V454" s="43" t="inlineStr">
        <is>
          <t>кор</t>
        </is>
      </c>
      <c r="W454" s="809">
        <f>IFERROR(W451/H451,"0")+IFERROR(W452/H452,"0")+IFERROR(W453/H453,"0")</f>
        <v/>
      </c>
      <c r="X454" s="809">
        <f>IFERROR(X451/H451,"0")+IFERROR(X452/H452,"0")+IFERROR(X453/H453,"0")</f>
        <v/>
      </c>
      <c r="Y454" s="809">
        <f>IFERROR(IF(Y451="",0,Y451),"0")+IFERROR(IF(Y452="",0,Y452),"0")+IFERROR(IF(Y453="",0,Y453),"0")</f>
        <v/>
      </c>
      <c r="Z454" s="810" t="n"/>
      <c r="AA454" s="810" t="n"/>
    </row>
    <row r="455">
      <c r="A455" s="381" t="n"/>
      <c r="B455" s="381" t="n"/>
      <c r="C455" s="381" t="n"/>
      <c r="D455" s="381" t="n"/>
      <c r="E455" s="381" t="n"/>
      <c r="F455" s="381" t="n"/>
      <c r="G455" s="381" t="n"/>
      <c r="H455" s="381" t="n"/>
      <c r="I455" s="381" t="n"/>
      <c r="J455" s="381" t="n"/>
      <c r="K455" s="381" t="n"/>
      <c r="L455" s="381" t="n"/>
      <c r="M455" s="381" t="n"/>
      <c r="N455" s="807" t="n"/>
      <c r="O455" s="808" t="inlineStr">
        <is>
          <t>Итого</t>
        </is>
      </c>
      <c r="P455" s="775" t="n"/>
      <c r="Q455" s="775" t="n"/>
      <c r="R455" s="775" t="n"/>
      <c r="S455" s="775" t="n"/>
      <c r="T455" s="775" t="n"/>
      <c r="U455" s="776" t="n"/>
      <c r="V455" s="43" t="inlineStr">
        <is>
          <t>кг</t>
        </is>
      </c>
      <c r="W455" s="809">
        <f>IFERROR(SUM(W451:W453),"0")</f>
        <v/>
      </c>
      <c r="X455" s="809">
        <f>IFERROR(SUM(X451:X453),"0")</f>
        <v/>
      </c>
      <c r="Y455" s="43" t="n"/>
      <c r="Z455" s="810" t="n"/>
      <c r="AA455" s="810" t="n"/>
    </row>
    <row r="456" ht="27.75" customHeight="1">
      <c r="A456" s="420" t="inlineStr">
        <is>
          <t>Дугушка</t>
        </is>
      </c>
      <c r="B456" s="800" t="n"/>
      <c r="C456" s="800" t="n"/>
      <c r="D456" s="800" t="n"/>
      <c r="E456" s="800" t="n"/>
      <c r="F456" s="800" t="n"/>
      <c r="G456" s="800" t="n"/>
      <c r="H456" s="800" t="n"/>
      <c r="I456" s="800" t="n"/>
      <c r="J456" s="800" t="n"/>
      <c r="K456" s="800" t="n"/>
      <c r="L456" s="800" t="n"/>
      <c r="M456" s="800" t="n"/>
      <c r="N456" s="800" t="n"/>
      <c r="O456" s="800" t="n"/>
      <c r="P456" s="800" t="n"/>
      <c r="Q456" s="800" t="n"/>
      <c r="R456" s="800" t="n"/>
      <c r="S456" s="800" t="n"/>
      <c r="T456" s="800" t="n"/>
      <c r="U456" s="800" t="n"/>
      <c r="V456" s="800" t="n"/>
      <c r="W456" s="800" t="n"/>
      <c r="X456" s="800" t="n"/>
      <c r="Y456" s="800" t="n"/>
      <c r="Z456" s="55" t="n"/>
      <c r="AA456" s="55" t="n"/>
    </row>
    <row r="457" ht="16.5" customHeight="1">
      <c r="A457" s="421" t="inlineStr">
        <is>
          <t>Дугушка</t>
        </is>
      </c>
      <c r="B457" s="381" t="n"/>
      <c r="C457" s="381" t="n"/>
      <c r="D457" s="381" t="n"/>
      <c r="E457" s="381" t="n"/>
      <c r="F457" s="381" t="n"/>
      <c r="G457" s="381" t="n"/>
      <c r="H457" s="381" t="n"/>
      <c r="I457" s="381" t="n"/>
      <c r="J457" s="381" t="n"/>
      <c r="K457" s="381" t="n"/>
      <c r="L457" s="381" t="n"/>
      <c r="M457" s="381" t="n"/>
      <c r="N457" s="381" t="n"/>
      <c r="O457" s="381" t="n"/>
      <c r="P457" s="381" t="n"/>
      <c r="Q457" s="381" t="n"/>
      <c r="R457" s="381" t="n"/>
      <c r="S457" s="381" t="n"/>
      <c r="T457" s="381" t="n"/>
      <c r="U457" s="381" t="n"/>
      <c r="V457" s="381" t="n"/>
      <c r="W457" s="381" t="n"/>
      <c r="X457" s="381" t="n"/>
      <c r="Y457" s="381" t="n"/>
      <c r="Z457" s="421" t="n"/>
      <c r="AA457" s="421" t="n"/>
    </row>
    <row r="458" ht="14.25" customHeight="1">
      <c r="A458" s="399" t="inlineStr">
        <is>
          <t>Вареные колбасы</t>
        </is>
      </c>
      <c r="B458" s="381" t="n"/>
      <c r="C458" s="381" t="n"/>
      <c r="D458" s="381" t="n"/>
      <c r="E458" s="381" t="n"/>
      <c r="F458" s="381" t="n"/>
      <c r="G458" s="381" t="n"/>
      <c r="H458" s="381" t="n"/>
      <c r="I458" s="381" t="n"/>
      <c r="J458" s="381" t="n"/>
      <c r="K458" s="381" t="n"/>
      <c r="L458" s="381" t="n"/>
      <c r="M458" s="381" t="n"/>
      <c r="N458" s="381" t="n"/>
      <c r="O458" s="381" t="n"/>
      <c r="P458" s="381" t="n"/>
      <c r="Q458" s="381" t="n"/>
      <c r="R458" s="381" t="n"/>
      <c r="S458" s="381" t="n"/>
      <c r="T458" s="381" t="n"/>
      <c r="U458" s="381" t="n"/>
      <c r="V458" s="381" t="n"/>
      <c r="W458" s="381" t="n"/>
      <c r="X458" s="381" t="n"/>
      <c r="Y458" s="381" t="n"/>
      <c r="Z458" s="399" t="n"/>
      <c r="AA458" s="399" t="n"/>
    </row>
    <row r="459" ht="27" customHeight="1">
      <c r="A459" s="64" t="inlineStr">
        <is>
          <t>SU002011</t>
        </is>
      </c>
      <c r="B459" s="64" t="inlineStr">
        <is>
          <t>P004028</t>
        </is>
      </c>
      <c r="C459" s="37" t="n">
        <v>4301011795</v>
      </c>
      <c r="D459" s="384" t="n">
        <v>4607091389067</v>
      </c>
      <c r="E459" s="767" t="n"/>
      <c r="F459" s="801" t="n">
        <v>0.88</v>
      </c>
      <c r="G459" s="38" t="n">
        <v>6</v>
      </c>
      <c r="H459" s="801" t="n">
        <v>5.28</v>
      </c>
      <c r="I459" s="80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5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9" s="803" t="n"/>
      <c r="Q459" s="803" t="n"/>
      <c r="R459" s="803" t="n"/>
      <c r="S459" s="767" t="n"/>
      <c r="T459" s="40" t="inlineStr"/>
      <c r="U459" s="40" t="inlineStr"/>
      <c r="V459" s="41" t="inlineStr">
        <is>
          <t>кг</t>
        </is>
      </c>
      <c r="W459" s="804" t="n">
        <v>110</v>
      </c>
      <c r="X459" s="805">
        <f>IFERROR(IF(W459="",0,CEILING((W459/$H459),1)*$H459),"")</f>
        <v/>
      </c>
      <c r="Y459" s="42">
        <f>IFERROR(IF(X459=0,"",ROUNDUP(X459/H459,0)*0.01196),"")</f>
        <v/>
      </c>
      <c r="Z459" s="69" t="inlineStr"/>
      <c r="AA459" s="70" t="inlineStr"/>
      <c r="AE459" s="80" t="n"/>
      <c r="BB459" s="330" t="inlineStr">
        <is>
          <t>КИ</t>
        </is>
      </c>
      <c r="BL459" s="80">
        <f>IFERROR(W459*I459/H459,"0")</f>
        <v/>
      </c>
      <c r="BM459" s="80">
        <f>IFERROR(X459*I459/H459,"0")</f>
        <v/>
      </c>
      <c r="BN459" s="80">
        <f>IFERROR(1/J459*(W459/H459),"0")</f>
        <v/>
      </c>
      <c r="BO459" s="80">
        <f>IFERROR(1/J459*(X459/H459),"0")</f>
        <v/>
      </c>
    </row>
    <row r="460" ht="27" customHeight="1">
      <c r="A460" s="64" t="inlineStr">
        <is>
          <t>SU002094</t>
        </is>
      </c>
      <c r="B460" s="64" t="inlineStr">
        <is>
          <t>P004044</t>
        </is>
      </c>
      <c r="C460" s="37" t="n">
        <v>4301011779</v>
      </c>
      <c r="D460" s="384" t="n">
        <v>4607091383522</v>
      </c>
      <c r="E460" s="767" t="n"/>
      <c r="F460" s="801" t="n">
        <v>0.88</v>
      </c>
      <c r="G460" s="38" t="n">
        <v>6</v>
      </c>
      <c r="H460" s="801" t="n">
        <v>5.28</v>
      </c>
      <c r="I460" s="801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9" t="n"/>
      <c r="N460" s="38" t="n">
        <v>60</v>
      </c>
      <c r="O460" s="1059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60" s="803" t="n"/>
      <c r="Q460" s="803" t="n"/>
      <c r="R460" s="803" t="n"/>
      <c r="S460" s="767" t="n"/>
      <c r="T460" s="40" t="inlineStr"/>
      <c r="U460" s="40" t="inlineStr"/>
      <c r="V460" s="41" t="inlineStr">
        <is>
          <t>кг</t>
        </is>
      </c>
      <c r="W460" s="804" t="n">
        <v>100</v>
      </c>
      <c r="X460" s="805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3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SU002634</t>
        </is>
      </c>
      <c r="B461" s="64" t="inlineStr">
        <is>
          <t>P002989</t>
        </is>
      </c>
      <c r="C461" s="37" t="n">
        <v>4301011369</v>
      </c>
      <c r="D461" s="384" t="n">
        <v>4680115885226</v>
      </c>
      <c r="E461" s="767" t="n"/>
      <c r="F461" s="801" t="n">
        <v>0.85</v>
      </c>
      <c r="G461" s="38" t="n">
        <v>6</v>
      </c>
      <c r="H461" s="801" t="n">
        <v>5.1</v>
      </c>
      <c r="I461" s="801" t="n">
        <v>5.46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60" t="inlineStr">
        <is>
          <t>Вареные колбасы «Дугушка Стародворская» Вес п/а ТМ «Дугушка»</t>
        </is>
      </c>
      <c r="P461" s="803" t="n"/>
      <c r="Q461" s="803" t="n"/>
      <c r="R461" s="803" t="n"/>
      <c r="S461" s="767" t="n"/>
      <c r="T461" s="40" t="inlineStr"/>
      <c r="U461" s="40" t="inlineStr"/>
      <c r="V461" s="41" t="inlineStr">
        <is>
          <t>кг</t>
        </is>
      </c>
      <c r="W461" s="804" t="n">
        <v>0</v>
      </c>
      <c r="X461" s="805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27" customHeight="1">
      <c r="A462" s="64" t="inlineStr">
        <is>
          <t>SU002182</t>
        </is>
      </c>
      <c r="B462" s="64" t="inlineStr">
        <is>
          <t>P004049</t>
        </is>
      </c>
      <c r="C462" s="37" t="n">
        <v>4301011785</v>
      </c>
      <c r="D462" s="384" t="n">
        <v>4607091384437</v>
      </c>
      <c r="E462" s="767" t="n"/>
      <c r="F462" s="801" t="n">
        <v>0.88</v>
      </c>
      <c r="G462" s="38" t="n">
        <v>6</v>
      </c>
      <c r="H462" s="801" t="n">
        <v>5.28</v>
      </c>
      <c r="I462" s="80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61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62" s="803" t="n"/>
      <c r="Q462" s="803" t="n"/>
      <c r="R462" s="803" t="n"/>
      <c r="S462" s="767" t="n"/>
      <c r="T462" s="40" t="inlineStr"/>
      <c r="U462" s="40" t="inlineStr"/>
      <c r="V462" s="41" t="inlineStr">
        <is>
          <t>кг</t>
        </is>
      </c>
      <c r="W462" s="804" t="n">
        <v>0</v>
      </c>
      <c r="X462" s="805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3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16.5" customHeight="1">
      <c r="A463" s="64" t="inlineStr">
        <is>
          <t>SU002998</t>
        </is>
      </c>
      <c r="B463" s="64" t="inlineStr">
        <is>
          <t>P004033</t>
        </is>
      </c>
      <c r="C463" s="37" t="n">
        <v>4301011774</v>
      </c>
      <c r="D463" s="384" t="n">
        <v>4680115884502</v>
      </c>
      <c r="E463" s="767" t="n"/>
      <c r="F463" s="801" t="n">
        <v>0.88</v>
      </c>
      <c r="G463" s="38" t="n">
        <v>6</v>
      </c>
      <c r="H463" s="801" t="n">
        <v>5.28</v>
      </c>
      <c r="I463" s="80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62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3" s="803" t="n"/>
      <c r="Q463" s="803" t="n"/>
      <c r="R463" s="803" t="n"/>
      <c r="S463" s="767" t="n"/>
      <c r="T463" s="40" t="inlineStr"/>
      <c r="U463" s="40" t="inlineStr"/>
      <c r="V463" s="41" t="inlineStr">
        <is>
          <t>кг</t>
        </is>
      </c>
      <c r="W463" s="804" t="n">
        <v>0</v>
      </c>
      <c r="X463" s="805">
        <f>IFERROR(IF(W463="",0,CEILING((W463/$H463),1)*$H463),"")</f>
        <v/>
      </c>
      <c r="Y463" s="42">
        <f>IFERROR(IF(X463=0,"",ROUNDUP(X463/H463,0)*0.01196),"")</f>
        <v/>
      </c>
      <c r="Z463" s="69" t="inlineStr"/>
      <c r="AA463" s="70" t="inlineStr"/>
      <c r="AE463" s="80" t="n"/>
      <c r="BB463" s="334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SU002010</t>
        </is>
      </c>
      <c r="B464" s="64" t="inlineStr">
        <is>
          <t>P004030</t>
        </is>
      </c>
      <c r="C464" s="37" t="n">
        <v>4301011771</v>
      </c>
      <c r="D464" s="384" t="n">
        <v>4607091389104</v>
      </c>
      <c r="E464" s="767" t="n"/>
      <c r="F464" s="801" t="n">
        <v>0.88</v>
      </c>
      <c r="G464" s="38" t="n">
        <v>6</v>
      </c>
      <c r="H464" s="801" t="n">
        <v>5.28</v>
      </c>
      <c r="I464" s="801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9" t="n"/>
      <c r="N464" s="38" t="n">
        <v>60</v>
      </c>
      <c r="O464" s="1063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4" s="803" t="n"/>
      <c r="Q464" s="803" t="n"/>
      <c r="R464" s="803" t="n"/>
      <c r="S464" s="767" t="n"/>
      <c r="T464" s="40" t="inlineStr"/>
      <c r="U464" s="40" t="inlineStr"/>
      <c r="V464" s="41" t="inlineStr">
        <is>
          <t>кг</t>
        </is>
      </c>
      <c r="W464" s="804" t="n">
        <v>200</v>
      </c>
      <c r="X464" s="805">
        <f>IFERROR(IF(W464="",0,CEILING((W464/$H464),1)*$H464),"")</f>
        <v/>
      </c>
      <c r="Y464" s="42">
        <f>IFERROR(IF(X464=0,"",ROUNDUP(X464/H464,0)*0.01196),"")</f>
        <v/>
      </c>
      <c r="Z464" s="69" t="inlineStr"/>
      <c r="AA464" s="70" t="inlineStr"/>
      <c r="AE464" s="80" t="n"/>
      <c r="BB464" s="335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16.5" customHeight="1">
      <c r="A465" s="64" t="inlineStr">
        <is>
          <t>SU002999</t>
        </is>
      </c>
      <c r="B465" s="64" t="inlineStr">
        <is>
          <t>P004045</t>
        </is>
      </c>
      <c r="C465" s="37" t="n">
        <v>4301011799</v>
      </c>
      <c r="D465" s="384" t="n">
        <v>4680115884519</v>
      </c>
      <c r="E465" s="767" t="n"/>
      <c r="F465" s="801" t="n">
        <v>0.88</v>
      </c>
      <c r="G465" s="38" t="n">
        <v>6</v>
      </c>
      <c r="H465" s="801" t="n">
        <v>5.28</v>
      </c>
      <c r="I465" s="801" t="n">
        <v>5.64</v>
      </c>
      <c r="J465" s="38" t="n">
        <v>104</v>
      </c>
      <c r="K465" s="38" t="inlineStr">
        <is>
          <t>8</t>
        </is>
      </c>
      <c r="L465" s="39" t="inlineStr">
        <is>
          <t>СК3</t>
        </is>
      </c>
      <c r="M465" s="39" t="n"/>
      <c r="N465" s="38" t="n">
        <v>60</v>
      </c>
      <c r="O465" s="106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5" s="803" t="n"/>
      <c r="Q465" s="803" t="n"/>
      <c r="R465" s="803" t="n"/>
      <c r="S465" s="767" t="n"/>
      <c r="T465" s="40" t="inlineStr"/>
      <c r="U465" s="40" t="inlineStr"/>
      <c r="V465" s="41" t="inlineStr">
        <is>
          <t>кг</t>
        </is>
      </c>
      <c r="W465" s="804" t="n">
        <v>0</v>
      </c>
      <c r="X465" s="805">
        <f>IFERROR(IF(W465="",0,CEILING((W465/$H465),1)*$H465),"")</f>
        <v/>
      </c>
      <c r="Y465" s="42">
        <f>IFERROR(IF(X465=0,"",ROUNDUP(X465/H465,0)*0.01196),"")</f>
        <v/>
      </c>
      <c r="Z465" s="69" t="inlineStr"/>
      <c r="AA465" s="70" t="inlineStr"/>
      <c r="AE465" s="80" t="n"/>
      <c r="BB465" s="336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SU002632</t>
        </is>
      </c>
      <c r="B466" s="64" t="inlineStr">
        <is>
          <t>P004043</t>
        </is>
      </c>
      <c r="C466" s="37" t="n">
        <v>4301011778</v>
      </c>
      <c r="D466" s="384" t="n">
        <v>4680115880603</v>
      </c>
      <c r="E466" s="767" t="n"/>
      <c r="F466" s="801" t="n">
        <v>0.6</v>
      </c>
      <c r="G466" s="38" t="n">
        <v>6</v>
      </c>
      <c r="H466" s="801" t="n">
        <v>3.6</v>
      </c>
      <c r="I466" s="80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6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6" s="803" t="n"/>
      <c r="Q466" s="803" t="n"/>
      <c r="R466" s="803" t="n"/>
      <c r="S466" s="767" t="n"/>
      <c r="T466" s="40" t="inlineStr"/>
      <c r="U466" s="40" t="inlineStr"/>
      <c r="V466" s="41" t="inlineStr">
        <is>
          <t>кг</t>
        </is>
      </c>
      <c r="W466" s="804" t="n">
        <v>60</v>
      </c>
      <c r="X466" s="805">
        <f>IFERROR(IF(W466="",0,CEILING((W466/$H466),1)*$H466),"")</f>
        <v/>
      </c>
      <c r="Y466" s="42">
        <f>IFERROR(IF(X466=0,"",ROUNDUP(X466/H466,0)*0.00937),"")</f>
        <v/>
      </c>
      <c r="Z466" s="69" t="inlineStr"/>
      <c r="AA466" s="70" t="inlineStr"/>
      <c r="AE466" s="80" t="n"/>
      <c r="BB466" s="337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27" customHeight="1">
      <c r="A467" s="64" t="inlineStr">
        <is>
          <t>SU002220</t>
        </is>
      </c>
      <c r="B467" s="64" t="inlineStr">
        <is>
          <t>P004034</t>
        </is>
      </c>
      <c r="C467" s="37" t="n">
        <v>4301011775</v>
      </c>
      <c r="D467" s="384" t="n">
        <v>4607091389999</v>
      </c>
      <c r="E467" s="767" t="n"/>
      <c r="F467" s="801" t="n">
        <v>0.6</v>
      </c>
      <c r="G467" s="38" t="n">
        <v>6</v>
      </c>
      <c r="H467" s="801" t="n">
        <v>3.6</v>
      </c>
      <c r="I467" s="80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66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7" s="803" t="n"/>
      <c r="Q467" s="803" t="n"/>
      <c r="R467" s="803" t="n"/>
      <c r="S467" s="767" t="n"/>
      <c r="T467" s="40" t="inlineStr"/>
      <c r="U467" s="40" t="inlineStr"/>
      <c r="V467" s="41" t="inlineStr">
        <is>
          <t>кг</t>
        </is>
      </c>
      <c r="W467" s="804" t="n">
        <v>0</v>
      </c>
      <c r="X467" s="805">
        <f>IFERROR(IF(W467="",0,CEILING((W467/$H467),1)*$H467),"")</f>
        <v/>
      </c>
      <c r="Y467" s="42">
        <f>IFERROR(IF(X467=0,"",ROUNDUP(X467/H467,0)*0.00937),"")</f>
        <v/>
      </c>
      <c r="Z467" s="69" t="inlineStr"/>
      <c r="AA467" s="70" t="inlineStr"/>
      <c r="AE467" s="80" t="n"/>
      <c r="BB467" s="338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 ht="27" customHeight="1">
      <c r="A468" s="64" t="inlineStr">
        <is>
          <t>SU002635</t>
        </is>
      </c>
      <c r="B468" s="64" t="inlineStr">
        <is>
          <t>P004029</t>
        </is>
      </c>
      <c r="C468" s="37" t="n">
        <v>4301011770</v>
      </c>
      <c r="D468" s="384" t="n">
        <v>4680115882782</v>
      </c>
      <c r="E468" s="767" t="n"/>
      <c r="F468" s="801" t="n">
        <v>0.6</v>
      </c>
      <c r="G468" s="38" t="n">
        <v>6</v>
      </c>
      <c r="H468" s="801" t="n">
        <v>3.6</v>
      </c>
      <c r="I468" s="801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9" t="n"/>
      <c r="N468" s="38" t="n">
        <v>60</v>
      </c>
      <c r="O468" s="1067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8" s="803" t="n"/>
      <c r="Q468" s="803" t="n"/>
      <c r="R468" s="803" t="n"/>
      <c r="S468" s="767" t="n"/>
      <c r="T468" s="40" t="inlineStr"/>
      <c r="U468" s="40" t="inlineStr"/>
      <c r="V468" s="41" t="inlineStr">
        <is>
          <t>кг</t>
        </is>
      </c>
      <c r="W468" s="804" t="n">
        <v>0</v>
      </c>
      <c r="X468" s="805">
        <f>IFERROR(IF(W468="",0,CEILING((W468/$H468),1)*$H468),"")</f>
        <v/>
      </c>
      <c r="Y468" s="42">
        <f>IFERROR(IF(X468=0,"",ROUNDUP(X468/H468,0)*0.00937),"")</f>
        <v/>
      </c>
      <c r="Z468" s="69" t="inlineStr"/>
      <c r="AA468" s="70" t="inlineStr"/>
      <c r="AE468" s="80" t="n"/>
      <c r="BB468" s="339" t="inlineStr">
        <is>
          <t>КИ</t>
        </is>
      </c>
      <c r="BL468" s="80">
        <f>IFERROR(W468*I468/H468,"0")</f>
        <v/>
      </c>
      <c r="BM468" s="80">
        <f>IFERROR(X468*I468/H468,"0")</f>
        <v/>
      </c>
      <c r="BN468" s="80">
        <f>IFERROR(1/J468*(W468/H468),"0")</f>
        <v/>
      </c>
      <c r="BO468" s="80">
        <f>IFERROR(1/J468*(X468/H468),"0")</f>
        <v/>
      </c>
    </row>
    <row r="469" ht="27" customHeight="1">
      <c r="A469" s="64" t="inlineStr">
        <is>
          <t>SU002020</t>
        </is>
      </c>
      <c r="B469" s="64" t="inlineStr">
        <is>
          <t>P002308</t>
        </is>
      </c>
      <c r="C469" s="37" t="n">
        <v>4301011190</v>
      </c>
      <c r="D469" s="384" t="n">
        <v>4607091389098</v>
      </c>
      <c r="E469" s="767" t="n"/>
      <c r="F469" s="801" t="n">
        <v>0.4</v>
      </c>
      <c r="G469" s="38" t="n">
        <v>6</v>
      </c>
      <c r="H469" s="801" t="n">
        <v>2.4</v>
      </c>
      <c r="I469" s="801" t="n">
        <v>2.6</v>
      </c>
      <c r="J469" s="38" t="n">
        <v>156</v>
      </c>
      <c r="K469" s="38" t="inlineStr">
        <is>
          <t>12</t>
        </is>
      </c>
      <c r="L469" s="39" t="inlineStr">
        <is>
          <t>СК3</t>
        </is>
      </c>
      <c r="M469" s="39" t="n"/>
      <c r="N469" s="38" t="n">
        <v>50</v>
      </c>
      <c r="O469" s="106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9" s="803" t="n"/>
      <c r="Q469" s="803" t="n"/>
      <c r="R469" s="803" t="n"/>
      <c r="S469" s="767" t="n"/>
      <c r="T469" s="40" t="inlineStr"/>
      <c r="U469" s="40" t="inlineStr"/>
      <c r="V469" s="41" t="inlineStr">
        <is>
          <t>кг</t>
        </is>
      </c>
      <c r="W469" s="804" t="n">
        <v>0</v>
      </c>
      <c r="X469" s="805">
        <f>IFERROR(IF(W469="",0,CEILING((W469/$H469),1)*$H469),"")</f>
        <v/>
      </c>
      <c r="Y469" s="42">
        <f>IFERROR(IF(X469=0,"",ROUNDUP(X469/H469,0)*0.00753),"")</f>
        <v/>
      </c>
      <c r="Z469" s="69" t="inlineStr"/>
      <c r="AA469" s="70" t="inlineStr"/>
      <c r="AE469" s="80" t="n"/>
      <c r="BB469" s="340" t="inlineStr">
        <is>
          <t>КИ</t>
        </is>
      </c>
      <c r="BL469" s="80">
        <f>IFERROR(W469*I469/H469,"0")</f>
        <v/>
      </c>
      <c r="BM469" s="80">
        <f>IFERROR(X469*I469/H469,"0")</f>
        <v/>
      </c>
      <c r="BN469" s="80">
        <f>IFERROR(1/J469*(W469/H469),"0")</f>
        <v/>
      </c>
      <c r="BO469" s="80">
        <f>IFERROR(1/J469*(X469/H469),"0")</f>
        <v/>
      </c>
    </row>
    <row r="470" ht="27" customHeight="1">
      <c r="A470" s="64" t="inlineStr">
        <is>
          <t>SU002631</t>
        </is>
      </c>
      <c r="B470" s="64" t="inlineStr">
        <is>
          <t>P004048</t>
        </is>
      </c>
      <c r="C470" s="37" t="n">
        <v>4301011784</v>
      </c>
      <c r="D470" s="384" t="n">
        <v>4607091389982</v>
      </c>
      <c r="E470" s="767" t="n"/>
      <c r="F470" s="801" t="n">
        <v>0.6</v>
      </c>
      <c r="G470" s="38" t="n">
        <v>6</v>
      </c>
      <c r="H470" s="801" t="n">
        <v>3.6</v>
      </c>
      <c r="I470" s="801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9" t="n"/>
      <c r="N470" s="38" t="n">
        <v>60</v>
      </c>
      <c r="O470" s="1069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70" s="803" t="n"/>
      <c r="Q470" s="803" t="n"/>
      <c r="R470" s="803" t="n"/>
      <c r="S470" s="767" t="n"/>
      <c r="T470" s="40" t="inlineStr"/>
      <c r="U470" s="40" t="inlineStr"/>
      <c r="V470" s="41" t="inlineStr">
        <is>
          <t>кг</t>
        </is>
      </c>
      <c r="W470" s="804" t="n">
        <v>36</v>
      </c>
      <c r="X470" s="805">
        <f>IFERROR(IF(W470="",0,CEILING((W470/$H470),1)*$H470),"")</f>
        <v/>
      </c>
      <c r="Y470" s="42">
        <f>IFERROR(IF(X470=0,"",ROUNDUP(X470/H470,0)*0.00937),"")</f>
        <v/>
      </c>
      <c r="Z470" s="69" t="inlineStr"/>
      <c r="AA470" s="70" t="inlineStr"/>
      <c r="AE470" s="80" t="n"/>
      <c r="BB470" s="341" t="inlineStr">
        <is>
          <t>КИ</t>
        </is>
      </c>
      <c r="BL470" s="80">
        <f>IFERROR(W470*I470/H470,"0")</f>
        <v/>
      </c>
      <c r="BM470" s="80">
        <f>IFERROR(X470*I470/H470,"0")</f>
        <v/>
      </c>
      <c r="BN470" s="80">
        <f>IFERROR(1/J470*(W470/H470),"0")</f>
        <v/>
      </c>
      <c r="BO470" s="80">
        <f>IFERROR(1/J470*(X470/H470),"0")</f>
        <v/>
      </c>
    </row>
    <row r="471">
      <c r="A471" s="393" t="n"/>
      <c r="B471" s="381" t="n"/>
      <c r="C471" s="381" t="n"/>
      <c r="D471" s="381" t="n"/>
      <c r="E471" s="381" t="n"/>
      <c r="F471" s="381" t="n"/>
      <c r="G471" s="381" t="n"/>
      <c r="H471" s="381" t="n"/>
      <c r="I471" s="381" t="n"/>
      <c r="J471" s="381" t="n"/>
      <c r="K471" s="381" t="n"/>
      <c r="L471" s="381" t="n"/>
      <c r="M471" s="381" t="n"/>
      <c r="N471" s="807" t="n"/>
      <c r="O471" s="808" t="inlineStr">
        <is>
          <t>Итого</t>
        </is>
      </c>
      <c r="P471" s="775" t="n"/>
      <c r="Q471" s="775" t="n"/>
      <c r="R471" s="775" t="n"/>
      <c r="S471" s="775" t="n"/>
      <c r="T471" s="775" t="n"/>
      <c r="U471" s="776" t="n"/>
      <c r="V471" s="43" t="inlineStr">
        <is>
          <t>кор</t>
        </is>
      </c>
      <c r="W471" s="809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/>
      </c>
      <c r="X471" s="809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/>
      </c>
      <c r="Y471" s="809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/>
      </c>
      <c r="Z471" s="810" t="n"/>
      <c r="AA471" s="810" t="n"/>
    </row>
    <row r="472">
      <c r="A472" s="381" t="n"/>
      <c r="B472" s="381" t="n"/>
      <c r="C472" s="381" t="n"/>
      <c r="D472" s="381" t="n"/>
      <c r="E472" s="381" t="n"/>
      <c r="F472" s="381" t="n"/>
      <c r="G472" s="381" t="n"/>
      <c r="H472" s="381" t="n"/>
      <c r="I472" s="381" t="n"/>
      <c r="J472" s="381" t="n"/>
      <c r="K472" s="381" t="n"/>
      <c r="L472" s="381" t="n"/>
      <c r="M472" s="381" t="n"/>
      <c r="N472" s="807" t="n"/>
      <c r="O472" s="808" t="inlineStr">
        <is>
          <t>Итого</t>
        </is>
      </c>
      <c r="P472" s="775" t="n"/>
      <c r="Q472" s="775" t="n"/>
      <c r="R472" s="775" t="n"/>
      <c r="S472" s="775" t="n"/>
      <c r="T472" s="775" t="n"/>
      <c r="U472" s="776" t="n"/>
      <c r="V472" s="43" t="inlineStr">
        <is>
          <t>кг</t>
        </is>
      </c>
      <c r="W472" s="809">
        <f>IFERROR(SUM(W459:W470),"0")</f>
        <v/>
      </c>
      <c r="X472" s="809">
        <f>IFERROR(SUM(X459:X470),"0")</f>
        <v/>
      </c>
      <c r="Y472" s="43" t="n"/>
      <c r="Z472" s="810" t="n"/>
      <c r="AA472" s="810" t="n"/>
    </row>
    <row r="473" ht="14.25" customHeight="1">
      <c r="A473" s="399" t="inlineStr">
        <is>
          <t>Ветчины</t>
        </is>
      </c>
      <c r="B473" s="381" t="n"/>
      <c r="C473" s="381" t="n"/>
      <c r="D473" s="381" t="n"/>
      <c r="E473" s="381" t="n"/>
      <c r="F473" s="381" t="n"/>
      <c r="G473" s="381" t="n"/>
      <c r="H473" s="381" t="n"/>
      <c r="I473" s="381" t="n"/>
      <c r="J473" s="381" t="n"/>
      <c r="K473" s="381" t="n"/>
      <c r="L473" s="381" t="n"/>
      <c r="M473" s="381" t="n"/>
      <c r="N473" s="381" t="n"/>
      <c r="O473" s="381" t="n"/>
      <c r="P473" s="381" t="n"/>
      <c r="Q473" s="381" t="n"/>
      <c r="R473" s="381" t="n"/>
      <c r="S473" s="381" t="n"/>
      <c r="T473" s="381" t="n"/>
      <c r="U473" s="381" t="n"/>
      <c r="V473" s="381" t="n"/>
      <c r="W473" s="381" t="n"/>
      <c r="X473" s="381" t="n"/>
      <c r="Y473" s="381" t="n"/>
      <c r="Z473" s="399" t="n"/>
      <c r="AA473" s="399" t="n"/>
    </row>
    <row r="474" ht="16.5" customHeight="1">
      <c r="A474" s="64" t="inlineStr">
        <is>
          <t>SU002035</t>
        </is>
      </c>
      <c r="B474" s="64" t="inlineStr">
        <is>
          <t>P003146</t>
        </is>
      </c>
      <c r="C474" s="37" t="n">
        <v>4301020222</v>
      </c>
      <c r="D474" s="384" t="n">
        <v>4607091388930</v>
      </c>
      <c r="E474" s="767" t="n"/>
      <c r="F474" s="801" t="n">
        <v>0.88</v>
      </c>
      <c r="G474" s="38" t="n">
        <v>6</v>
      </c>
      <c r="H474" s="801" t="n">
        <v>5.28</v>
      </c>
      <c r="I474" s="801" t="n">
        <v>5.64</v>
      </c>
      <c r="J474" s="38" t="n">
        <v>104</v>
      </c>
      <c r="K474" s="38" t="inlineStr">
        <is>
          <t>8</t>
        </is>
      </c>
      <c r="L474" s="39" t="inlineStr">
        <is>
          <t>СК1</t>
        </is>
      </c>
      <c r="M474" s="39" t="n"/>
      <c r="N474" s="38" t="n">
        <v>55</v>
      </c>
      <c r="O474" s="1070">
        <f>HYPERLINK("https://abi.ru/products/Охлажденные/Дугушка/Дугушка/Ветчины/P003146/","Ветчины Дугушка Дугушка Вес б/о Дугушка")</f>
        <v/>
      </c>
      <c r="P474" s="803" t="n"/>
      <c r="Q474" s="803" t="n"/>
      <c r="R474" s="803" t="n"/>
      <c r="S474" s="767" t="n"/>
      <c r="T474" s="40" t="inlineStr"/>
      <c r="U474" s="40" t="inlineStr"/>
      <c r="V474" s="41" t="inlineStr">
        <is>
          <t>кг</t>
        </is>
      </c>
      <c r="W474" s="804" t="n">
        <v>100</v>
      </c>
      <c r="X474" s="805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2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16.5" customHeight="1">
      <c r="A475" s="64" t="inlineStr">
        <is>
          <t>SU002643</t>
        </is>
      </c>
      <c r="B475" s="64" t="inlineStr">
        <is>
          <t>P002993</t>
        </is>
      </c>
      <c r="C475" s="37" t="n">
        <v>4301020206</v>
      </c>
      <c r="D475" s="384" t="n">
        <v>4680115880054</v>
      </c>
      <c r="E475" s="767" t="n"/>
      <c r="F475" s="801" t="n">
        <v>0.6</v>
      </c>
      <c r="G475" s="38" t="n">
        <v>6</v>
      </c>
      <c r="H475" s="801" t="n">
        <v>3.6</v>
      </c>
      <c r="I475" s="801" t="n">
        <v>3.84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9" t="n"/>
      <c r="N475" s="38" t="n">
        <v>55</v>
      </c>
      <c r="O475" s="1071">
        <f>HYPERLINK("https://abi.ru/products/Охлажденные/Дугушка/Дугушка/Ветчины/P002993/","Ветчины «Дугушка» Фикс.вес 0,6 П/а ТМ «Дугушка»")</f>
        <v/>
      </c>
      <c r="P475" s="803" t="n"/>
      <c r="Q475" s="803" t="n"/>
      <c r="R475" s="803" t="n"/>
      <c r="S475" s="767" t="n"/>
      <c r="T475" s="40" t="inlineStr"/>
      <c r="U475" s="40" t="inlineStr"/>
      <c r="V475" s="41" t="inlineStr">
        <is>
          <t>кг</t>
        </is>
      </c>
      <c r="W475" s="804" t="n">
        <v>0</v>
      </c>
      <c r="X475" s="805">
        <f>IFERROR(IF(W475="",0,CEILING((W475/$H475),1)*$H475),"")</f>
        <v/>
      </c>
      <c r="Y475" s="42">
        <f>IFERROR(IF(X475=0,"",ROUNDUP(X475/H475,0)*0.00937),"")</f>
        <v/>
      </c>
      <c r="Z475" s="69" t="inlineStr"/>
      <c r="AA475" s="70" t="inlineStr"/>
      <c r="AE475" s="80" t="n"/>
      <c r="BB475" s="343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>
      <c r="A476" s="393" t="n"/>
      <c r="B476" s="381" t="n"/>
      <c r="C476" s="381" t="n"/>
      <c r="D476" s="381" t="n"/>
      <c r="E476" s="381" t="n"/>
      <c r="F476" s="381" t="n"/>
      <c r="G476" s="381" t="n"/>
      <c r="H476" s="381" t="n"/>
      <c r="I476" s="381" t="n"/>
      <c r="J476" s="381" t="n"/>
      <c r="K476" s="381" t="n"/>
      <c r="L476" s="381" t="n"/>
      <c r="M476" s="381" t="n"/>
      <c r="N476" s="807" t="n"/>
      <c r="O476" s="808" t="inlineStr">
        <is>
          <t>Итого</t>
        </is>
      </c>
      <c r="P476" s="775" t="n"/>
      <c r="Q476" s="775" t="n"/>
      <c r="R476" s="775" t="n"/>
      <c r="S476" s="775" t="n"/>
      <c r="T476" s="775" t="n"/>
      <c r="U476" s="776" t="n"/>
      <c r="V476" s="43" t="inlineStr">
        <is>
          <t>кор</t>
        </is>
      </c>
      <c r="W476" s="809">
        <f>IFERROR(W474/H474,"0")+IFERROR(W475/H475,"0")</f>
        <v/>
      </c>
      <c r="X476" s="809">
        <f>IFERROR(X474/H474,"0")+IFERROR(X475/H475,"0")</f>
        <v/>
      </c>
      <c r="Y476" s="809">
        <f>IFERROR(IF(Y474="",0,Y474),"0")+IFERROR(IF(Y475="",0,Y475),"0")</f>
        <v/>
      </c>
      <c r="Z476" s="810" t="n"/>
      <c r="AA476" s="810" t="n"/>
    </row>
    <row r="477">
      <c r="A477" s="381" t="n"/>
      <c r="B477" s="381" t="n"/>
      <c r="C477" s="381" t="n"/>
      <c r="D477" s="381" t="n"/>
      <c r="E477" s="381" t="n"/>
      <c r="F477" s="381" t="n"/>
      <c r="G477" s="381" t="n"/>
      <c r="H477" s="381" t="n"/>
      <c r="I477" s="381" t="n"/>
      <c r="J477" s="381" t="n"/>
      <c r="K477" s="381" t="n"/>
      <c r="L477" s="381" t="n"/>
      <c r="M477" s="381" t="n"/>
      <c r="N477" s="807" t="n"/>
      <c r="O477" s="808" t="inlineStr">
        <is>
          <t>Итого</t>
        </is>
      </c>
      <c r="P477" s="775" t="n"/>
      <c r="Q477" s="775" t="n"/>
      <c r="R477" s="775" t="n"/>
      <c r="S477" s="775" t="n"/>
      <c r="T477" s="775" t="n"/>
      <c r="U477" s="776" t="n"/>
      <c r="V477" s="43" t="inlineStr">
        <is>
          <t>кг</t>
        </is>
      </c>
      <c r="W477" s="809">
        <f>IFERROR(SUM(W474:W475),"0")</f>
        <v/>
      </c>
      <c r="X477" s="809">
        <f>IFERROR(SUM(X474:X475),"0")</f>
        <v/>
      </c>
      <c r="Y477" s="43" t="n"/>
      <c r="Z477" s="810" t="n"/>
      <c r="AA477" s="810" t="n"/>
    </row>
    <row r="478" ht="14.25" customHeight="1">
      <c r="A478" s="399" t="inlineStr">
        <is>
          <t>Копченые колбасы</t>
        </is>
      </c>
      <c r="B478" s="381" t="n"/>
      <c r="C478" s="381" t="n"/>
      <c r="D478" s="381" t="n"/>
      <c r="E478" s="381" t="n"/>
      <c r="F478" s="381" t="n"/>
      <c r="G478" s="381" t="n"/>
      <c r="H478" s="381" t="n"/>
      <c r="I478" s="381" t="n"/>
      <c r="J478" s="381" t="n"/>
      <c r="K478" s="381" t="n"/>
      <c r="L478" s="381" t="n"/>
      <c r="M478" s="381" t="n"/>
      <c r="N478" s="381" t="n"/>
      <c r="O478" s="381" t="n"/>
      <c r="P478" s="381" t="n"/>
      <c r="Q478" s="381" t="n"/>
      <c r="R478" s="381" t="n"/>
      <c r="S478" s="381" t="n"/>
      <c r="T478" s="381" t="n"/>
      <c r="U478" s="381" t="n"/>
      <c r="V478" s="381" t="n"/>
      <c r="W478" s="381" t="n"/>
      <c r="X478" s="381" t="n"/>
      <c r="Y478" s="381" t="n"/>
      <c r="Z478" s="399" t="n"/>
      <c r="AA478" s="399" t="n"/>
    </row>
    <row r="479" ht="27" customHeight="1">
      <c r="A479" s="64" t="inlineStr">
        <is>
          <t>SU002150</t>
        </is>
      </c>
      <c r="B479" s="64" t="inlineStr">
        <is>
          <t>P003636</t>
        </is>
      </c>
      <c r="C479" s="37" t="n">
        <v>4301031252</v>
      </c>
      <c r="D479" s="384" t="n">
        <v>4680115883116</v>
      </c>
      <c r="E479" s="767" t="n"/>
      <c r="F479" s="801" t="n">
        <v>0.88</v>
      </c>
      <c r="G479" s="38" t="n">
        <v>6</v>
      </c>
      <c r="H479" s="801" t="n">
        <v>5.28</v>
      </c>
      <c r="I479" s="801" t="n">
        <v>5.64</v>
      </c>
      <c r="J479" s="38" t="n">
        <v>104</v>
      </c>
      <c r="K479" s="38" t="inlineStr">
        <is>
          <t>8</t>
        </is>
      </c>
      <c r="L479" s="39" t="inlineStr">
        <is>
          <t>СК1</t>
        </is>
      </c>
      <c r="M479" s="39" t="n"/>
      <c r="N479" s="38" t="n">
        <v>60</v>
      </c>
      <c r="O479" s="107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9" s="803" t="n"/>
      <c r="Q479" s="803" t="n"/>
      <c r="R479" s="803" t="n"/>
      <c r="S479" s="767" t="n"/>
      <c r="T479" s="40" t="inlineStr"/>
      <c r="U479" s="40" t="inlineStr"/>
      <c r="V479" s="41" t="inlineStr">
        <is>
          <t>кг</t>
        </is>
      </c>
      <c r="W479" s="804" t="n">
        <v>50</v>
      </c>
      <c r="X479" s="805">
        <f>IFERROR(IF(W479="",0,CEILING((W479/$H479),1)*$H479),"")</f>
        <v/>
      </c>
      <c r="Y479" s="42">
        <f>IFERROR(IF(X479=0,"",ROUNDUP(X479/H479,0)*0.01196),"")</f>
        <v/>
      </c>
      <c r="Z479" s="69" t="inlineStr"/>
      <c r="AA479" s="70" t="inlineStr"/>
      <c r="AE479" s="80" t="n"/>
      <c r="BB479" s="344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SU002158</t>
        </is>
      </c>
      <c r="B480" s="64" t="inlineStr">
        <is>
          <t>P003632</t>
        </is>
      </c>
      <c r="C480" s="37" t="n">
        <v>4301031248</v>
      </c>
      <c r="D480" s="384" t="n">
        <v>4680115883093</v>
      </c>
      <c r="E480" s="767" t="n"/>
      <c r="F480" s="801" t="n">
        <v>0.88</v>
      </c>
      <c r="G480" s="38" t="n">
        <v>6</v>
      </c>
      <c r="H480" s="801" t="n">
        <v>5.28</v>
      </c>
      <c r="I480" s="80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80" s="803" t="n"/>
      <c r="Q480" s="803" t="n"/>
      <c r="R480" s="803" t="n"/>
      <c r="S480" s="767" t="n"/>
      <c r="T480" s="40" t="inlineStr"/>
      <c r="U480" s="40" t="inlineStr"/>
      <c r="V480" s="41" t="inlineStr">
        <is>
          <t>кг</t>
        </is>
      </c>
      <c r="W480" s="804" t="n">
        <v>40</v>
      </c>
      <c r="X480" s="805">
        <f>IFERROR(IF(W480="",0,CEILING((W480/$H480),1)*$H480),"")</f>
        <v/>
      </c>
      <c r="Y480" s="42">
        <f>IFERROR(IF(X480=0,"",ROUNDUP(X480/H480,0)*0.01196),"")</f>
        <v/>
      </c>
      <c r="Z480" s="69" t="inlineStr"/>
      <c r="AA480" s="70" t="inlineStr"/>
      <c r="AE480" s="80" t="n"/>
      <c r="BB480" s="345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SU002151</t>
        </is>
      </c>
      <c r="B481" s="64" t="inlineStr">
        <is>
          <t>P003634</t>
        </is>
      </c>
      <c r="C481" s="37" t="n">
        <v>4301031250</v>
      </c>
      <c r="D481" s="384" t="n">
        <v>4680115883109</v>
      </c>
      <c r="E481" s="767" t="n"/>
      <c r="F481" s="801" t="n">
        <v>0.88</v>
      </c>
      <c r="G481" s="38" t="n">
        <v>6</v>
      </c>
      <c r="H481" s="801" t="n">
        <v>5.28</v>
      </c>
      <c r="I481" s="801" t="n">
        <v>5.64</v>
      </c>
      <c r="J481" s="38" t="n">
        <v>104</v>
      </c>
      <c r="K481" s="38" t="inlineStr">
        <is>
          <t>8</t>
        </is>
      </c>
      <c r="L481" s="39" t="inlineStr">
        <is>
          <t>СК2</t>
        </is>
      </c>
      <c r="M481" s="39" t="n"/>
      <c r="N481" s="38" t="n">
        <v>60</v>
      </c>
      <c r="O481" s="107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81" s="803" t="n"/>
      <c r="Q481" s="803" t="n"/>
      <c r="R481" s="803" t="n"/>
      <c r="S481" s="767" t="n"/>
      <c r="T481" s="40" t="inlineStr"/>
      <c r="U481" s="40" t="inlineStr"/>
      <c r="V481" s="41" t="inlineStr">
        <is>
          <t>кг</t>
        </is>
      </c>
      <c r="W481" s="804" t="n">
        <v>0</v>
      </c>
      <c r="X481" s="805">
        <f>IFERROR(IF(W481="",0,CEILING((W481/$H481),1)*$H481),"")</f>
        <v/>
      </c>
      <c r="Y481" s="42">
        <f>IFERROR(IF(X481=0,"",ROUNDUP(X481/H481,0)*0.01196),"")</f>
        <v/>
      </c>
      <c r="Z481" s="69" t="inlineStr"/>
      <c r="AA481" s="70" t="inlineStr"/>
      <c r="AE481" s="80" t="n"/>
      <c r="BB481" s="346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SU002916</t>
        </is>
      </c>
      <c r="B482" s="64" t="inlineStr">
        <is>
          <t>P003633</t>
        </is>
      </c>
      <c r="C482" s="37" t="n">
        <v>4301031249</v>
      </c>
      <c r="D482" s="384" t="n">
        <v>4680115882072</v>
      </c>
      <c r="E482" s="767" t="n"/>
      <c r="F482" s="801" t="n">
        <v>0.6</v>
      </c>
      <c r="G482" s="38" t="n">
        <v>6</v>
      </c>
      <c r="H482" s="801" t="n">
        <v>3.6</v>
      </c>
      <c r="I482" s="801" t="n">
        <v>3.84</v>
      </c>
      <c r="J482" s="38" t="n">
        <v>120</v>
      </c>
      <c r="K482" s="38" t="inlineStr">
        <is>
          <t>12</t>
        </is>
      </c>
      <c r="L482" s="39" t="inlineStr">
        <is>
          <t>СК1</t>
        </is>
      </c>
      <c r="M482" s="39" t="n"/>
      <c r="N482" s="38" t="n">
        <v>60</v>
      </c>
      <c r="O482" s="107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82" s="803" t="n"/>
      <c r="Q482" s="803" t="n"/>
      <c r="R482" s="803" t="n"/>
      <c r="S482" s="767" t="n"/>
      <c r="T482" s="40" t="inlineStr"/>
      <c r="U482" s="40" t="inlineStr"/>
      <c r="V482" s="41" t="inlineStr">
        <is>
          <t>кг</t>
        </is>
      </c>
      <c r="W482" s="804" t="n">
        <v>12</v>
      </c>
      <c r="X482" s="805">
        <f>IFERROR(IF(W482="",0,CEILING((W482/$H482),1)*$H482),"")</f>
        <v/>
      </c>
      <c r="Y482" s="42">
        <f>IFERROR(IF(X482=0,"",ROUNDUP(X482/H482,0)*0.00937),"")</f>
        <v/>
      </c>
      <c r="Z482" s="69" t="inlineStr"/>
      <c r="AA482" s="70" t="inlineStr"/>
      <c r="AE482" s="80" t="n"/>
      <c r="BB482" s="347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 ht="27" customHeight="1">
      <c r="A483" s="64" t="inlineStr">
        <is>
          <t>SU002919</t>
        </is>
      </c>
      <c r="B483" s="64" t="inlineStr">
        <is>
          <t>P003635</t>
        </is>
      </c>
      <c r="C483" s="37" t="n">
        <v>4301031251</v>
      </c>
      <c r="D483" s="384" t="n">
        <v>4680115882102</v>
      </c>
      <c r="E483" s="767" t="n"/>
      <c r="F483" s="801" t="n">
        <v>0.6</v>
      </c>
      <c r="G483" s="38" t="n">
        <v>6</v>
      </c>
      <c r="H483" s="801" t="n">
        <v>3.6</v>
      </c>
      <c r="I483" s="80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7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3" s="803" t="n"/>
      <c r="Q483" s="803" t="n"/>
      <c r="R483" s="803" t="n"/>
      <c r="S483" s="767" t="n"/>
      <c r="T483" s="40" t="inlineStr"/>
      <c r="U483" s="40" t="inlineStr"/>
      <c r="V483" s="41" t="inlineStr">
        <is>
          <t>кг</t>
        </is>
      </c>
      <c r="W483" s="804" t="n">
        <v>12</v>
      </c>
      <c r="X483" s="805">
        <f>IFERROR(IF(W483="",0,CEILING((W483/$H483),1)*$H483),"")</f>
        <v/>
      </c>
      <c r="Y483" s="42">
        <f>IFERROR(IF(X483=0,"",ROUNDUP(X483/H483,0)*0.00937),"")</f>
        <v/>
      </c>
      <c r="Z483" s="69" t="inlineStr"/>
      <c r="AA483" s="70" t="inlineStr"/>
      <c r="AE483" s="80" t="n"/>
      <c r="BB483" s="348" t="inlineStr">
        <is>
          <t>КИ</t>
        </is>
      </c>
      <c r="BL483" s="80">
        <f>IFERROR(W483*I483/H483,"0")</f>
        <v/>
      </c>
      <c r="BM483" s="80">
        <f>IFERROR(X483*I483/H483,"0")</f>
        <v/>
      </c>
      <c r="BN483" s="80">
        <f>IFERROR(1/J483*(W483/H483),"0")</f>
        <v/>
      </c>
      <c r="BO483" s="80">
        <f>IFERROR(1/J483*(X483/H483),"0")</f>
        <v/>
      </c>
    </row>
    <row r="484" ht="27" customHeight="1">
      <c r="A484" s="64" t="inlineStr">
        <is>
          <t>SU002918</t>
        </is>
      </c>
      <c r="B484" s="64" t="inlineStr">
        <is>
          <t>P003637</t>
        </is>
      </c>
      <c r="C484" s="37" t="n">
        <v>4301031253</v>
      </c>
      <c r="D484" s="384" t="n">
        <v>4680115882096</v>
      </c>
      <c r="E484" s="767" t="n"/>
      <c r="F484" s="801" t="n">
        <v>0.6</v>
      </c>
      <c r="G484" s="38" t="n">
        <v>6</v>
      </c>
      <c r="H484" s="801" t="n">
        <v>3.6</v>
      </c>
      <c r="I484" s="801" t="n">
        <v>3.81</v>
      </c>
      <c r="J484" s="38" t="n">
        <v>120</v>
      </c>
      <c r="K484" s="38" t="inlineStr">
        <is>
          <t>12</t>
        </is>
      </c>
      <c r="L484" s="39" t="inlineStr">
        <is>
          <t>СК2</t>
        </is>
      </c>
      <c r="M484" s="39" t="n"/>
      <c r="N484" s="38" t="n">
        <v>60</v>
      </c>
      <c r="O484" s="107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4" s="803" t="n"/>
      <c r="Q484" s="803" t="n"/>
      <c r="R484" s="803" t="n"/>
      <c r="S484" s="767" t="n"/>
      <c r="T484" s="40" t="inlineStr"/>
      <c r="U484" s="40" t="inlineStr"/>
      <c r="V484" s="41" t="inlineStr">
        <is>
          <t>кг</t>
        </is>
      </c>
      <c r="W484" s="804" t="n">
        <v>24</v>
      </c>
      <c r="X484" s="805">
        <f>IFERROR(IF(W484="",0,CEILING((W484/$H484),1)*$H484),"")</f>
        <v/>
      </c>
      <c r="Y484" s="42">
        <f>IFERROR(IF(X484=0,"",ROUNDUP(X484/H484,0)*0.00937),"")</f>
        <v/>
      </c>
      <c r="Z484" s="69" t="inlineStr"/>
      <c r="AA484" s="70" t="inlineStr"/>
      <c r="AE484" s="80" t="n"/>
      <c r="BB484" s="349" t="inlineStr">
        <is>
          <t>КИ</t>
        </is>
      </c>
      <c r="BL484" s="80">
        <f>IFERROR(W484*I484/H484,"0")</f>
        <v/>
      </c>
      <c r="BM484" s="80">
        <f>IFERROR(X484*I484/H484,"0")</f>
        <v/>
      </c>
      <c r="BN484" s="80">
        <f>IFERROR(1/J484*(W484/H484),"0")</f>
        <v/>
      </c>
      <c r="BO484" s="80">
        <f>IFERROR(1/J484*(X484/H484),"0")</f>
        <v/>
      </c>
    </row>
    <row r="485">
      <c r="A485" s="393" t="n"/>
      <c r="B485" s="381" t="n"/>
      <c r="C485" s="381" t="n"/>
      <c r="D485" s="381" t="n"/>
      <c r="E485" s="381" t="n"/>
      <c r="F485" s="381" t="n"/>
      <c r="G485" s="381" t="n"/>
      <c r="H485" s="381" t="n"/>
      <c r="I485" s="381" t="n"/>
      <c r="J485" s="381" t="n"/>
      <c r="K485" s="381" t="n"/>
      <c r="L485" s="381" t="n"/>
      <c r="M485" s="381" t="n"/>
      <c r="N485" s="807" t="n"/>
      <c r="O485" s="808" t="inlineStr">
        <is>
          <t>Итого</t>
        </is>
      </c>
      <c r="P485" s="775" t="n"/>
      <c r="Q485" s="775" t="n"/>
      <c r="R485" s="775" t="n"/>
      <c r="S485" s="775" t="n"/>
      <c r="T485" s="775" t="n"/>
      <c r="U485" s="776" t="n"/>
      <c r="V485" s="43" t="inlineStr">
        <is>
          <t>кор</t>
        </is>
      </c>
      <c r="W485" s="809">
        <f>IFERROR(W479/H479,"0")+IFERROR(W480/H480,"0")+IFERROR(W481/H481,"0")+IFERROR(W482/H482,"0")+IFERROR(W483/H483,"0")+IFERROR(W484/H484,"0")</f>
        <v/>
      </c>
      <c r="X485" s="809">
        <f>IFERROR(X479/H479,"0")+IFERROR(X480/H480,"0")+IFERROR(X481/H481,"0")+IFERROR(X482/H482,"0")+IFERROR(X483/H483,"0")+IFERROR(X484/H484,"0")</f>
        <v/>
      </c>
      <c r="Y485" s="809">
        <f>IFERROR(IF(Y479="",0,Y479),"0")+IFERROR(IF(Y480="",0,Y480),"0")+IFERROR(IF(Y481="",0,Y481),"0")+IFERROR(IF(Y482="",0,Y482),"0")+IFERROR(IF(Y483="",0,Y483),"0")+IFERROR(IF(Y484="",0,Y484),"0")</f>
        <v/>
      </c>
      <c r="Z485" s="810" t="n"/>
      <c r="AA485" s="810" t="n"/>
    </row>
    <row r="486">
      <c r="A486" s="381" t="n"/>
      <c r="B486" s="381" t="n"/>
      <c r="C486" s="381" t="n"/>
      <c r="D486" s="381" t="n"/>
      <c r="E486" s="381" t="n"/>
      <c r="F486" s="381" t="n"/>
      <c r="G486" s="381" t="n"/>
      <c r="H486" s="381" t="n"/>
      <c r="I486" s="381" t="n"/>
      <c r="J486" s="381" t="n"/>
      <c r="K486" s="381" t="n"/>
      <c r="L486" s="381" t="n"/>
      <c r="M486" s="381" t="n"/>
      <c r="N486" s="807" t="n"/>
      <c r="O486" s="808" t="inlineStr">
        <is>
          <t>Итого</t>
        </is>
      </c>
      <c r="P486" s="775" t="n"/>
      <c r="Q486" s="775" t="n"/>
      <c r="R486" s="775" t="n"/>
      <c r="S486" s="775" t="n"/>
      <c r="T486" s="775" t="n"/>
      <c r="U486" s="776" t="n"/>
      <c r="V486" s="43" t="inlineStr">
        <is>
          <t>кг</t>
        </is>
      </c>
      <c r="W486" s="809">
        <f>IFERROR(SUM(W479:W484),"0")</f>
        <v/>
      </c>
      <c r="X486" s="809">
        <f>IFERROR(SUM(X479:X484),"0")</f>
        <v/>
      </c>
      <c r="Y486" s="43" t="n"/>
      <c r="Z486" s="810" t="n"/>
      <c r="AA486" s="810" t="n"/>
    </row>
    <row r="487" ht="14.25" customHeight="1">
      <c r="A487" s="399" t="inlineStr">
        <is>
          <t>Сосиски</t>
        </is>
      </c>
      <c r="B487" s="381" t="n"/>
      <c r="C487" s="381" t="n"/>
      <c r="D487" s="381" t="n"/>
      <c r="E487" s="381" t="n"/>
      <c r="F487" s="381" t="n"/>
      <c r="G487" s="381" t="n"/>
      <c r="H487" s="381" t="n"/>
      <c r="I487" s="381" t="n"/>
      <c r="J487" s="381" t="n"/>
      <c r="K487" s="381" t="n"/>
      <c r="L487" s="381" t="n"/>
      <c r="M487" s="381" t="n"/>
      <c r="N487" s="381" t="n"/>
      <c r="O487" s="381" t="n"/>
      <c r="P487" s="381" t="n"/>
      <c r="Q487" s="381" t="n"/>
      <c r="R487" s="381" t="n"/>
      <c r="S487" s="381" t="n"/>
      <c r="T487" s="381" t="n"/>
      <c r="U487" s="381" t="n"/>
      <c r="V487" s="381" t="n"/>
      <c r="W487" s="381" t="n"/>
      <c r="X487" s="381" t="n"/>
      <c r="Y487" s="381" t="n"/>
      <c r="Z487" s="399" t="n"/>
      <c r="AA487" s="399" t="n"/>
    </row>
    <row r="488" ht="16.5" customHeight="1">
      <c r="A488" s="64" t="inlineStr">
        <is>
          <t>SU002218</t>
        </is>
      </c>
      <c r="B488" s="64" t="inlineStr">
        <is>
          <t>P002854</t>
        </is>
      </c>
      <c r="C488" s="37" t="n">
        <v>4301051230</v>
      </c>
      <c r="D488" s="384" t="n">
        <v>4607091383409</v>
      </c>
      <c r="E488" s="767" t="n"/>
      <c r="F488" s="801" t="n">
        <v>1.3</v>
      </c>
      <c r="G488" s="38" t="n">
        <v>6</v>
      </c>
      <c r="H488" s="801" t="n">
        <v>7.8</v>
      </c>
      <c r="I488" s="80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78">
        <f>HYPERLINK("https://abi.ru/products/Охлажденные/Дугушка/Дугушка/Сосиски/P002854/","Сосиски Молочные Дугушки Дугушка Весовые П/а мгс Дугушка")</f>
        <v/>
      </c>
      <c r="P488" s="803" t="n"/>
      <c r="Q488" s="803" t="n"/>
      <c r="R488" s="803" t="n"/>
      <c r="S488" s="767" t="n"/>
      <c r="T488" s="40" t="inlineStr"/>
      <c r="U488" s="40" t="inlineStr"/>
      <c r="V488" s="41" t="inlineStr">
        <is>
          <t>кг</t>
        </is>
      </c>
      <c r="W488" s="804" t="n">
        <v>0</v>
      </c>
      <c r="X488" s="805">
        <f>IFERROR(IF(W488="",0,CEILING((W488/$H488),1)*$H488),"")</f>
        <v/>
      </c>
      <c r="Y488" s="42">
        <f>IFERROR(IF(X488=0,"",ROUNDUP(X488/H488,0)*0.02175),"")</f>
        <v/>
      </c>
      <c r="Z488" s="69" t="inlineStr"/>
      <c r="AA488" s="70" t="inlineStr"/>
      <c r="AE488" s="80" t="n"/>
      <c r="BB488" s="350" t="inlineStr">
        <is>
          <t>КИ</t>
        </is>
      </c>
      <c r="BL488" s="80">
        <f>IFERROR(W488*I488/H488,"0")</f>
        <v/>
      </c>
      <c r="BM488" s="80">
        <f>IFERROR(X488*I488/H488,"0")</f>
        <v/>
      </c>
      <c r="BN488" s="80">
        <f>IFERROR(1/J488*(W488/H488),"0")</f>
        <v/>
      </c>
      <c r="BO488" s="80">
        <f>IFERROR(1/J488*(X488/H488),"0")</f>
        <v/>
      </c>
    </row>
    <row r="489" ht="16.5" customHeight="1">
      <c r="A489" s="64" t="inlineStr">
        <is>
          <t>SU002219</t>
        </is>
      </c>
      <c r="B489" s="64" t="inlineStr">
        <is>
          <t>P002855</t>
        </is>
      </c>
      <c r="C489" s="37" t="n">
        <v>4301051231</v>
      </c>
      <c r="D489" s="384" t="n">
        <v>4607091383416</v>
      </c>
      <c r="E489" s="767" t="n"/>
      <c r="F489" s="801" t="n">
        <v>1.3</v>
      </c>
      <c r="G489" s="38" t="n">
        <v>6</v>
      </c>
      <c r="H489" s="801" t="n">
        <v>7.8</v>
      </c>
      <c r="I489" s="801" t="n">
        <v>8.346</v>
      </c>
      <c r="J489" s="38" t="n">
        <v>56</v>
      </c>
      <c r="K489" s="38" t="inlineStr">
        <is>
          <t>8</t>
        </is>
      </c>
      <c r="L489" s="39" t="inlineStr">
        <is>
          <t>СК2</t>
        </is>
      </c>
      <c r="M489" s="39" t="n"/>
      <c r="N489" s="38" t="n">
        <v>45</v>
      </c>
      <c r="O489" s="1079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9" s="803" t="n"/>
      <c r="Q489" s="803" t="n"/>
      <c r="R489" s="803" t="n"/>
      <c r="S489" s="767" t="n"/>
      <c r="T489" s="40" t="inlineStr"/>
      <c r="U489" s="40" t="inlineStr"/>
      <c r="V489" s="41" t="inlineStr">
        <is>
          <t>кг</t>
        </is>
      </c>
      <c r="W489" s="804" t="n">
        <v>0</v>
      </c>
      <c r="X489" s="805">
        <f>IFERROR(IF(W489="",0,CEILING((W489/$H489),1)*$H489),"")</f>
        <v/>
      </c>
      <c r="Y489" s="42">
        <f>IFERROR(IF(X489=0,"",ROUNDUP(X489/H489,0)*0.02175),"")</f>
        <v/>
      </c>
      <c r="Z489" s="69" t="inlineStr"/>
      <c r="AA489" s="70" t="inlineStr"/>
      <c r="AE489" s="80" t="n"/>
      <c r="BB489" s="351" t="inlineStr">
        <is>
          <t>КИ</t>
        </is>
      </c>
      <c r="BL489" s="80">
        <f>IFERROR(W489*I489/H489,"0")</f>
        <v/>
      </c>
      <c r="BM489" s="80">
        <f>IFERROR(X489*I489/H489,"0")</f>
        <v/>
      </c>
      <c r="BN489" s="80">
        <f>IFERROR(1/J489*(W489/H489),"0")</f>
        <v/>
      </c>
      <c r="BO489" s="80">
        <f>IFERROR(1/J489*(X489/H489),"0")</f>
        <v/>
      </c>
    </row>
    <row r="490" ht="27" customHeight="1">
      <c r="A490" s="64" t="inlineStr">
        <is>
          <t>SU002146</t>
        </is>
      </c>
      <c r="B490" s="64" t="inlineStr">
        <is>
          <t>P002319</t>
        </is>
      </c>
      <c r="C490" s="37" t="n">
        <v>4301051058</v>
      </c>
      <c r="D490" s="384" t="n">
        <v>4680115883536</v>
      </c>
      <c r="E490" s="767" t="n"/>
      <c r="F490" s="801" t="n">
        <v>0.3</v>
      </c>
      <c r="G490" s="38" t="n">
        <v>6</v>
      </c>
      <c r="H490" s="801" t="n">
        <v>1.8</v>
      </c>
      <c r="I490" s="801" t="n">
        <v>2.066</v>
      </c>
      <c r="J490" s="38" t="n">
        <v>156</v>
      </c>
      <c r="K490" s="38" t="inlineStr">
        <is>
          <t>12</t>
        </is>
      </c>
      <c r="L490" s="39" t="inlineStr">
        <is>
          <t>СК2</t>
        </is>
      </c>
      <c r="M490" s="39" t="n"/>
      <c r="N490" s="38" t="n">
        <v>45</v>
      </c>
      <c r="O490" s="1080">
        <f>HYPERLINK("https://abi.ru/products/Охлажденные/Дугушка/Дугушка/Сосиски/P002319/","Сосиски «Молочные Дугушки» ф/в 0,3 амицел ТМ «Дугушка»")</f>
        <v/>
      </c>
      <c r="P490" s="803" t="n"/>
      <c r="Q490" s="803" t="n"/>
      <c r="R490" s="803" t="n"/>
      <c r="S490" s="767" t="n"/>
      <c r="T490" s="40" t="inlineStr"/>
      <c r="U490" s="40" t="inlineStr"/>
      <c r="V490" s="41" t="inlineStr">
        <is>
          <t>кг</t>
        </is>
      </c>
      <c r="W490" s="804" t="n">
        <v>0</v>
      </c>
      <c r="X490" s="805">
        <f>IFERROR(IF(W490="",0,CEILING((W490/$H490),1)*$H490),"")</f>
        <v/>
      </c>
      <c r="Y490" s="42">
        <f>IFERROR(IF(X490=0,"",ROUNDUP(X490/H490,0)*0.00753),"")</f>
        <v/>
      </c>
      <c r="Z490" s="69" t="inlineStr"/>
      <c r="AA490" s="70" t="inlineStr"/>
      <c r="AE490" s="80" t="n"/>
      <c r="BB490" s="352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>
      <c r="A491" s="393" t="n"/>
      <c r="B491" s="381" t="n"/>
      <c r="C491" s="381" t="n"/>
      <c r="D491" s="381" t="n"/>
      <c r="E491" s="381" t="n"/>
      <c r="F491" s="381" t="n"/>
      <c r="G491" s="381" t="n"/>
      <c r="H491" s="381" t="n"/>
      <c r="I491" s="381" t="n"/>
      <c r="J491" s="381" t="n"/>
      <c r="K491" s="381" t="n"/>
      <c r="L491" s="381" t="n"/>
      <c r="M491" s="381" t="n"/>
      <c r="N491" s="807" t="n"/>
      <c r="O491" s="808" t="inlineStr">
        <is>
          <t>Итого</t>
        </is>
      </c>
      <c r="P491" s="775" t="n"/>
      <c r="Q491" s="775" t="n"/>
      <c r="R491" s="775" t="n"/>
      <c r="S491" s="775" t="n"/>
      <c r="T491" s="775" t="n"/>
      <c r="U491" s="776" t="n"/>
      <c r="V491" s="43" t="inlineStr">
        <is>
          <t>кор</t>
        </is>
      </c>
      <c r="W491" s="809">
        <f>IFERROR(W488/H488,"0")+IFERROR(W489/H489,"0")+IFERROR(W490/H490,"0")</f>
        <v/>
      </c>
      <c r="X491" s="809">
        <f>IFERROR(X488/H488,"0")+IFERROR(X489/H489,"0")+IFERROR(X490/H490,"0")</f>
        <v/>
      </c>
      <c r="Y491" s="809">
        <f>IFERROR(IF(Y488="",0,Y488),"0")+IFERROR(IF(Y489="",0,Y489),"0")+IFERROR(IF(Y490="",0,Y490),"0")</f>
        <v/>
      </c>
      <c r="Z491" s="810" t="n"/>
      <c r="AA491" s="810" t="n"/>
    </row>
    <row r="492">
      <c r="A492" s="381" t="n"/>
      <c r="B492" s="381" t="n"/>
      <c r="C492" s="381" t="n"/>
      <c r="D492" s="381" t="n"/>
      <c r="E492" s="381" t="n"/>
      <c r="F492" s="381" t="n"/>
      <c r="G492" s="381" t="n"/>
      <c r="H492" s="381" t="n"/>
      <c r="I492" s="381" t="n"/>
      <c r="J492" s="381" t="n"/>
      <c r="K492" s="381" t="n"/>
      <c r="L492" s="381" t="n"/>
      <c r="M492" s="381" t="n"/>
      <c r="N492" s="807" t="n"/>
      <c r="O492" s="808" t="inlineStr">
        <is>
          <t>Итого</t>
        </is>
      </c>
      <c r="P492" s="775" t="n"/>
      <c r="Q492" s="775" t="n"/>
      <c r="R492" s="775" t="n"/>
      <c r="S492" s="775" t="n"/>
      <c r="T492" s="775" t="n"/>
      <c r="U492" s="776" t="n"/>
      <c r="V492" s="43" t="inlineStr">
        <is>
          <t>кг</t>
        </is>
      </c>
      <c r="W492" s="809">
        <f>IFERROR(SUM(W488:W490),"0")</f>
        <v/>
      </c>
      <c r="X492" s="809">
        <f>IFERROR(SUM(X488:X490),"0")</f>
        <v/>
      </c>
      <c r="Y492" s="43" t="n"/>
      <c r="Z492" s="810" t="n"/>
      <c r="AA492" s="810" t="n"/>
    </row>
    <row r="493" ht="14.25" customHeight="1">
      <c r="A493" s="399" t="inlineStr">
        <is>
          <t>Сардельки</t>
        </is>
      </c>
      <c r="B493" s="381" t="n"/>
      <c r="C493" s="381" t="n"/>
      <c r="D493" s="381" t="n"/>
      <c r="E493" s="381" t="n"/>
      <c r="F493" s="381" t="n"/>
      <c r="G493" s="381" t="n"/>
      <c r="H493" s="381" t="n"/>
      <c r="I493" s="381" t="n"/>
      <c r="J493" s="381" t="n"/>
      <c r="K493" s="381" t="n"/>
      <c r="L493" s="381" t="n"/>
      <c r="M493" s="381" t="n"/>
      <c r="N493" s="381" t="n"/>
      <c r="O493" s="381" t="n"/>
      <c r="P493" s="381" t="n"/>
      <c r="Q493" s="381" t="n"/>
      <c r="R493" s="381" t="n"/>
      <c r="S493" s="381" t="n"/>
      <c r="T493" s="381" t="n"/>
      <c r="U493" s="381" t="n"/>
      <c r="V493" s="381" t="n"/>
      <c r="W493" s="381" t="n"/>
      <c r="X493" s="381" t="n"/>
      <c r="Y493" s="381" t="n"/>
      <c r="Z493" s="399" t="n"/>
      <c r="AA493" s="399" t="n"/>
    </row>
    <row r="494" ht="16.5" customHeight="1">
      <c r="A494" s="64" t="inlineStr">
        <is>
          <t>SU003136</t>
        </is>
      </c>
      <c r="B494" s="64" t="inlineStr">
        <is>
          <t>P003722</t>
        </is>
      </c>
      <c r="C494" s="37" t="n">
        <v>4301060363</v>
      </c>
      <c r="D494" s="384" t="n">
        <v>4680115885035</v>
      </c>
      <c r="E494" s="767" t="n"/>
      <c r="F494" s="801" t="n">
        <v>1</v>
      </c>
      <c r="G494" s="38" t="n">
        <v>4</v>
      </c>
      <c r="H494" s="801" t="n">
        <v>4</v>
      </c>
      <c r="I494" s="801" t="n">
        <v>4.416</v>
      </c>
      <c r="J494" s="38" t="n">
        <v>104</v>
      </c>
      <c r="K494" s="38" t="inlineStr">
        <is>
          <t>8</t>
        </is>
      </c>
      <c r="L494" s="39" t="inlineStr">
        <is>
          <t>СК2</t>
        </is>
      </c>
      <c r="M494" s="39" t="n"/>
      <c r="N494" s="38" t="n">
        <v>35</v>
      </c>
      <c r="O494" s="1081">
        <f>HYPERLINK("https://abi.ru/products/Охлажденные/Дугушка/Дугушка/Сардельки/P003722/","Сардельки «Дугушки» Весовой н/о ТМ «Дугушка»")</f>
        <v/>
      </c>
      <c r="P494" s="803" t="n"/>
      <c r="Q494" s="803" t="n"/>
      <c r="R494" s="803" t="n"/>
      <c r="S494" s="767" t="n"/>
      <c r="T494" s="40" t="inlineStr"/>
      <c r="U494" s="40" t="inlineStr"/>
      <c r="V494" s="41" t="inlineStr">
        <is>
          <t>кг</t>
        </is>
      </c>
      <c r="W494" s="804" t="n">
        <v>0</v>
      </c>
      <c r="X494" s="805">
        <f>IFERROR(IF(W494="",0,CEILING((W494/$H494),1)*$H494),"")</f>
        <v/>
      </c>
      <c r="Y494" s="42">
        <f>IFERROR(IF(X494=0,"",ROUNDUP(X494/H494,0)*0.01196),"")</f>
        <v/>
      </c>
      <c r="Z494" s="69" t="inlineStr"/>
      <c r="AA494" s="70" t="inlineStr"/>
      <c r="AE494" s="80" t="n"/>
      <c r="BB494" s="353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>
      <c r="A495" s="393" t="n"/>
      <c r="B495" s="381" t="n"/>
      <c r="C495" s="381" t="n"/>
      <c r="D495" s="381" t="n"/>
      <c r="E495" s="381" t="n"/>
      <c r="F495" s="381" t="n"/>
      <c r="G495" s="381" t="n"/>
      <c r="H495" s="381" t="n"/>
      <c r="I495" s="381" t="n"/>
      <c r="J495" s="381" t="n"/>
      <c r="K495" s="381" t="n"/>
      <c r="L495" s="381" t="n"/>
      <c r="M495" s="381" t="n"/>
      <c r="N495" s="807" t="n"/>
      <c r="O495" s="808" t="inlineStr">
        <is>
          <t>Итого</t>
        </is>
      </c>
      <c r="P495" s="775" t="n"/>
      <c r="Q495" s="775" t="n"/>
      <c r="R495" s="775" t="n"/>
      <c r="S495" s="775" t="n"/>
      <c r="T495" s="775" t="n"/>
      <c r="U495" s="776" t="n"/>
      <c r="V495" s="43" t="inlineStr">
        <is>
          <t>кор</t>
        </is>
      </c>
      <c r="W495" s="809">
        <f>IFERROR(W494/H494,"0")</f>
        <v/>
      </c>
      <c r="X495" s="809">
        <f>IFERROR(X494/H494,"0")</f>
        <v/>
      </c>
      <c r="Y495" s="809">
        <f>IFERROR(IF(Y494="",0,Y494),"0")</f>
        <v/>
      </c>
      <c r="Z495" s="810" t="n"/>
      <c r="AA495" s="810" t="n"/>
    </row>
    <row r="496">
      <c r="A496" s="381" t="n"/>
      <c r="B496" s="381" t="n"/>
      <c r="C496" s="381" t="n"/>
      <c r="D496" s="381" t="n"/>
      <c r="E496" s="381" t="n"/>
      <c r="F496" s="381" t="n"/>
      <c r="G496" s="381" t="n"/>
      <c r="H496" s="381" t="n"/>
      <c r="I496" s="381" t="n"/>
      <c r="J496" s="381" t="n"/>
      <c r="K496" s="381" t="n"/>
      <c r="L496" s="381" t="n"/>
      <c r="M496" s="381" t="n"/>
      <c r="N496" s="807" t="n"/>
      <c r="O496" s="808" t="inlineStr">
        <is>
          <t>Итого</t>
        </is>
      </c>
      <c r="P496" s="775" t="n"/>
      <c r="Q496" s="775" t="n"/>
      <c r="R496" s="775" t="n"/>
      <c r="S496" s="775" t="n"/>
      <c r="T496" s="775" t="n"/>
      <c r="U496" s="776" t="n"/>
      <c r="V496" s="43" t="inlineStr">
        <is>
          <t>кг</t>
        </is>
      </c>
      <c r="W496" s="809">
        <f>IFERROR(SUM(W494:W494),"0")</f>
        <v/>
      </c>
      <c r="X496" s="809">
        <f>IFERROR(SUM(X494:X494),"0")</f>
        <v/>
      </c>
      <c r="Y496" s="43" t="n"/>
      <c r="Z496" s="810" t="n"/>
      <c r="AA496" s="810" t="n"/>
    </row>
    <row r="497" ht="27.75" customHeight="1">
      <c r="A497" s="420" t="inlineStr">
        <is>
          <t>Зареченские</t>
        </is>
      </c>
      <c r="B497" s="800" t="n"/>
      <c r="C497" s="800" t="n"/>
      <c r="D497" s="800" t="n"/>
      <c r="E497" s="800" t="n"/>
      <c r="F497" s="800" t="n"/>
      <c r="G497" s="800" t="n"/>
      <c r="H497" s="800" t="n"/>
      <c r="I497" s="800" t="n"/>
      <c r="J497" s="800" t="n"/>
      <c r="K497" s="800" t="n"/>
      <c r="L497" s="800" t="n"/>
      <c r="M497" s="800" t="n"/>
      <c r="N497" s="800" t="n"/>
      <c r="O497" s="800" t="n"/>
      <c r="P497" s="800" t="n"/>
      <c r="Q497" s="800" t="n"/>
      <c r="R497" s="800" t="n"/>
      <c r="S497" s="800" t="n"/>
      <c r="T497" s="800" t="n"/>
      <c r="U497" s="800" t="n"/>
      <c r="V497" s="800" t="n"/>
      <c r="W497" s="800" t="n"/>
      <c r="X497" s="800" t="n"/>
      <c r="Y497" s="800" t="n"/>
      <c r="Z497" s="55" t="n"/>
      <c r="AA497" s="55" t="n"/>
    </row>
    <row r="498" ht="16.5" customHeight="1">
      <c r="A498" s="421" t="inlineStr">
        <is>
          <t>Зареченские продукты</t>
        </is>
      </c>
      <c r="B498" s="381" t="n"/>
      <c r="C498" s="381" t="n"/>
      <c r="D498" s="381" t="n"/>
      <c r="E498" s="381" t="n"/>
      <c r="F498" s="381" t="n"/>
      <c r="G498" s="381" t="n"/>
      <c r="H498" s="381" t="n"/>
      <c r="I498" s="381" t="n"/>
      <c r="J498" s="381" t="n"/>
      <c r="K498" s="381" t="n"/>
      <c r="L498" s="381" t="n"/>
      <c r="M498" s="381" t="n"/>
      <c r="N498" s="381" t="n"/>
      <c r="O498" s="381" t="n"/>
      <c r="P498" s="381" t="n"/>
      <c r="Q498" s="381" t="n"/>
      <c r="R498" s="381" t="n"/>
      <c r="S498" s="381" t="n"/>
      <c r="T498" s="381" t="n"/>
      <c r="U498" s="381" t="n"/>
      <c r="V498" s="381" t="n"/>
      <c r="W498" s="381" t="n"/>
      <c r="X498" s="381" t="n"/>
      <c r="Y498" s="381" t="n"/>
      <c r="Z498" s="421" t="n"/>
      <c r="AA498" s="421" t="n"/>
    </row>
    <row r="499" ht="14.25" customHeight="1">
      <c r="A499" s="399" t="inlineStr">
        <is>
          <t>Вареные колбасы</t>
        </is>
      </c>
      <c r="B499" s="381" t="n"/>
      <c r="C499" s="381" t="n"/>
      <c r="D499" s="381" t="n"/>
      <c r="E499" s="381" t="n"/>
      <c r="F499" s="381" t="n"/>
      <c r="G499" s="381" t="n"/>
      <c r="H499" s="381" t="n"/>
      <c r="I499" s="381" t="n"/>
      <c r="J499" s="381" t="n"/>
      <c r="K499" s="381" t="n"/>
      <c r="L499" s="381" t="n"/>
      <c r="M499" s="381" t="n"/>
      <c r="N499" s="381" t="n"/>
      <c r="O499" s="381" t="n"/>
      <c r="P499" s="381" t="n"/>
      <c r="Q499" s="381" t="n"/>
      <c r="R499" s="381" t="n"/>
      <c r="S499" s="381" t="n"/>
      <c r="T499" s="381" t="n"/>
      <c r="U499" s="381" t="n"/>
      <c r="V499" s="381" t="n"/>
      <c r="W499" s="381" t="n"/>
      <c r="X499" s="381" t="n"/>
      <c r="Y499" s="381" t="n"/>
      <c r="Z499" s="399" t="n"/>
      <c r="AA499" s="399" t="n"/>
    </row>
    <row r="500" ht="27" customHeight="1">
      <c r="A500" s="64" t="inlineStr">
        <is>
          <t>SU003290</t>
        </is>
      </c>
      <c r="B500" s="64" t="inlineStr">
        <is>
          <t>P004000</t>
        </is>
      </c>
      <c r="C500" s="37" t="n">
        <v>4301011763</v>
      </c>
      <c r="D500" s="384" t="n">
        <v>4640242181011</v>
      </c>
      <c r="E500" s="767" t="n"/>
      <c r="F500" s="801" t="n">
        <v>1.35</v>
      </c>
      <c r="G500" s="38" t="n">
        <v>8</v>
      </c>
      <c r="H500" s="801" t="n">
        <v>10.8</v>
      </c>
      <c r="I500" s="801" t="n">
        <v>11.28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9" t="n"/>
      <c r="N500" s="38" t="n">
        <v>55</v>
      </c>
      <c r="O500" s="1082" t="inlineStr">
        <is>
          <t>Вареные колбасы «Молочная» Весовой п/а ТМ «Зареченские»</t>
        </is>
      </c>
      <c r="P500" s="803" t="n"/>
      <c r="Q500" s="803" t="n"/>
      <c r="R500" s="803" t="n"/>
      <c r="S500" s="767" t="n"/>
      <c r="T500" s="40" t="inlineStr"/>
      <c r="U500" s="40" t="inlineStr"/>
      <c r="V500" s="41" t="inlineStr">
        <is>
          <t>кг</t>
        </is>
      </c>
      <c r="W500" s="804" t="n">
        <v>0</v>
      </c>
      <c r="X500" s="805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5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SU002963</t>
        </is>
      </c>
      <c r="B501" s="64" t="inlineStr">
        <is>
          <t>P004322</t>
        </is>
      </c>
      <c r="C501" s="37" t="n">
        <v>4301011951</v>
      </c>
      <c r="D501" s="384" t="n">
        <v>4640242180045</v>
      </c>
      <c r="E501" s="767" t="n"/>
      <c r="F501" s="801" t="n">
        <v>1.35</v>
      </c>
      <c r="G501" s="38" t="n">
        <v>8</v>
      </c>
      <c r="H501" s="801" t="n">
        <v>10.8</v>
      </c>
      <c r="I501" s="801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9" t="n"/>
      <c r="N501" s="38" t="n">
        <v>55</v>
      </c>
      <c r="O501" s="1083" t="inlineStr">
        <is>
          <t>Вареные колбасы «Молочная классическая» Весовой п/а ТМ «Зареченские» HR</t>
        </is>
      </c>
      <c r="P501" s="803" t="n"/>
      <c r="Q501" s="803" t="n"/>
      <c r="R501" s="803" t="n"/>
      <c r="S501" s="767" t="n"/>
      <c r="T501" s="40" t="inlineStr"/>
      <c r="U501" s="40" t="inlineStr"/>
      <c r="V501" s="41" t="inlineStr">
        <is>
          <t>кг</t>
        </is>
      </c>
      <c r="W501" s="804" t="n">
        <v>0</v>
      </c>
      <c r="X501" s="805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5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SU002807</t>
        </is>
      </c>
      <c r="B502" s="64" t="inlineStr">
        <is>
          <t>P003583</t>
        </is>
      </c>
      <c r="C502" s="37" t="n">
        <v>4301011585</v>
      </c>
      <c r="D502" s="384" t="n">
        <v>4640242180441</v>
      </c>
      <c r="E502" s="767" t="n"/>
      <c r="F502" s="801" t="n">
        <v>1.5</v>
      </c>
      <c r="G502" s="38" t="n">
        <v>8</v>
      </c>
      <c r="H502" s="801" t="n">
        <v>12</v>
      </c>
      <c r="I502" s="801" t="n">
        <v>12.48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50</v>
      </c>
      <c r="O502" s="1084" t="inlineStr">
        <is>
          <t>Вареные колбасы «Муромская» Весовой п/а ТМ «Зареченские»</t>
        </is>
      </c>
      <c r="P502" s="803" t="n"/>
      <c r="Q502" s="803" t="n"/>
      <c r="R502" s="803" t="n"/>
      <c r="S502" s="767" t="n"/>
      <c r="T502" s="40" t="inlineStr"/>
      <c r="U502" s="40" t="inlineStr"/>
      <c r="V502" s="41" t="inlineStr">
        <is>
          <t>кг</t>
        </is>
      </c>
      <c r="W502" s="804" t="n">
        <v>0</v>
      </c>
      <c r="X502" s="805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80" t="n"/>
      <c r="BB502" s="356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SU003055</t>
        </is>
      </c>
      <c r="B503" s="64" t="inlineStr">
        <is>
          <t>P004323</t>
        </is>
      </c>
      <c r="C503" s="37" t="n">
        <v>4301011950</v>
      </c>
      <c r="D503" s="384" t="n">
        <v>4640242180601</v>
      </c>
      <c r="E503" s="767" t="n"/>
      <c r="F503" s="801" t="n">
        <v>1.35</v>
      </c>
      <c r="G503" s="38" t="n">
        <v>8</v>
      </c>
      <c r="H503" s="801" t="n">
        <v>10.8</v>
      </c>
      <c r="I503" s="801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55</v>
      </c>
      <c r="O503" s="1085" t="inlineStr">
        <is>
          <t>Вареные колбасы «Мясная со шпиком» Весовой п/а ТМ «Зареченские» HR</t>
        </is>
      </c>
      <c r="P503" s="803" t="n"/>
      <c r="Q503" s="803" t="n"/>
      <c r="R503" s="803" t="n"/>
      <c r="S503" s="767" t="n"/>
      <c r="T503" s="40" t="inlineStr"/>
      <c r="U503" s="40" t="inlineStr"/>
      <c r="V503" s="41" t="inlineStr">
        <is>
          <t>кг</t>
        </is>
      </c>
      <c r="W503" s="804" t="n">
        <v>0</v>
      </c>
      <c r="X503" s="805">
        <f>IFERROR(IF(W503="",0,CEILING((W503/$H503),1)*$H503),"")</f>
        <v/>
      </c>
      <c r="Y503" s="42">
        <f>IFERROR(IF(X503=0,"",ROUNDUP(X503/H503,0)*0.02175),"")</f>
        <v/>
      </c>
      <c r="Z503" s="69" t="inlineStr"/>
      <c r="AA503" s="70" t="inlineStr"/>
      <c r="AE503" s="80" t="n"/>
      <c r="BB503" s="357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 ht="27" customHeight="1">
      <c r="A504" s="64" t="inlineStr">
        <is>
          <t>SU002808</t>
        </is>
      </c>
      <c r="B504" s="64" t="inlineStr">
        <is>
          <t>P003582</t>
        </is>
      </c>
      <c r="C504" s="37" t="n">
        <v>4301011584</v>
      </c>
      <c r="D504" s="384" t="n">
        <v>4640242180564</v>
      </c>
      <c r="E504" s="767" t="n"/>
      <c r="F504" s="801" t="n">
        <v>1.5</v>
      </c>
      <c r="G504" s="38" t="n">
        <v>8</v>
      </c>
      <c r="H504" s="801" t="n">
        <v>12</v>
      </c>
      <c r="I504" s="801" t="n">
        <v>12.48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50</v>
      </c>
      <c r="O504" s="1086" t="inlineStr">
        <is>
          <t>Вареные колбасы «Нежная» НТУ Весовые П/а ТМ «Зареченские»</t>
        </is>
      </c>
      <c r="P504" s="803" t="n"/>
      <c r="Q504" s="803" t="n"/>
      <c r="R504" s="803" t="n"/>
      <c r="S504" s="767" t="n"/>
      <c r="T504" s="40" t="inlineStr"/>
      <c r="U504" s="40" t="inlineStr"/>
      <c r="V504" s="41" t="inlineStr">
        <is>
          <t>кг</t>
        </is>
      </c>
      <c r="W504" s="804" t="n">
        <v>20</v>
      </c>
      <c r="X504" s="805">
        <f>IFERROR(IF(W504="",0,CEILING((W504/$H504),1)*$H504),"")</f>
        <v/>
      </c>
      <c r="Y504" s="42">
        <f>IFERROR(IF(X504=0,"",ROUNDUP(X504/H504,0)*0.02175),"")</f>
        <v/>
      </c>
      <c r="Z504" s="69" t="inlineStr"/>
      <c r="AA504" s="70" t="inlineStr"/>
      <c r="AE504" s="80" t="n"/>
      <c r="BB504" s="358" t="inlineStr">
        <is>
          <t>КИ</t>
        </is>
      </c>
      <c r="BL504" s="80">
        <f>IFERROR(W504*I504/H504,"0")</f>
        <v/>
      </c>
      <c r="BM504" s="80">
        <f>IFERROR(X504*I504/H504,"0")</f>
        <v/>
      </c>
      <c r="BN504" s="80">
        <f>IFERROR(1/J504*(W504/H504),"0")</f>
        <v/>
      </c>
      <c r="BO504" s="80">
        <f>IFERROR(1/J504*(X504/H504),"0")</f>
        <v/>
      </c>
    </row>
    <row r="505" ht="27" customHeight="1">
      <c r="A505" s="64" t="inlineStr">
        <is>
          <t>SU003289</t>
        </is>
      </c>
      <c r="B505" s="64" t="inlineStr">
        <is>
          <t>P003999</t>
        </is>
      </c>
      <c r="C505" s="37" t="n">
        <v>4301011762</v>
      </c>
      <c r="D505" s="384" t="n">
        <v>4640242180922</v>
      </c>
      <c r="E505" s="767" t="n"/>
      <c r="F505" s="801" t="n">
        <v>1.35</v>
      </c>
      <c r="G505" s="38" t="n">
        <v>8</v>
      </c>
      <c r="H505" s="801" t="n">
        <v>10.8</v>
      </c>
      <c r="I505" s="801" t="n">
        <v>11.28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55</v>
      </c>
      <c r="O505" s="1087" t="inlineStr">
        <is>
          <t>Вареные колбасы «Нежная со шпиком» Весовой п/а ТМ «Зареченские»</t>
        </is>
      </c>
      <c r="P505" s="803" t="n"/>
      <c r="Q505" s="803" t="n"/>
      <c r="R505" s="803" t="n"/>
      <c r="S505" s="767" t="n"/>
      <c r="T505" s="40" t="inlineStr"/>
      <c r="U505" s="40" t="inlineStr"/>
      <c r="V505" s="41" t="inlineStr">
        <is>
          <t>кг</t>
        </is>
      </c>
      <c r="W505" s="804" t="n">
        <v>0</v>
      </c>
      <c r="X505" s="805">
        <f>IFERROR(IF(W505="",0,CEILING((W505/$H505),1)*$H505),"")</f>
        <v/>
      </c>
      <c r="Y505" s="42">
        <f>IFERROR(IF(X505=0,"",ROUNDUP(X505/H505,0)*0.02175),"")</f>
        <v/>
      </c>
      <c r="Z505" s="69" t="inlineStr"/>
      <c r="AA505" s="70" t="inlineStr"/>
      <c r="AE505" s="80" t="n"/>
      <c r="BB505" s="359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 ht="27" customHeight="1">
      <c r="A506" s="64" t="inlineStr">
        <is>
          <t>SU002974</t>
        </is>
      </c>
      <c r="B506" s="64" t="inlineStr">
        <is>
          <t>P003426</t>
        </is>
      </c>
      <c r="C506" s="37" t="n">
        <v>4301011551</v>
      </c>
      <c r="D506" s="384" t="n">
        <v>4640242180038</v>
      </c>
      <c r="E506" s="767" t="n"/>
      <c r="F506" s="801" t="n">
        <v>0.4</v>
      </c>
      <c r="G506" s="38" t="n">
        <v>10</v>
      </c>
      <c r="H506" s="801" t="n">
        <v>4</v>
      </c>
      <c r="I506" s="801" t="n">
        <v>4.24</v>
      </c>
      <c r="J506" s="38" t="n">
        <v>120</v>
      </c>
      <c r="K506" s="38" t="inlineStr">
        <is>
          <t>12</t>
        </is>
      </c>
      <c r="L506" s="39" t="inlineStr">
        <is>
          <t>СК1</t>
        </is>
      </c>
      <c r="M506" s="39" t="n"/>
      <c r="N506" s="38" t="n">
        <v>50</v>
      </c>
      <c r="O506" s="1088" t="inlineStr">
        <is>
          <t>Вареные колбасы «Нежная» ф/в 0,4 п/а ТМ «Зареченские»</t>
        </is>
      </c>
      <c r="P506" s="803" t="n"/>
      <c r="Q506" s="803" t="n"/>
      <c r="R506" s="803" t="n"/>
      <c r="S506" s="767" t="n"/>
      <c r="T506" s="40" t="inlineStr"/>
      <c r="U506" s="40" t="inlineStr"/>
      <c r="V506" s="41" t="inlineStr">
        <is>
          <t>кг</t>
        </is>
      </c>
      <c r="W506" s="804" t="n">
        <v>0</v>
      </c>
      <c r="X506" s="805">
        <f>IFERROR(IF(W506="",0,CEILING((W506/$H506),1)*$H506),"")</f>
        <v/>
      </c>
      <c r="Y506" s="42">
        <f>IFERROR(IF(X506=0,"",ROUNDUP(X506/H506,0)*0.00937),"")</f>
        <v/>
      </c>
      <c r="Z506" s="69" t="inlineStr"/>
      <c r="AA506" s="70" t="inlineStr"/>
      <c r="AE506" s="80" t="n"/>
      <c r="BB506" s="360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>
      <c r="A507" s="393" t="n"/>
      <c r="B507" s="381" t="n"/>
      <c r="C507" s="381" t="n"/>
      <c r="D507" s="381" t="n"/>
      <c r="E507" s="381" t="n"/>
      <c r="F507" s="381" t="n"/>
      <c r="G507" s="381" t="n"/>
      <c r="H507" s="381" t="n"/>
      <c r="I507" s="381" t="n"/>
      <c r="J507" s="381" t="n"/>
      <c r="K507" s="381" t="n"/>
      <c r="L507" s="381" t="n"/>
      <c r="M507" s="381" t="n"/>
      <c r="N507" s="807" t="n"/>
      <c r="O507" s="808" t="inlineStr">
        <is>
          <t>Итого</t>
        </is>
      </c>
      <c r="P507" s="775" t="n"/>
      <c r="Q507" s="775" t="n"/>
      <c r="R507" s="775" t="n"/>
      <c r="S507" s="775" t="n"/>
      <c r="T507" s="775" t="n"/>
      <c r="U507" s="776" t="n"/>
      <c r="V507" s="43" t="inlineStr">
        <is>
          <t>кор</t>
        </is>
      </c>
      <c r="W507" s="809">
        <f>IFERROR(W500/H500,"0")+IFERROR(W501/H501,"0")+IFERROR(W502/H502,"0")+IFERROR(W503/H503,"0")+IFERROR(W504/H504,"0")+IFERROR(W505/H505,"0")+IFERROR(W506/H506,"0")</f>
        <v/>
      </c>
      <c r="X507" s="809">
        <f>IFERROR(X500/H500,"0")+IFERROR(X501/H501,"0")+IFERROR(X502/H502,"0")+IFERROR(X503/H503,"0")+IFERROR(X504/H504,"0")+IFERROR(X505/H505,"0")+IFERROR(X506/H506,"0")</f>
        <v/>
      </c>
      <c r="Y507" s="809">
        <f>IFERROR(IF(Y500="",0,Y500),"0")+IFERROR(IF(Y501="",0,Y501),"0")+IFERROR(IF(Y502="",0,Y502),"0")+IFERROR(IF(Y503="",0,Y503),"0")+IFERROR(IF(Y504="",0,Y504),"0")+IFERROR(IF(Y505="",0,Y505),"0")+IFERROR(IF(Y506="",0,Y506),"0")</f>
        <v/>
      </c>
      <c r="Z507" s="810" t="n"/>
      <c r="AA507" s="810" t="n"/>
    </row>
    <row r="508">
      <c r="A508" s="381" t="n"/>
      <c r="B508" s="381" t="n"/>
      <c r="C508" s="381" t="n"/>
      <c r="D508" s="381" t="n"/>
      <c r="E508" s="381" t="n"/>
      <c r="F508" s="381" t="n"/>
      <c r="G508" s="381" t="n"/>
      <c r="H508" s="381" t="n"/>
      <c r="I508" s="381" t="n"/>
      <c r="J508" s="381" t="n"/>
      <c r="K508" s="381" t="n"/>
      <c r="L508" s="381" t="n"/>
      <c r="M508" s="381" t="n"/>
      <c r="N508" s="807" t="n"/>
      <c r="O508" s="808" t="inlineStr">
        <is>
          <t>Итого</t>
        </is>
      </c>
      <c r="P508" s="775" t="n"/>
      <c r="Q508" s="775" t="n"/>
      <c r="R508" s="775" t="n"/>
      <c r="S508" s="775" t="n"/>
      <c r="T508" s="775" t="n"/>
      <c r="U508" s="776" t="n"/>
      <c r="V508" s="43" t="inlineStr">
        <is>
          <t>кг</t>
        </is>
      </c>
      <c r="W508" s="809">
        <f>IFERROR(SUM(W500:W506),"0")</f>
        <v/>
      </c>
      <c r="X508" s="809">
        <f>IFERROR(SUM(X500:X506),"0")</f>
        <v/>
      </c>
      <c r="Y508" s="43" t="n"/>
      <c r="Z508" s="810" t="n"/>
      <c r="AA508" s="810" t="n"/>
    </row>
    <row r="509" ht="14.25" customHeight="1">
      <c r="A509" s="399" t="inlineStr">
        <is>
          <t>Ветчины</t>
        </is>
      </c>
      <c r="B509" s="381" t="n"/>
      <c r="C509" s="381" t="n"/>
      <c r="D509" s="381" t="n"/>
      <c r="E509" s="381" t="n"/>
      <c r="F509" s="381" t="n"/>
      <c r="G509" s="381" t="n"/>
      <c r="H509" s="381" t="n"/>
      <c r="I509" s="381" t="n"/>
      <c r="J509" s="381" t="n"/>
      <c r="K509" s="381" t="n"/>
      <c r="L509" s="381" t="n"/>
      <c r="M509" s="381" t="n"/>
      <c r="N509" s="381" t="n"/>
      <c r="O509" s="381" t="n"/>
      <c r="P509" s="381" t="n"/>
      <c r="Q509" s="381" t="n"/>
      <c r="R509" s="381" t="n"/>
      <c r="S509" s="381" t="n"/>
      <c r="T509" s="381" t="n"/>
      <c r="U509" s="381" t="n"/>
      <c r="V509" s="381" t="n"/>
      <c r="W509" s="381" t="n"/>
      <c r="X509" s="381" t="n"/>
      <c r="Y509" s="381" t="n"/>
      <c r="Z509" s="399" t="n"/>
      <c r="AA509" s="399" t="n"/>
    </row>
    <row r="510" ht="27" customHeight="1">
      <c r="A510" s="64" t="inlineStr">
        <is>
          <t>SU002811</t>
        </is>
      </c>
      <c r="B510" s="64" t="inlineStr">
        <is>
          <t>P003588</t>
        </is>
      </c>
      <c r="C510" s="37" t="n">
        <v>4301020260</v>
      </c>
      <c r="D510" s="384" t="n">
        <v>4640242180526</v>
      </c>
      <c r="E510" s="767" t="n"/>
      <c r="F510" s="801" t="n">
        <v>1.8</v>
      </c>
      <c r="G510" s="38" t="n">
        <v>6</v>
      </c>
      <c r="H510" s="801" t="n">
        <v>10.8</v>
      </c>
      <c r="I510" s="801" t="n">
        <v>11.28</v>
      </c>
      <c r="J510" s="38" t="n">
        <v>56</v>
      </c>
      <c r="K510" s="38" t="inlineStr">
        <is>
          <t>8</t>
        </is>
      </c>
      <c r="L510" s="39" t="inlineStr">
        <is>
          <t>СК1</t>
        </is>
      </c>
      <c r="M510" s="39" t="n"/>
      <c r="N510" s="38" t="n">
        <v>50</v>
      </c>
      <c r="O510" s="1089" t="inlineStr">
        <is>
          <t>Ветчины «Нежная» Весовой п/а ТМ «Зареченские» большой батон</t>
        </is>
      </c>
      <c r="P510" s="803" t="n"/>
      <c r="Q510" s="803" t="n"/>
      <c r="R510" s="803" t="n"/>
      <c r="S510" s="767" t="n"/>
      <c r="T510" s="40" t="inlineStr"/>
      <c r="U510" s="40" t="inlineStr"/>
      <c r="V510" s="41" t="inlineStr">
        <is>
          <t>кг</t>
        </is>
      </c>
      <c r="W510" s="804" t="n">
        <v>0</v>
      </c>
      <c r="X510" s="805">
        <f>IFERROR(IF(W510="",0,CEILING((W510/$H510),1)*$H510),"")</f>
        <v/>
      </c>
      <c r="Y510" s="42">
        <f>IFERROR(IF(X510=0,"",ROUNDUP(X510/H510,0)*0.02175),"")</f>
        <v/>
      </c>
      <c r="Z510" s="69" t="inlineStr"/>
      <c r="AA510" s="70" t="inlineStr"/>
      <c r="AE510" s="80" t="n"/>
      <c r="BB510" s="361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 ht="16.5" customHeight="1">
      <c r="A511" s="64" t="inlineStr">
        <is>
          <t>SU002806</t>
        </is>
      </c>
      <c r="B511" s="64" t="inlineStr">
        <is>
          <t>P003591</t>
        </is>
      </c>
      <c r="C511" s="37" t="n">
        <v>4301020269</v>
      </c>
      <c r="D511" s="384" t="n">
        <v>4640242180519</v>
      </c>
      <c r="E511" s="767" t="n"/>
      <c r="F511" s="801" t="n">
        <v>1.35</v>
      </c>
      <c r="G511" s="38" t="n">
        <v>8</v>
      </c>
      <c r="H511" s="801" t="n">
        <v>10.8</v>
      </c>
      <c r="I511" s="801" t="n">
        <v>11.28</v>
      </c>
      <c r="J511" s="38" t="n">
        <v>56</v>
      </c>
      <c r="K511" s="38" t="inlineStr">
        <is>
          <t>8</t>
        </is>
      </c>
      <c r="L511" s="39" t="inlineStr">
        <is>
          <t>СК3</t>
        </is>
      </c>
      <c r="M511" s="39" t="n"/>
      <c r="N511" s="38" t="n">
        <v>50</v>
      </c>
      <c r="O511" s="1090" t="inlineStr">
        <is>
          <t>Ветчины «Нежная» Весовой п/а ТМ «Зареченские»</t>
        </is>
      </c>
      <c r="P511" s="803" t="n"/>
      <c r="Q511" s="803" t="n"/>
      <c r="R511" s="803" t="n"/>
      <c r="S511" s="767" t="n"/>
      <c r="T511" s="40" t="inlineStr"/>
      <c r="U511" s="40" t="inlineStr"/>
      <c r="V511" s="41" t="inlineStr">
        <is>
          <t>кг</t>
        </is>
      </c>
      <c r="W511" s="804" t="n">
        <v>0</v>
      </c>
      <c r="X511" s="805">
        <f>IFERROR(IF(W511="",0,CEILING((W511/$H511),1)*$H511),"")</f>
        <v/>
      </c>
      <c r="Y511" s="42">
        <f>IFERROR(IF(X511=0,"",ROUNDUP(X511/H511,0)*0.02175),"")</f>
        <v/>
      </c>
      <c r="Z511" s="69" t="inlineStr"/>
      <c r="AA511" s="70" t="inlineStr"/>
      <c r="AE511" s="80" t="n"/>
      <c r="BB511" s="362" t="inlineStr">
        <is>
          <t>КИ</t>
        </is>
      </c>
      <c r="BL511" s="80">
        <f>IFERROR(W511*I511/H511,"0")</f>
        <v/>
      </c>
      <c r="BM511" s="80">
        <f>IFERROR(X511*I511/H511,"0")</f>
        <v/>
      </c>
      <c r="BN511" s="80">
        <f>IFERROR(1/J511*(W511/H511),"0")</f>
        <v/>
      </c>
      <c r="BO511" s="80">
        <f>IFERROR(1/J511*(X511/H511),"0")</f>
        <v/>
      </c>
    </row>
    <row r="512" ht="27" customHeight="1">
      <c r="A512" s="64" t="inlineStr">
        <is>
          <t>SU003398</t>
        </is>
      </c>
      <c r="B512" s="64" t="inlineStr">
        <is>
          <t>P004217</t>
        </is>
      </c>
      <c r="C512" s="37" t="n">
        <v>4301020309</v>
      </c>
      <c r="D512" s="384" t="n">
        <v>4640242180090</v>
      </c>
      <c r="E512" s="767" t="n"/>
      <c r="F512" s="801" t="n">
        <v>1.35</v>
      </c>
      <c r="G512" s="38" t="n">
        <v>8</v>
      </c>
      <c r="H512" s="801" t="n">
        <v>10.8</v>
      </c>
      <c r="I512" s="80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091" t="inlineStr">
        <is>
          <t>Ветчины «Рубленая» Весовой п/а ТМ «Зареченские»</t>
        </is>
      </c>
      <c r="P512" s="803" t="n"/>
      <c r="Q512" s="803" t="n"/>
      <c r="R512" s="803" t="n"/>
      <c r="S512" s="767" t="n"/>
      <c r="T512" s="40" t="inlineStr"/>
      <c r="U512" s="40" t="inlineStr"/>
      <c r="V512" s="41" t="inlineStr">
        <is>
          <t>кг</t>
        </is>
      </c>
      <c r="W512" s="804" t="n">
        <v>0</v>
      </c>
      <c r="X512" s="805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3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SU002967</t>
        </is>
      </c>
      <c r="B513" s="64" t="inlineStr">
        <is>
          <t>P004317</t>
        </is>
      </c>
      <c r="C513" s="37" t="n">
        <v>4301020314</v>
      </c>
      <c r="D513" s="384" t="n">
        <v>4640242180090</v>
      </c>
      <c r="E513" s="767" t="n"/>
      <c r="F513" s="801" t="n">
        <v>1.35</v>
      </c>
      <c r="G513" s="38" t="n">
        <v>8</v>
      </c>
      <c r="H513" s="801" t="n">
        <v>10.8</v>
      </c>
      <c r="I513" s="801" t="n">
        <v>11.28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50</v>
      </c>
      <c r="O513" s="1092" t="inlineStr">
        <is>
          <t>Ветчины «Рубленая» Весовой п/а ТМ «Зареченские» НТУ HR</t>
        </is>
      </c>
      <c r="P513" s="803" t="n"/>
      <c r="Q513" s="803" t="n"/>
      <c r="R513" s="803" t="n"/>
      <c r="S513" s="767" t="n"/>
      <c r="T513" s="40" t="inlineStr"/>
      <c r="U513" s="40" t="inlineStr"/>
      <c r="V513" s="41" t="inlineStr">
        <is>
          <t>кг</t>
        </is>
      </c>
      <c r="W513" s="804" t="n">
        <v>0</v>
      </c>
      <c r="X513" s="805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4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>
      <c r="A514" s="393" t="n"/>
      <c r="B514" s="381" t="n"/>
      <c r="C514" s="381" t="n"/>
      <c r="D514" s="381" t="n"/>
      <c r="E514" s="381" t="n"/>
      <c r="F514" s="381" t="n"/>
      <c r="G514" s="381" t="n"/>
      <c r="H514" s="381" t="n"/>
      <c r="I514" s="381" t="n"/>
      <c r="J514" s="381" t="n"/>
      <c r="K514" s="381" t="n"/>
      <c r="L514" s="381" t="n"/>
      <c r="M514" s="381" t="n"/>
      <c r="N514" s="807" t="n"/>
      <c r="O514" s="808" t="inlineStr">
        <is>
          <t>Итого</t>
        </is>
      </c>
      <c r="P514" s="775" t="n"/>
      <c r="Q514" s="775" t="n"/>
      <c r="R514" s="775" t="n"/>
      <c r="S514" s="775" t="n"/>
      <c r="T514" s="775" t="n"/>
      <c r="U514" s="776" t="n"/>
      <c r="V514" s="43" t="inlineStr">
        <is>
          <t>кор</t>
        </is>
      </c>
      <c r="W514" s="809">
        <f>IFERROR(W510/H510,"0")+IFERROR(W511/H511,"0")+IFERROR(W512/H512,"0")+IFERROR(W513/H513,"0")</f>
        <v/>
      </c>
      <c r="X514" s="809">
        <f>IFERROR(X510/H510,"0")+IFERROR(X511/H511,"0")+IFERROR(X512/H512,"0")+IFERROR(X513/H513,"0")</f>
        <v/>
      </c>
      <c r="Y514" s="809">
        <f>IFERROR(IF(Y510="",0,Y510),"0")+IFERROR(IF(Y511="",0,Y511),"0")+IFERROR(IF(Y512="",0,Y512),"0")+IFERROR(IF(Y513="",0,Y513),"0")</f>
        <v/>
      </c>
      <c r="Z514" s="810" t="n"/>
      <c r="AA514" s="810" t="n"/>
    </row>
    <row r="515">
      <c r="A515" s="381" t="n"/>
      <c r="B515" s="381" t="n"/>
      <c r="C515" s="381" t="n"/>
      <c r="D515" s="381" t="n"/>
      <c r="E515" s="381" t="n"/>
      <c r="F515" s="381" t="n"/>
      <c r="G515" s="381" t="n"/>
      <c r="H515" s="381" t="n"/>
      <c r="I515" s="381" t="n"/>
      <c r="J515" s="381" t="n"/>
      <c r="K515" s="381" t="n"/>
      <c r="L515" s="381" t="n"/>
      <c r="M515" s="381" t="n"/>
      <c r="N515" s="807" t="n"/>
      <c r="O515" s="808" t="inlineStr">
        <is>
          <t>Итого</t>
        </is>
      </c>
      <c r="P515" s="775" t="n"/>
      <c r="Q515" s="775" t="n"/>
      <c r="R515" s="775" t="n"/>
      <c r="S515" s="775" t="n"/>
      <c r="T515" s="775" t="n"/>
      <c r="U515" s="776" t="n"/>
      <c r="V515" s="43" t="inlineStr">
        <is>
          <t>кг</t>
        </is>
      </c>
      <c r="W515" s="809">
        <f>IFERROR(SUM(W510:W513),"0")</f>
        <v/>
      </c>
      <c r="X515" s="809">
        <f>IFERROR(SUM(X510:X513),"0")</f>
        <v/>
      </c>
      <c r="Y515" s="43" t="n"/>
      <c r="Z515" s="810" t="n"/>
      <c r="AA515" s="810" t="n"/>
    </row>
    <row r="516" ht="14.25" customHeight="1">
      <c r="A516" s="399" t="inlineStr">
        <is>
          <t>Копченые колбасы</t>
        </is>
      </c>
      <c r="B516" s="381" t="n"/>
      <c r="C516" s="381" t="n"/>
      <c r="D516" s="381" t="n"/>
      <c r="E516" s="381" t="n"/>
      <c r="F516" s="381" t="n"/>
      <c r="G516" s="381" t="n"/>
      <c r="H516" s="381" t="n"/>
      <c r="I516" s="381" t="n"/>
      <c r="J516" s="381" t="n"/>
      <c r="K516" s="381" t="n"/>
      <c r="L516" s="381" t="n"/>
      <c r="M516" s="381" t="n"/>
      <c r="N516" s="381" t="n"/>
      <c r="O516" s="381" t="n"/>
      <c r="P516" s="381" t="n"/>
      <c r="Q516" s="381" t="n"/>
      <c r="R516" s="381" t="n"/>
      <c r="S516" s="381" t="n"/>
      <c r="T516" s="381" t="n"/>
      <c r="U516" s="381" t="n"/>
      <c r="V516" s="381" t="n"/>
      <c r="W516" s="381" t="n"/>
      <c r="X516" s="381" t="n"/>
      <c r="Y516" s="381" t="n"/>
      <c r="Z516" s="399" t="n"/>
      <c r="AA516" s="399" t="n"/>
    </row>
    <row r="517" ht="27" customHeight="1">
      <c r="A517" s="64" t="inlineStr">
        <is>
          <t>SU002805</t>
        </is>
      </c>
      <c r="B517" s="64" t="inlineStr">
        <is>
          <t>P003584</t>
        </is>
      </c>
      <c r="C517" s="37" t="n">
        <v>4301031280</v>
      </c>
      <c r="D517" s="384" t="n">
        <v>4640242180816</v>
      </c>
      <c r="E517" s="767" t="n"/>
      <c r="F517" s="801" t="n">
        <v>0.7</v>
      </c>
      <c r="G517" s="38" t="n">
        <v>6</v>
      </c>
      <c r="H517" s="801" t="n">
        <v>4.2</v>
      </c>
      <c r="I517" s="801" t="n">
        <v>4.46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9" t="n"/>
      <c r="N517" s="38" t="n">
        <v>40</v>
      </c>
      <c r="O517" s="1093" t="inlineStr">
        <is>
          <t>Копченые колбасы «Сервелат Пражский» Весовой фиброуз ТМ «Зареченские»</t>
        </is>
      </c>
      <c r="P517" s="803" t="n"/>
      <c r="Q517" s="803" t="n"/>
      <c r="R517" s="803" t="n"/>
      <c r="S517" s="767" t="n"/>
      <c r="T517" s="40" t="inlineStr"/>
      <c r="U517" s="40" t="inlineStr"/>
      <c r="V517" s="41" t="inlineStr">
        <is>
          <t>кг</t>
        </is>
      </c>
      <c r="W517" s="804" t="n">
        <v>0</v>
      </c>
      <c r="X517" s="805">
        <f>IFERROR(IF(W517="",0,CEILING((W517/$H517),1)*$H517),"")</f>
        <v/>
      </c>
      <c r="Y517" s="42">
        <f>IFERROR(IF(X517=0,"",ROUNDUP(X517/H517,0)*0.00753),"")</f>
        <v/>
      </c>
      <c r="Z517" s="69" t="inlineStr"/>
      <c r="AA517" s="70" t="inlineStr"/>
      <c r="AE517" s="80" t="n"/>
      <c r="BB517" s="365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SU002654</t>
        </is>
      </c>
      <c r="B518" s="64" t="inlineStr">
        <is>
          <t>P003219</t>
        </is>
      </c>
      <c r="C518" s="37" t="n">
        <v>4301031194</v>
      </c>
      <c r="D518" s="384" t="n">
        <v>4680115880856</v>
      </c>
      <c r="E518" s="767" t="n"/>
      <c r="F518" s="801" t="n">
        <v>0.7</v>
      </c>
      <c r="G518" s="38" t="n">
        <v>6</v>
      </c>
      <c r="H518" s="801" t="n">
        <v>4.2</v>
      </c>
      <c r="I518" s="801" t="n">
        <v>4.46</v>
      </c>
      <c r="J518" s="38" t="n">
        <v>156</v>
      </c>
      <c r="K518" s="38" t="inlineStr">
        <is>
          <t>12</t>
        </is>
      </c>
      <c r="L518" s="39" t="inlineStr">
        <is>
          <t>СК2</t>
        </is>
      </c>
      <c r="M518" s="39" t="n"/>
      <c r="N518" s="38" t="n">
        <v>40</v>
      </c>
      <c r="O518" s="1094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18" s="803" t="n"/>
      <c r="Q518" s="803" t="n"/>
      <c r="R518" s="803" t="n"/>
      <c r="S518" s="767" t="n"/>
      <c r="T518" s="40" t="inlineStr"/>
      <c r="U518" s="40" t="inlineStr"/>
      <c r="V518" s="41" t="inlineStr">
        <is>
          <t>кг</t>
        </is>
      </c>
      <c r="W518" s="804" t="n">
        <v>0</v>
      </c>
      <c r="X518" s="805">
        <f>IFERROR(IF(W518="",0,CEILING((W518/$H518),1)*$H518),"")</f>
        <v/>
      </c>
      <c r="Y518" s="42">
        <f>IFERROR(IF(X518=0,"",ROUNDUP(X518/H518,0)*0.00753),"")</f>
        <v/>
      </c>
      <c r="Z518" s="69" t="inlineStr"/>
      <c r="AA518" s="70" t="inlineStr"/>
      <c r="AE518" s="80" t="n"/>
      <c r="BB518" s="366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SU002809</t>
        </is>
      </c>
      <c r="B519" s="64" t="inlineStr">
        <is>
          <t>P003586</t>
        </is>
      </c>
      <c r="C519" s="37" t="n">
        <v>4301031244</v>
      </c>
      <c r="D519" s="384" t="n">
        <v>4640242180595</v>
      </c>
      <c r="E519" s="767" t="n"/>
      <c r="F519" s="801" t="n">
        <v>0.7</v>
      </c>
      <c r="G519" s="38" t="n">
        <v>6</v>
      </c>
      <c r="H519" s="801" t="n">
        <v>4.2</v>
      </c>
      <c r="I519" s="80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095" t="inlineStr">
        <is>
          <t>В/к колбасы «Сервелат Рижский» НТУ Весовые Фиброуз в/у ТМ «Зареченские»</t>
        </is>
      </c>
      <c r="P519" s="803" t="n"/>
      <c r="Q519" s="803" t="n"/>
      <c r="R519" s="803" t="n"/>
      <c r="S519" s="767" t="n"/>
      <c r="T519" s="40" t="inlineStr"/>
      <c r="U519" s="40" t="inlineStr"/>
      <c r="V519" s="41" t="inlineStr">
        <is>
          <t>кг</t>
        </is>
      </c>
      <c r="W519" s="804" t="n">
        <v>0</v>
      </c>
      <c r="X519" s="805">
        <f>IFERROR(IF(W519="",0,CEILING((W519/$H519),1)*$H519),"")</f>
        <v/>
      </c>
      <c r="Y519" s="42">
        <f>IFERROR(IF(X519=0,"",ROUNDUP(X519/H519,0)*0.00753),"")</f>
        <v/>
      </c>
      <c r="Z519" s="69" t="inlineStr"/>
      <c r="AA519" s="70" t="inlineStr"/>
      <c r="AE519" s="80" t="n"/>
      <c r="BB519" s="367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 ht="27" customHeight="1">
      <c r="A520" s="64" t="inlineStr">
        <is>
          <t>SU002965</t>
        </is>
      </c>
      <c r="B520" s="64" t="inlineStr">
        <is>
          <t>P004318</t>
        </is>
      </c>
      <c r="C520" s="37" t="n">
        <v>4301031321</v>
      </c>
      <c r="D520" s="384" t="n">
        <v>4640242180076</v>
      </c>
      <c r="E520" s="767" t="n"/>
      <c r="F520" s="801" t="n">
        <v>0.7</v>
      </c>
      <c r="G520" s="38" t="n">
        <v>6</v>
      </c>
      <c r="H520" s="801" t="n">
        <v>4.2</v>
      </c>
      <c r="I520" s="801" t="n">
        <v>4.4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096" t="inlineStr">
        <is>
          <t>В/к колбасы «Сервелат Зернистый» Весовой фиброуз ТМ «Зареченские» HR</t>
        </is>
      </c>
      <c r="P520" s="803" t="n"/>
      <c r="Q520" s="803" t="n"/>
      <c r="R520" s="803" t="n"/>
      <c r="S520" s="767" t="n"/>
      <c r="T520" s="40" t="inlineStr"/>
      <c r="U520" s="40" t="inlineStr"/>
      <c r="V520" s="41" t="inlineStr">
        <is>
          <t>кг</t>
        </is>
      </c>
      <c r="W520" s="804" t="n">
        <v>0</v>
      </c>
      <c r="X520" s="805">
        <f>IFERROR(IF(W520="",0,CEILING((W520/$H520),1)*$H520),"")</f>
        <v/>
      </c>
      <c r="Y520" s="42">
        <f>IFERROR(IF(X520=0,"",ROUNDUP(X520/H520,0)*0.00753),"")</f>
        <v/>
      </c>
      <c r="Z520" s="69" t="inlineStr"/>
      <c r="AA520" s="70" t="inlineStr"/>
      <c r="AE520" s="80" t="n"/>
      <c r="BB520" s="368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 ht="27" customHeight="1">
      <c r="A521" s="64" t="inlineStr">
        <is>
          <t>SU002855</t>
        </is>
      </c>
      <c r="B521" s="64" t="inlineStr">
        <is>
          <t>P003261</t>
        </is>
      </c>
      <c r="C521" s="37" t="n">
        <v>4301031203</v>
      </c>
      <c r="D521" s="384" t="n">
        <v>4640242180908</v>
      </c>
      <c r="E521" s="767" t="n"/>
      <c r="F521" s="801" t="n">
        <v>0.28</v>
      </c>
      <c r="G521" s="38" t="n">
        <v>6</v>
      </c>
      <c r="H521" s="801" t="n">
        <v>1.68</v>
      </c>
      <c r="I521" s="801" t="n">
        <v>1.81</v>
      </c>
      <c r="J521" s="38" t="n">
        <v>234</v>
      </c>
      <c r="K521" s="38" t="inlineStr">
        <is>
          <t>18</t>
        </is>
      </c>
      <c r="L521" s="39" t="inlineStr">
        <is>
          <t>СК2</t>
        </is>
      </c>
      <c r="M521" s="39" t="n"/>
      <c r="N521" s="38" t="n">
        <v>40</v>
      </c>
      <c r="O521" s="1097" t="inlineStr">
        <is>
          <t>Копченые колбасы «Сервелат Пражский» срез Фикс.вес 0,28 фиброуз в/у ТМ «Зареченские»</t>
        </is>
      </c>
      <c r="P521" s="803" t="n"/>
      <c r="Q521" s="803" t="n"/>
      <c r="R521" s="803" t="n"/>
      <c r="S521" s="767" t="n"/>
      <c r="T521" s="40" t="inlineStr"/>
      <c r="U521" s="40" t="inlineStr"/>
      <c r="V521" s="41" t="inlineStr">
        <is>
          <t>кг</t>
        </is>
      </c>
      <c r="W521" s="804" t="n">
        <v>0</v>
      </c>
      <c r="X521" s="805">
        <f>IFERROR(IF(W521="",0,CEILING((W521/$H521),1)*$H521),"")</f>
        <v/>
      </c>
      <c r="Y521" s="42">
        <f>IFERROR(IF(X521=0,"",ROUNDUP(X521/H521,0)*0.00502),"")</f>
        <v/>
      </c>
      <c r="Z521" s="69" t="inlineStr"/>
      <c r="AA521" s="70" t="inlineStr"/>
      <c r="AE521" s="80" t="n"/>
      <c r="BB521" s="369" t="inlineStr">
        <is>
          <t>КИ</t>
        </is>
      </c>
      <c r="BL521" s="80">
        <f>IFERROR(W521*I521/H521,"0")</f>
        <v/>
      </c>
      <c r="BM521" s="80">
        <f>IFERROR(X521*I521/H521,"0")</f>
        <v/>
      </c>
      <c r="BN521" s="80">
        <f>IFERROR(1/J521*(W521/H521),"0")</f>
        <v/>
      </c>
      <c r="BO521" s="80">
        <f>IFERROR(1/J521*(X521/H521),"0")</f>
        <v/>
      </c>
    </row>
    <row r="522" ht="27" customHeight="1">
      <c r="A522" s="64" t="inlineStr">
        <is>
          <t>SU002856</t>
        </is>
      </c>
      <c r="B522" s="64" t="inlineStr">
        <is>
          <t>P003257</t>
        </is>
      </c>
      <c r="C522" s="37" t="n">
        <v>4301031200</v>
      </c>
      <c r="D522" s="384" t="n">
        <v>4640242180489</v>
      </c>
      <c r="E522" s="767" t="n"/>
      <c r="F522" s="801" t="n">
        <v>0.28</v>
      </c>
      <c r="G522" s="38" t="n">
        <v>6</v>
      </c>
      <c r="H522" s="801" t="n">
        <v>1.68</v>
      </c>
      <c r="I522" s="801" t="n">
        <v>1.84</v>
      </c>
      <c r="J522" s="38" t="n">
        <v>234</v>
      </c>
      <c r="K522" s="38" t="inlineStr">
        <is>
          <t>18</t>
        </is>
      </c>
      <c r="L522" s="39" t="inlineStr">
        <is>
          <t>СК2</t>
        </is>
      </c>
      <c r="M522" s="39" t="n"/>
      <c r="N522" s="38" t="n">
        <v>40</v>
      </c>
      <c r="O522" s="1098" t="inlineStr">
        <is>
          <t>В/к колбасы «Сервелат Рижский» срез Фикс.вес 0,28 Фиброуз в/у ТМ «Зареченские»</t>
        </is>
      </c>
      <c r="P522" s="803" t="n"/>
      <c r="Q522" s="803" t="n"/>
      <c r="R522" s="803" t="n"/>
      <c r="S522" s="767" t="n"/>
      <c r="T522" s="40" t="inlineStr"/>
      <c r="U522" s="40" t="inlineStr"/>
      <c r="V522" s="41" t="inlineStr">
        <is>
          <t>кг</t>
        </is>
      </c>
      <c r="W522" s="804" t="n">
        <v>0</v>
      </c>
      <c r="X522" s="805">
        <f>IFERROR(IF(W522="",0,CEILING((W522/$H522),1)*$H522),"")</f>
        <v/>
      </c>
      <c r="Y522" s="42">
        <f>IFERROR(IF(X522=0,"",ROUNDUP(X522/H522,0)*0.00502),"")</f>
        <v/>
      </c>
      <c r="Z522" s="69" t="inlineStr"/>
      <c r="AA522" s="70" t="inlineStr"/>
      <c r="AE522" s="80" t="n"/>
      <c r="BB522" s="370" t="inlineStr">
        <is>
          <t>КИ</t>
        </is>
      </c>
      <c r="BL522" s="80">
        <f>IFERROR(W522*I522/H522,"0")</f>
        <v/>
      </c>
      <c r="BM522" s="80">
        <f>IFERROR(X522*I522/H522,"0")</f>
        <v/>
      </c>
      <c r="BN522" s="80">
        <f>IFERROR(1/J522*(W522/H522),"0")</f>
        <v/>
      </c>
      <c r="BO522" s="80">
        <f>IFERROR(1/J522*(X522/H522),"0")</f>
        <v/>
      </c>
    </row>
    <row r="523">
      <c r="A523" s="393" t="n"/>
      <c r="B523" s="381" t="n"/>
      <c r="C523" s="381" t="n"/>
      <c r="D523" s="381" t="n"/>
      <c r="E523" s="381" t="n"/>
      <c r="F523" s="381" t="n"/>
      <c r="G523" s="381" t="n"/>
      <c r="H523" s="381" t="n"/>
      <c r="I523" s="381" t="n"/>
      <c r="J523" s="381" t="n"/>
      <c r="K523" s="381" t="n"/>
      <c r="L523" s="381" t="n"/>
      <c r="M523" s="381" t="n"/>
      <c r="N523" s="807" t="n"/>
      <c r="O523" s="808" t="inlineStr">
        <is>
          <t>Итого</t>
        </is>
      </c>
      <c r="P523" s="775" t="n"/>
      <c r="Q523" s="775" t="n"/>
      <c r="R523" s="775" t="n"/>
      <c r="S523" s="775" t="n"/>
      <c r="T523" s="775" t="n"/>
      <c r="U523" s="776" t="n"/>
      <c r="V523" s="43" t="inlineStr">
        <is>
          <t>кор</t>
        </is>
      </c>
      <c r="W523" s="809">
        <f>IFERROR(W517/H517,"0")+IFERROR(W518/H518,"0")+IFERROR(W519/H519,"0")+IFERROR(W520/H520,"0")+IFERROR(W521/H521,"0")+IFERROR(W522/H522,"0")</f>
        <v/>
      </c>
      <c r="X523" s="809">
        <f>IFERROR(X517/H517,"0")+IFERROR(X518/H518,"0")+IFERROR(X519/H519,"0")+IFERROR(X520/H520,"0")+IFERROR(X521/H521,"0")+IFERROR(X522/H522,"0")</f>
        <v/>
      </c>
      <c r="Y523" s="809">
        <f>IFERROR(IF(Y517="",0,Y517),"0")+IFERROR(IF(Y518="",0,Y518),"0")+IFERROR(IF(Y519="",0,Y519),"0")+IFERROR(IF(Y520="",0,Y520),"0")+IFERROR(IF(Y521="",0,Y521),"0")+IFERROR(IF(Y522="",0,Y522),"0")</f>
        <v/>
      </c>
      <c r="Z523" s="810" t="n"/>
      <c r="AA523" s="810" t="n"/>
    </row>
    <row r="524">
      <c r="A524" s="381" t="n"/>
      <c r="B524" s="381" t="n"/>
      <c r="C524" s="381" t="n"/>
      <c r="D524" s="381" t="n"/>
      <c r="E524" s="381" t="n"/>
      <c r="F524" s="381" t="n"/>
      <c r="G524" s="381" t="n"/>
      <c r="H524" s="381" t="n"/>
      <c r="I524" s="381" t="n"/>
      <c r="J524" s="381" t="n"/>
      <c r="K524" s="381" t="n"/>
      <c r="L524" s="381" t="n"/>
      <c r="M524" s="381" t="n"/>
      <c r="N524" s="807" t="n"/>
      <c r="O524" s="808" t="inlineStr">
        <is>
          <t>Итого</t>
        </is>
      </c>
      <c r="P524" s="775" t="n"/>
      <c r="Q524" s="775" t="n"/>
      <c r="R524" s="775" t="n"/>
      <c r="S524" s="775" t="n"/>
      <c r="T524" s="775" t="n"/>
      <c r="U524" s="776" t="n"/>
      <c r="V524" s="43" t="inlineStr">
        <is>
          <t>кг</t>
        </is>
      </c>
      <c r="W524" s="809">
        <f>IFERROR(SUM(W517:W522),"0")</f>
        <v/>
      </c>
      <c r="X524" s="809">
        <f>IFERROR(SUM(X517:X522),"0")</f>
        <v/>
      </c>
      <c r="Y524" s="43" t="n"/>
      <c r="Z524" s="810" t="n"/>
      <c r="AA524" s="810" t="n"/>
    </row>
    <row r="525" ht="14.25" customHeight="1">
      <c r="A525" s="399" t="inlineStr">
        <is>
          <t>Сосиски</t>
        </is>
      </c>
      <c r="B525" s="381" t="n"/>
      <c r="C525" s="381" t="n"/>
      <c r="D525" s="381" t="n"/>
      <c r="E525" s="381" t="n"/>
      <c r="F525" s="381" t="n"/>
      <c r="G525" s="381" t="n"/>
      <c r="H525" s="381" t="n"/>
      <c r="I525" s="381" t="n"/>
      <c r="J525" s="381" t="n"/>
      <c r="K525" s="381" t="n"/>
      <c r="L525" s="381" t="n"/>
      <c r="M525" s="381" t="n"/>
      <c r="N525" s="381" t="n"/>
      <c r="O525" s="381" t="n"/>
      <c r="P525" s="381" t="n"/>
      <c r="Q525" s="381" t="n"/>
      <c r="R525" s="381" t="n"/>
      <c r="S525" s="381" t="n"/>
      <c r="T525" s="381" t="n"/>
      <c r="U525" s="381" t="n"/>
      <c r="V525" s="381" t="n"/>
      <c r="W525" s="381" t="n"/>
      <c r="X525" s="381" t="n"/>
      <c r="Y525" s="381" t="n"/>
      <c r="Z525" s="399" t="n"/>
      <c r="AA525" s="399" t="n"/>
    </row>
    <row r="526" ht="27" customHeight="1">
      <c r="A526" s="64" t="inlineStr">
        <is>
          <t>SU002655</t>
        </is>
      </c>
      <c r="B526" s="64" t="inlineStr">
        <is>
          <t>P004115</t>
        </is>
      </c>
      <c r="C526" s="37" t="n">
        <v>4301051746</v>
      </c>
      <c r="D526" s="384" t="n">
        <v>4640242180533</v>
      </c>
      <c r="E526" s="767" t="n"/>
      <c r="F526" s="801" t="n">
        <v>1.3</v>
      </c>
      <c r="G526" s="38" t="n">
        <v>6</v>
      </c>
      <c r="H526" s="801" t="n">
        <v>7.8</v>
      </c>
      <c r="I526" s="801" t="n">
        <v>8.364000000000001</v>
      </c>
      <c r="J526" s="38" t="n">
        <v>56</v>
      </c>
      <c r="K526" s="38" t="inlineStr">
        <is>
          <t>8</t>
        </is>
      </c>
      <c r="L526" s="39" t="inlineStr">
        <is>
          <t>СК3</t>
        </is>
      </c>
      <c r="M526" s="39" t="n"/>
      <c r="N526" s="38" t="n">
        <v>40</v>
      </c>
      <c r="O526" s="1099" t="inlineStr">
        <is>
          <t>Сосиски Датские Зареченские продукты Весовые П/а мгс Зареченские</t>
        </is>
      </c>
      <c r="P526" s="803" t="n"/>
      <c r="Q526" s="803" t="n"/>
      <c r="R526" s="803" t="n"/>
      <c r="S526" s="767" t="n"/>
      <c r="T526" s="40" t="inlineStr"/>
      <c r="U526" s="40" t="inlineStr"/>
      <c r="V526" s="41" t="inlineStr">
        <is>
          <t>кг</t>
        </is>
      </c>
      <c r="W526" s="804" t="n">
        <v>650</v>
      </c>
      <c r="X526" s="805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1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SU002968</t>
        </is>
      </c>
      <c r="B527" s="64" t="inlineStr">
        <is>
          <t>P004321</t>
        </is>
      </c>
      <c r="C527" s="37" t="n">
        <v>4301051780</v>
      </c>
      <c r="D527" s="384" t="n">
        <v>4640242180106</v>
      </c>
      <c r="E527" s="767" t="n"/>
      <c r="F527" s="801" t="n">
        <v>1.3</v>
      </c>
      <c r="G527" s="38" t="n">
        <v>6</v>
      </c>
      <c r="H527" s="801" t="n">
        <v>7.8</v>
      </c>
      <c r="I527" s="801" t="n">
        <v>8.279999999999999</v>
      </c>
      <c r="J527" s="38" t="n">
        <v>56</v>
      </c>
      <c r="K527" s="38" t="inlineStr">
        <is>
          <t>8</t>
        </is>
      </c>
      <c r="L527" s="39" t="inlineStr">
        <is>
          <t>СК2</t>
        </is>
      </c>
      <c r="M527" s="39" t="n"/>
      <c r="N527" s="38" t="n">
        <v>45</v>
      </c>
      <c r="O527" s="1100" t="inlineStr">
        <is>
          <t>Сосиски «Молочные классические» Весовой п/а ТМ «Зареченские» HR</t>
        </is>
      </c>
      <c r="P527" s="803" t="n"/>
      <c r="Q527" s="803" t="n"/>
      <c r="R527" s="803" t="n"/>
      <c r="S527" s="767" t="n"/>
      <c r="T527" s="40" t="inlineStr"/>
      <c r="U527" s="40" t="inlineStr"/>
      <c r="V527" s="41" t="inlineStr">
        <is>
          <t>кг</t>
        </is>
      </c>
      <c r="W527" s="804" t="n">
        <v>0</v>
      </c>
      <c r="X527" s="805">
        <f>IFERROR(IF(W527="",0,CEILING((W527/$H527),1)*$H527),"")</f>
        <v/>
      </c>
      <c r="Y527" s="42">
        <f>IFERROR(IF(X527=0,"",ROUNDUP(X527/H527,0)*0.02175),"")</f>
        <v/>
      </c>
      <c r="Z527" s="69" t="inlineStr"/>
      <c r="AA527" s="70" t="inlineStr"/>
      <c r="AE527" s="80" t="n"/>
      <c r="BB527" s="372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 ht="27" customHeight="1">
      <c r="A528" s="64" t="inlineStr">
        <is>
          <t>SU002803</t>
        </is>
      </c>
      <c r="B528" s="64" t="inlineStr">
        <is>
          <t>P003590</t>
        </is>
      </c>
      <c r="C528" s="37" t="n">
        <v>4301051510</v>
      </c>
      <c r="D528" s="384" t="n">
        <v>4640242180540</v>
      </c>
      <c r="E528" s="767" t="n"/>
      <c r="F528" s="801" t="n">
        <v>1.3</v>
      </c>
      <c r="G528" s="38" t="n">
        <v>6</v>
      </c>
      <c r="H528" s="801" t="n">
        <v>7.8</v>
      </c>
      <c r="I528" s="80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СК2</t>
        </is>
      </c>
      <c r="M528" s="39" t="n"/>
      <c r="N528" s="38" t="n">
        <v>30</v>
      </c>
      <c r="O528" s="1101" t="inlineStr">
        <is>
          <t>Сосиски «Сочные» Весовой п/а ТМ «Зареченские»</t>
        </is>
      </c>
      <c r="P528" s="803" t="n"/>
      <c r="Q528" s="803" t="n"/>
      <c r="R528" s="803" t="n"/>
      <c r="S528" s="767" t="n"/>
      <c r="T528" s="40" t="inlineStr"/>
      <c r="U528" s="40" t="inlineStr"/>
      <c r="V528" s="41" t="inlineStr">
        <is>
          <t>кг</t>
        </is>
      </c>
      <c r="W528" s="804" t="n">
        <v>0</v>
      </c>
      <c r="X528" s="805">
        <f>IFERROR(IF(W528="",0,CEILING((W528/$H528),1)*$H528),"")</f>
        <v/>
      </c>
      <c r="Y528" s="42">
        <f>IFERROR(IF(X528=0,"",ROUNDUP(X528/H528,0)*0.02175),"")</f>
        <v/>
      </c>
      <c r="Z528" s="69" t="inlineStr"/>
      <c r="AA528" s="70" t="inlineStr"/>
      <c r="AE528" s="80" t="n"/>
      <c r="BB528" s="373" t="inlineStr">
        <is>
          <t>КИ</t>
        </is>
      </c>
      <c r="BL528" s="80">
        <f>IFERROR(W528*I528/H528,"0")</f>
        <v/>
      </c>
      <c r="BM528" s="80">
        <f>IFERROR(X528*I528/H528,"0")</f>
        <v/>
      </c>
      <c r="BN528" s="80">
        <f>IFERROR(1/J528*(W528/H528),"0")</f>
        <v/>
      </c>
      <c r="BO528" s="80">
        <f>IFERROR(1/J528*(X528/H528),"0")</f>
        <v/>
      </c>
    </row>
    <row r="529" ht="27" customHeight="1">
      <c r="A529" s="64" t="inlineStr">
        <is>
          <t>SU002812</t>
        </is>
      </c>
      <c r="B529" s="64" t="inlineStr">
        <is>
          <t>P003218</t>
        </is>
      </c>
      <c r="C529" s="37" t="n">
        <v>4301051390</v>
      </c>
      <c r="D529" s="384" t="n">
        <v>4640242181233</v>
      </c>
      <c r="E529" s="767" t="n"/>
      <c r="F529" s="801" t="n">
        <v>0.3</v>
      </c>
      <c r="G529" s="38" t="n">
        <v>6</v>
      </c>
      <c r="H529" s="801" t="n">
        <v>1.8</v>
      </c>
      <c r="I529" s="801" t="n">
        <v>1.984</v>
      </c>
      <c r="J529" s="38" t="n">
        <v>234</v>
      </c>
      <c r="K529" s="38" t="inlineStr">
        <is>
          <t>18</t>
        </is>
      </c>
      <c r="L529" s="39" t="inlineStr">
        <is>
          <t>СК2</t>
        </is>
      </c>
      <c r="M529" s="39" t="n"/>
      <c r="N529" s="38" t="n">
        <v>40</v>
      </c>
      <c r="O529" s="1102" t="inlineStr">
        <is>
          <t>Сосиски «Датские» Фикс.вес 0,3 П/а мгс ТМ «Зареченские»</t>
        </is>
      </c>
      <c r="P529" s="803" t="n"/>
      <c r="Q529" s="803" t="n"/>
      <c r="R529" s="803" t="n"/>
      <c r="S529" s="767" t="n"/>
      <c r="T529" s="40" t="inlineStr"/>
      <c r="U529" s="40" t="inlineStr"/>
      <c r="V529" s="41" t="inlineStr">
        <is>
          <t>кг</t>
        </is>
      </c>
      <c r="W529" s="804" t="n">
        <v>0</v>
      </c>
      <c r="X529" s="805">
        <f>IFERROR(IF(W529="",0,CEILING((W529/$H529),1)*$H529),"")</f>
        <v/>
      </c>
      <c r="Y529" s="42">
        <f>IFERROR(IF(X529=0,"",ROUNDUP(X529/H529,0)*0.00502),"")</f>
        <v/>
      </c>
      <c r="Z529" s="69" t="inlineStr"/>
      <c r="AA529" s="70" t="inlineStr"/>
      <c r="AE529" s="80" t="n"/>
      <c r="BB529" s="374" t="inlineStr">
        <is>
          <t>КИ</t>
        </is>
      </c>
      <c r="BL529" s="80">
        <f>IFERROR(W529*I529/H529,"0")</f>
        <v/>
      </c>
      <c r="BM529" s="80">
        <f>IFERROR(X529*I529/H529,"0")</f>
        <v/>
      </c>
      <c r="BN529" s="80">
        <f>IFERROR(1/J529*(W529/H529),"0")</f>
        <v/>
      </c>
      <c r="BO529" s="80">
        <f>IFERROR(1/J529*(X529/H529),"0")</f>
        <v/>
      </c>
    </row>
    <row r="530" ht="27" customHeight="1">
      <c r="A530" s="64" t="inlineStr">
        <is>
          <t>SU002922</t>
        </is>
      </c>
      <c r="B530" s="64" t="inlineStr">
        <is>
          <t>P003358</t>
        </is>
      </c>
      <c r="C530" s="37" t="n">
        <v>4301051448</v>
      </c>
      <c r="D530" s="384" t="n">
        <v>4640242181226</v>
      </c>
      <c r="E530" s="767" t="n"/>
      <c r="F530" s="801" t="n">
        <v>0.3</v>
      </c>
      <c r="G530" s="38" t="n">
        <v>6</v>
      </c>
      <c r="H530" s="801" t="n">
        <v>1.8</v>
      </c>
      <c r="I530" s="801" t="n">
        <v>1.972</v>
      </c>
      <c r="J530" s="38" t="n">
        <v>234</v>
      </c>
      <c r="K530" s="38" t="inlineStr">
        <is>
          <t>18</t>
        </is>
      </c>
      <c r="L530" s="39" t="inlineStr">
        <is>
          <t>СК2</t>
        </is>
      </c>
      <c r="M530" s="39" t="n"/>
      <c r="N530" s="38" t="n">
        <v>30</v>
      </c>
      <c r="O530" s="1103" t="inlineStr">
        <is>
          <t>Сосиски «Сочные» Фикс.Вес 0,3 п/а ТМ «Зареченские»</t>
        </is>
      </c>
      <c r="P530" s="803" t="n"/>
      <c r="Q530" s="803" t="n"/>
      <c r="R530" s="803" t="n"/>
      <c r="S530" s="767" t="n"/>
      <c r="T530" s="40" t="inlineStr"/>
      <c r="U530" s="40" t="inlineStr"/>
      <c r="V530" s="41" t="inlineStr">
        <is>
          <t>кг</t>
        </is>
      </c>
      <c r="W530" s="804" t="n">
        <v>0</v>
      </c>
      <c r="X530" s="805">
        <f>IFERROR(IF(W530="",0,CEILING((W530/$H530),1)*$H530),"")</f>
        <v/>
      </c>
      <c r="Y530" s="42">
        <f>IFERROR(IF(X530=0,"",ROUNDUP(X530/H530,0)*0.00502),"")</f>
        <v/>
      </c>
      <c r="Z530" s="69" t="inlineStr"/>
      <c r="AA530" s="70" t="inlineStr"/>
      <c r="AE530" s="80" t="n"/>
      <c r="BB530" s="375" t="inlineStr">
        <is>
          <t>КИ</t>
        </is>
      </c>
      <c r="BL530" s="80">
        <f>IFERROR(W530*I530/H530,"0")</f>
        <v/>
      </c>
      <c r="BM530" s="80">
        <f>IFERROR(X530*I530/H530,"0")</f>
        <v/>
      </c>
      <c r="BN530" s="80">
        <f>IFERROR(1/J530*(W530/H530),"0")</f>
        <v/>
      </c>
      <c r="BO530" s="80">
        <f>IFERROR(1/J530*(X530/H530),"0")</f>
        <v/>
      </c>
    </row>
    <row r="531">
      <c r="A531" s="393" t="n"/>
      <c r="B531" s="381" t="n"/>
      <c r="C531" s="381" t="n"/>
      <c r="D531" s="381" t="n"/>
      <c r="E531" s="381" t="n"/>
      <c r="F531" s="381" t="n"/>
      <c r="G531" s="381" t="n"/>
      <c r="H531" s="381" t="n"/>
      <c r="I531" s="381" t="n"/>
      <c r="J531" s="381" t="n"/>
      <c r="K531" s="381" t="n"/>
      <c r="L531" s="381" t="n"/>
      <c r="M531" s="381" t="n"/>
      <c r="N531" s="807" t="n"/>
      <c r="O531" s="808" t="inlineStr">
        <is>
          <t>Итого</t>
        </is>
      </c>
      <c r="P531" s="775" t="n"/>
      <c r="Q531" s="775" t="n"/>
      <c r="R531" s="775" t="n"/>
      <c r="S531" s="775" t="n"/>
      <c r="T531" s="775" t="n"/>
      <c r="U531" s="776" t="n"/>
      <c r="V531" s="43" t="inlineStr">
        <is>
          <t>кор</t>
        </is>
      </c>
      <c r="W531" s="809">
        <f>IFERROR(W526/H526,"0")+IFERROR(W527/H527,"0")+IFERROR(W528/H528,"0")+IFERROR(W529/H529,"0")+IFERROR(W530/H530,"0")</f>
        <v/>
      </c>
      <c r="X531" s="809">
        <f>IFERROR(X526/H526,"0")+IFERROR(X527/H527,"0")+IFERROR(X528/H528,"0")+IFERROR(X529/H529,"0")+IFERROR(X530/H530,"0")</f>
        <v/>
      </c>
      <c r="Y531" s="809">
        <f>IFERROR(IF(Y526="",0,Y526),"0")+IFERROR(IF(Y527="",0,Y527),"0")+IFERROR(IF(Y528="",0,Y528),"0")+IFERROR(IF(Y529="",0,Y529),"0")+IFERROR(IF(Y530="",0,Y530),"0")</f>
        <v/>
      </c>
      <c r="Z531" s="810" t="n"/>
      <c r="AA531" s="810" t="n"/>
    </row>
    <row r="532">
      <c r="A532" s="381" t="n"/>
      <c r="B532" s="381" t="n"/>
      <c r="C532" s="381" t="n"/>
      <c r="D532" s="381" t="n"/>
      <c r="E532" s="381" t="n"/>
      <c r="F532" s="381" t="n"/>
      <c r="G532" s="381" t="n"/>
      <c r="H532" s="381" t="n"/>
      <c r="I532" s="381" t="n"/>
      <c r="J532" s="381" t="n"/>
      <c r="K532" s="381" t="n"/>
      <c r="L532" s="381" t="n"/>
      <c r="M532" s="381" t="n"/>
      <c r="N532" s="807" t="n"/>
      <c r="O532" s="808" t="inlineStr">
        <is>
          <t>Итого</t>
        </is>
      </c>
      <c r="P532" s="775" t="n"/>
      <c r="Q532" s="775" t="n"/>
      <c r="R532" s="775" t="n"/>
      <c r="S532" s="775" t="n"/>
      <c r="T532" s="775" t="n"/>
      <c r="U532" s="776" t="n"/>
      <c r="V532" s="43" t="inlineStr">
        <is>
          <t>кг</t>
        </is>
      </c>
      <c r="W532" s="809">
        <f>IFERROR(SUM(W526:W530),"0")</f>
        <v/>
      </c>
      <c r="X532" s="809">
        <f>IFERROR(SUM(X526:X530),"0")</f>
        <v/>
      </c>
      <c r="Y532" s="43" t="n"/>
      <c r="Z532" s="810" t="n"/>
      <c r="AA532" s="810" t="n"/>
    </row>
    <row r="533" ht="14.25" customHeight="1">
      <c r="A533" s="399" t="inlineStr">
        <is>
          <t>Сардельки</t>
        </is>
      </c>
      <c r="B533" s="381" t="n"/>
      <c r="C533" s="381" t="n"/>
      <c r="D533" s="381" t="n"/>
      <c r="E533" s="381" t="n"/>
      <c r="F533" s="381" t="n"/>
      <c r="G533" s="381" t="n"/>
      <c r="H533" s="381" t="n"/>
      <c r="I533" s="381" t="n"/>
      <c r="J533" s="381" t="n"/>
      <c r="K533" s="381" t="n"/>
      <c r="L533" s="381" t="n"/>
      <c r="M533" s="381" t="n"/>
      <c r="N533" s="381" t="n"/>
      <c r="O533" s="381" t="n"/>
      <c r="P533" s="381" t="n"/>
      <c r="Q533" s="381" t="n"/>
      <c r="R533" s="381" t="n"/>
      <c r="S533" s="381" t="n"/>
      <c r="T533" s="381" t="n"/>
      <c r="U533" s="381" t="n"/>
      <c r="V533" s="381" t="n"/>
      <c r="W533" s="381" t="n"/>
      <c r="X533" s="381" t="n"/>
      <c r="Y533" s="381" t="n"/>
      <c r="Z533" s="399" t="n"/>
      <c r="AA533" s="399" t="n"/>
    </row>
    <row r="534" ht="27" customHeight="1">
      <c r="A534" s="64" t="inlineStr">
        <is>
          <t>SU002970</t>
        </is>
      </c>
      <c r="B534" s="64" t="inlineStr">
        <is>
          <t>P004319</t>
        </is>
      </c>
      <c r="C534" s="37" t="n">
        <v>4301060408</v>
      </c>
      <c r="D534" s="384" t="n">
        <v>4640242180120</v>
      </c>
      <c r="E534" s="767" t="n"/>
      <c r="F534" s="801" t="n">
        <v>1.3</v>
      </c>
      <c r="G534" s="38" t="n">
        <v>6</v>
      </c>
      <c r="H534" s="801" t="n">
        <v>7.8</v>
      </c>
      <c r="I534" s="801" t="n">
        <v>8.279999999999999</v>
      </c>
      <c r="J534" s="38" t="n">
        <v>56</v>
      </c>
      <c r="K534" s="38" t="inlineStr">
        <is>
          <t>8</t>
        </is>
      </c>
      <c r="L534" s="39" t="inlineStr">
        <is>
          <t>СК2</t>
        </is>
      </c>
      <c r="M534" s="39" t="n"/>
      <c r="N534" s="38" t="n">
        <v>40</v>
      </c>
      <c r="O534" s="1104" t="inlineStr">
        <is>
          <t>Сардельки «Зареченские» Весовой NDX ТМ «Зареченские» HR</t>
        </is>
      </c>
      <c r="P534" s="803" t="n"/>
      <c r="Q534" s="803" t="n"/>
      <c r="R534" s="803" t="n"/>
      <c r="S534" s="767" t="n"/>
      <c r="T534" s="40" t="inlineStr"/>
      <c r="U534" s="40" t="inlineStr"/>
      <c r="V534" s="41" t="inlineStr">
        <is>
          <t>кг</t>
        </is>
      </c>
      <c r="W534" s="804" t="n">
        <v>0</v>
      </c>
      <c r="X534" s="805">
        <f>IFERROR(IF(W534="",0,CEILING((W534/$H534),1)*$H534),"")</f>
        <v/>
      </c>
      <c r="Y534" s="42">
        <f>IFERROR(IF(X534=0,"",ROUNDUP(X534/H534,0)*0.02175),"")</f>
        <v/>
      </c>
      <c r="Z534" s="69" t="inlineStr"/>
      <c r="AA534" s="70" t="inlineStr"/>
      <c r="AE534" s="80" t="n"/>
      <c r="BB534" s="376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SU002970</t>
        </is>
      </c>
      <c r="B535" s="64" t="inlineStr">
        <is>
          <t>P003422</t>
        </is>
      </c>
      <c r="C535" s="37" t="n">
        <v>4301060354</v>
      </c>
      <c r="D535" s="384" t="n">
        <v>4640242180120</v>
      </c>
      <c r="E535" s="767" t="n"/>
      <c r="F535" s="801" t="n">
        <v>1.3</v>
      </c>
      <c r="G535" s="38" t="n">
        <v>6</v>
      </c>
      <c r="H535" s="801" t="n">
        <v>7.8</v>
      </c>
      <c r="I535" s="801" t="n">
        <v>8.279999999999999</v>
      </c>
      <c r="J535" s="38" t="n">
        <v>56</v>
      </c>
      <c r="K535" s="38" t="inlineStr">
        <is>
          <t>8</t>
        </is>
      </c>
      <c r="L535" s="39" t="inlineStr">
        <is>
          <t>СК2</t>
        </is>
      </c>
      <c r="M535" s="39" t="n"/>
      <c r="N535" s="38" t="n">
        <v>40</v>
      </c>
      <c r="O535" s="1105" t="inlineStr">
        <is>
          <t>Сардельки Зареченские Весовой NDX ТМ Зареченские</t>
        </is>
      </c>
      <c r="P535" s="803" t="n"/>
      <c r="Q535" s="803" t="n"/>
      <c r="R535" s="803" t="n"/>
      <c r="S535" s="767" t="n"/>
      <c r="T535" s="40" t="inlineStr"/>
      <c r="U535" s="40" t="inlineStr"/>
      <c r="V535" s="41" t="inlineStr">
        <is>
          <t>кг</t>
        </is>
      </c>
      <c r="W535" s="804" t="n">
        <v>0</v>
      </c>
      <c r="X535" s="805">
        <f>IFERROR(IF(W535="",0,CEILING((W535/$H535),1)*$H535),"")</f>
        <v/>
      </c>
      <c r="Y535" s="42">
        <f>IFERROR(IF(X535=0,"",ROUNDUP(X535/H535,0)*0.02175),"")</f>
        <v/>
      </c>
      <c r="Z535" s="69" t="inlineStr"/>
      <c r="AA535" s="70" t="inlineStr"/>
      <c r="AE535" s="80" t="n"/>
      <c r="BB535" s="377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 ht="27" customHeight="1">
      <c r="A536" s="64" t="inlineStr">
        <is>
          <t>SU002971</t>
        </is>
      </c>
      <c r="B536" s="64" t="inlineStr">
        <is>
          <t>P004320</t>
        </is>
      </c>
      <c r="C536" s="37" t="n">
        <v>4301060407</v>
      </c>
      <c r="D536" s="384" t="n">
        <v>4640242180137</v>
      </c>
      <c r="E536" s="767" t="n"/>
      <c r="F536" s="801" t="n">
        <v>1.3</v>
      </c>
      <c r="G536" s="38" t="n">
        <v>6</v>
      </c>
      <c r="H536" s="801" t="n">
        <v>7.8</v>
      </c>
      <c r="I536" s="80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06" t="inlineStr">
        <is>
          <t>Сардельки «Шпикачки Зареченские» Весовой NDX ТМ «Зареченские» HR</t>
        </is>
      </c>
      <c r="P536" s="803" t="n"/>
      <c r="Q536" s="803" t="n"/>
      <c r="R536" s="803" t="n"/>
      <c r="S536" s="767" t="n"/>
      <c r="T536" s="40" t="inlineStr"/>
      <c r="U536" s="40" t="inlineStr"/>
      <c r="V536" s="41" t="inlineStr">
        <is>
          <t>кг</t>
        </is>
      </c>
      <c r="W536" s="804" t="n">
        <v>0</v>
      </c>
      <c r="X536" s="805">
        <f>IFERROR(IF(W536="",0,CEILING((W536/$H536),1)*$H536),"")</f>
        <v/>
      </c>
      <c r="Y536" s="42">
        <f>IFERROR(IF(X536=0,"",ROUNDUP(X536/H536,0)*0.02175),"")</f>
        <v/>
      </c>
      <c r="Z536" s="69" t="inlineStr"/>
      <c r="AA536" s="70" t="inlineStr"/>
      <c r="AE536" s="80" t="n"/>
      <c r="BB536" s="378" t="inlineStr">
        <is>
          <t>КИ</t>
        </is>
      </c>
      <c r="BL536" s="80">
        <f>IFERROR(W536*I536/H536,"0")</f>
        <v/>
      </c>
      <c r="BM536" s="80">
        <f>IFERROR(X536*I536/H536,"0")</f>
        <v/>
      </c>
      <c r="BN536" s="80">
        <f>IFERROR(1/J536*(W536/H536),"0")</f>
        <v/>
      </c>
      <c r="BO536" s="80">
        <f>IFERROR(1/J536*(X536/H536),"0")</f>
        <v/>
      </c>
    </row>
    <row r="537" ht="27" customHeight="1">
      <c r="A537" s="64" t="inlineStr">
        <is>
          <t>SU002971</t>
        </is>
      </c>
      <c r="B537" s="64" t="inlineStr">
        <is>
          <t>P003425</t>
        </is>
      </c>
      <c r="C537" s="37" t="n">
        <v>4301060355</v>
      </c>
      <c r="D537" s="384" t="n">
        <v>4640242180137</v>
      </c>
      <c r="E537" s="767" t="n"/>
      <c r="F537" s="801" t="n">
        <v>1.3</v>
      </c>
      <c r="G537" s="38" t="n">
        <v>6</v>
      </c>
      <c r="H537" s="801" t="n">
        <v>7.8</v>
      </c>
      <c r="I537" s="80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07" t="inlineStr">
        <is>
          <t>Сардельки Шпикачки Зареченские Весовой NDX ТМ Зареченские</t>
        </is>
      </c>
      <c r="P537" s="803" t="n"/>
      <c r="Q537" s="803" t="n"/>
      <c r="R537" s="803" t="n"/>
      <c r="S537" s="767" t="n"/>
      <c r="T537" s="40" t="inlineStr"/>
      <c r="U537" s="40" t="inlineStr"/>
      <c r="V537" s="41" t="inlineStr">
        <is>
          <t>кг</t>
        </is>
      </c>
      <c r="W537" s="804" t="n">
        <v>0</v>
      </c>
      <c r="X537" s="805">
        <f>IFERROR(IF(W537="",0,CEILING((W537/$H537),1)*$H537),"")</f>
        <v/>
      </c>
      <c r="Y537" s="42">
        <f>IFERROR(IF(X537=0,"",ROUNDUP(X537/H537,0)*0.02175),"")</f>
        <v/>
      </c>
      <c r="Z537" s="69" t="inlineStr"/>
      <c r="AA537" s="70" t="inlineStr"/>
      <c r="AE537" s="80" t="n"/>
      <c r="BB537" s="379" t="inlineStr">
        <is>
          <t>КИ</t>
        </is>
      </c>
      <c r="BL537" s="80">
        <f>IFERROR(W537*I537/H537,"0")</f>
        <v/>
      </c>
      <c r="BM537" s="80">
        <f>IFERROR(X537*I537/H537,"0")</f>
        <v/>
      </c>
      <c r="BN537" s="80">
        <f>IFERROR(1/J537*(W537/H537),"0")</f>
        <v/>
      </c>
      <c r="BO537" s="80">
        <f>IFERROR(1/J537*(X537/H537),"0")</f>
        <v/>
      </c>
    </row>
    <row r="538">
      <c r="A538" s="393" t="n"/>
      <c r="B538" s="381" t="n"/>
      <c r="C538" s="381" t="n"/>
      <c r="D538" s="381" t="n"/>
      <c r="E538" s="381" t="n"/>
      <c r="F538" s="381" t="n"/>
      <c r="G538" s="381" t="n"/>
      <c r="H538" s="381" t="n"/>
      <c r="I538" s="381" t="n"/>
      <c r="J538" s="381" t="n"/>
      <c r="K538" s="381" t="n"/>
      <c r="L538" s="381" t="n"/>
      <c r="M538" s="381" t="n"/>
      <c r="N538" s="807" t="n"/>
      <c r="O538" s="808" t="inlineStr">
        <is>
          <t>Итого</t>
        </is>
      </c>
      <c r="P538" s="775" t="n"/>
      <c r="Q538" s="775" t="n"/>
      <c r="R538" s="775" t="n"/>
      <c r="S538" s="775" t="n"/>
      <c r="T538" s="775" t="n"/>
      <c r="U538" s="776" t="n"/>
      <c r="V538" s="43" t="inlineStr">
        <is>
          <t>кор</t>
        </is>
      </c>
      <c r="W538" s="809">
        <f>IFERROR(W534/H534,"0")+IFERROR(W535/H535,"0")+IFERROR(W536/H536,"0")+IFERROR(W537/H537,"0")</f>
        <v/>
      </c>
      <c r="X538" s="809">
        <f>IFERROR(X534/H534,"0")+IFERROR(X535/H535,"0")+IFERROR(X536/H536,"0")+IFERROR(X537/H537,"0")</f>
        <v/>
      </c>
      <c r="Y538" s="809">
        <f>IFERROR(IF(Y534="",0,Y534),"0")+IFERROR(IF(Y535="",0,Y535),"0")+IFERROR(IF(Y536="",0,Y536),"0")+IFERROR(IF(Y537="",0,Y537),"0")</f>
        <v/>
      </c>
      <c r="Z538" s="810" t="n"/>
      <c r="AA538" s="810" t="n"/>
    </row>
    <row r="539">
      <c r="A539" s="381" t="n"/>
      <c r="B539" s="381" t="n"/>
      <c r="C539" s="381" t="n"/>
      <c r="D539" s="381" t="n"/>
      <c r="E539" s="381" t="n"/>
      <c r="F539" s="381" t="n"/>
      <c r="G539" s="381" t="n"/>
      <c r="H539" s="381" t="n"/>
      <c r="I539" s="381" t="n"/>
      <c r="J539" s="381" t="n"/>
      <c r="K539" s="381" t="n"/>
      <c r="L539" s="381" t="n"/>
      <c r="M539" s="381" t="n"/>
      <c r="N539" s="807" t="n"/>
      <c r="O539" s="808" t="inlineStr">
        <is>
          <t>Итого</t>
        </is>
      </c>
      <c r="P539" s="775" t="n"/>
      <c r="Q539" s="775" t="n"/>
      <c r="R539" s="775" t="n"/>
      <c r="S539" s="775" t="n"/>
      <c r="T539" s="775" t="n"/>
      <c r="U539" s="776" t="n"/>
      <c r="V539" s="43" t="inlineStr">
        <is>
          <t>кг</t>
        </is>
      </c>
      <c r="W539" s="809">
        <f>IFERROR(SUM(W534:W537),"0")</f>
        <v/>
      </c>
      <c r="X539" s="809">
        <f>IFERROR(SUM(X534:X537),"0")</f>
        <v/>
      </c>
      <c r="Y539" s="43" t="n"/>
      <c r="Z539" s="810" t="n"/>
      <c r="AA539" s="810" t="n"/>
    </row>
    <row r="540" ht="15" customHeight="1">
      <c r="A540" s="397" t="n"/>
      <c r="B540" s="381" t="n"/>
      <c r="C540" s="381" t="n"/>
      <c r="D540" s="381" t="n"/>
      <c r="E540" s="381" t="n"/>
      <c r="F540" s="381" t="n"/>
      <c r="G540" s="381" t="n"/>
      <c r="H540" s="381" t="n"/>
      <c r="I540" s="381" t="n"/>
      <c r="J540" s="381" t="n"/>
      <c r="K540" s="381" t="n"/>
      <c r="L540" s="381" t="n"/>
      <c r="M540" s="381" t="n"/>
      <c r="N540" s="764" t="n"/>
      <c r="O540" s="1108" t="inlineStr">
        <is>
          <t>ИТОГО НЕТТО</t>
        </is>
      </c>
      <c r="P540" s="758" t="n"/>
      <c r="Q540" s="758" t="n"/>
      <c r="R540" s="758" t="n"/>
      <c r="S540" s="758" t="n"/>
      <c r="T540" s="758" t="n"/>
      <c r="U540" s="759" t="n"/>
      <c r="V540" s="43" t="inlineStr">
        <is>
          <t>кг</t>
        </is>
      </c>
      <c r="W540" s="809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/>
      </c>
      <c r="X540" s="809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/>
      </c>
      <c r="Y540" s="43" t="n"/>
      <c r="Z540" s="810" t="n"/>
      <c r="AA540" s="810" t="n"/>
    </row>
    <row r="541">
      <c r="A541" s="381" t="n"/>
      <c r="B541" s="381" t="n"/>
      <c r="C541" s="381" t="n"/>
      <c r="D541" s="381" t="n"/>
      <c r="E541" s="381" t="n"/>
      <c r="F541" s="381" t="n"/>
      <c r="G541" s="381" t="n"/>
      <c r="H541" s="381" t="n"/>
      <c r="I541" s="381" t="n"/>
      <c r="J541" s="381" t="n"/>
      <c r="K541" s="381" t="n"/>
      <c r="L541" s="381" t="n"/>
      <c r="M541" s="381" t="n"/>
      <c r="N541" s="764" t="n"/>
      <c r="O541" s="1108" t="inlineStr">
        <is>
          <t>ИТОГО БРУТТО</t>
        </is>
      </c>
      <c r="P541" s="758" t="n"/>
      <c r="Q541" s="758" t="n"/>
      <c r="R541" s="758" t="n"/>
      <c r="S541" s="758" t="n"/>
      <c r="T541" s="758" t="n"/>
      <c r="U541" s="759" t="n"/>
      <c r="V541" s="43" t="inlineStr">
        <is>
          <t>кг</t>
        </is>
      </c>
      <c r="W541" s="809">
        <f>IFERROR(SUM(BL22:BL537),"0")</f>
        <v/>
      </c>
      <c r="X541" s="809">
        <f>IFERROR(SUM(BM22:BM537),"0")</f>
        <v/>
      </c>
      <c r="Y541" s="43" t="n"/>
      <c r="Z541" s="810" t="n"/>
      <c r="AA541" s="810" t="n"/>
    </row>
    <row r="542">
      <c r="A542" s="381" t="n"/>
      <c r="B542" s="381" t="n"/>
      <c r="C542" s="381" t="n"/>
      <c r="D542" s="381" t="n"/>
      <c r="E542" s="381" t="n"/>
      <c r="F542" s="381" t="n"/>
      <c r="G542" s="381" t="n"/>
      <c r="H542" s="381" t="n"/>
      <c r="I542" s="381" t="n"/>
      <c r="J542" s="381" t="n"/>
      <c r="K542" s="381" t="n"/>
      <c r="L542" s="381" t="n"/>
      <c r="M542" s="381" t="n"/>
      <c r="N542" s="764" t="n"/>
      <c r="O542" s="1108" t="inlineStr">
        <is>
          <t>Кол-во паллет</t>
        </is>
      </c>
      <c r="P542" s="758" t="n"/>
      <c r="Q542" s="758" t="n"/>
      <c r="R542" s="758" t="n"/>
      <c r="S542" s="758" t="n"/>
      <c r="T542" s="758" t="n"/>
      <c r="U542" s="759" t="n"/>
      <c r="V542" s="43" t="inlineStr">
        <is>
          <t>шт</t>
        </is>
      </c>
      <c r="W542" s="45">
        <f>ROUNDUP(SUM(BN22:BN537),0)</f>
        <v/>
      </c>
      <c r="X542" s="45">
        <f>ROUNDUP(SUM(BO22:BO537),0)</f>
        <v/>
      </c>
      <c r="Y542" s="43" t="n"/>
      <c r="Z542" s="810" t="n"/>
      <c r="AA542" s="810" t="n"/>
    </row>
    <row r="543">
      <c r="A543" s="381" t="n"/>
      <c r="B543" s="381" t="n"/>
      <c r="C543" s="381" t="n"/>
      <c r="D543" s="381" t="n"/>
      <c r="E543" s="381" t="n"/>
      <c r="F543" s="381" t="n"/>
      <c r="G543" s="381" t="n"/>
      <c r="H543" s="381" t="n"/>
      <c r="I543" s="381" t="n"/>
      <c r="J543" s="381" t="n"/>
      <c r="K543" s="381" t="n"/>
      <c r="L543" s="381" t="n"/>
      <c r="M543" s="381" t="n"/>
      <c r="N543" s="764" t="n"/>
      <c r="O543" s="1108" t="inlineStr">
        <is>
          <t>Вес брутто  с паллетами</t>
        </is>
      </c>
      <c r="P543" s="758" t="n"/>
      <c r="Q543" s="758" t="n"/>
      <c r="R543" s="758" t="n"/>
      <c r="S543" s="758" t="n"/>
      <c r="T543" s="758" t="n"/>
      <c r="U543" s="759" t="n"/>
      <c r="V543" s="43" t="inlineStr">
        <is>
          <t>кг</t>
        </is>
      </c>
      <c r="W543" s="809">
        <f>GrossWeightTotal+PalletQtyTotal*25</f>
        <v/>
      </c>
      <c r="X543" s="809">
        <f>GrossWeightTotalR+PalletQtyTotalR*25</f>
        <v/>
      </c>
      <c r="Y543" s="43" t="n"/>
      <c r="Z543" s="810" t="n"/>
      <c r="AA543" s="810" t="n"/>
    </row>
    <row r="544">
      <c r="A544" s="381" t="n"/>
      <c r="B544" s="381" t="n"/>
      <c r="C544" s="381" t="n"/>
      <c r="D544" s="381" t="n"/>
      <c r="E544" s="381" t="n"/>
      <c r="F544" s="381" t="n"/>
      <c r="G544" s="381" t="n"/>
      <c r="H544" s="381" t="n"/>
      <c r="I544" s="381" t="n"/>
      <c r="J544" s="381" t="n"/>
      <c r="K544" s="381" t="n"/>
      <c r="L544" s="381" t="n"/>
      <c r="M544" s="381" t="n"/>
      <c r="N544" s="764" t="n"/>
      <c r="O544" s="1108" t="inlineStr">
        <is>
          <t>Кол-во коробок</t>
        </is>
      </c>
      <c r="P544" s="758" t="n"/>
      <c r="Q544" s="758" t="n"/>
      <c r="R544" s="758" t="n"/>
      <c r="S544" s="758" t="n"/>
      <c r="T544" s="758" t="n"/>
      <c r="U544" s="759" t="n"/>
      <c r="V544" s="43" t="inlineStr">
        <is>
          <t>шт</t>
        </is>
      </c>
      <c r="W544" s="809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/>
      </c>
      <c r="X544" s="809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/>
      </c>
      <c r="Y544" s="43" t="n"/>
      <c r="Z544" s="810" t="n"/>
      <c r="AA544" s="810" t="n"/>
    </row>
    <row r="545" ht="14.25" customHeight="1">
      <c r="A545" s="381" t="n"/>
      <c r="B545" s="381" t="n"/>
      <c r="C545" s="381" t="n"/>
      <c r="D545" s="381" t="n"/>
      <c r="E545" s="381" t="n"/>
      <c r="F545" s="381" t="n"/>
      <c r="G545" s="381" t="n"/>
      <c r="H545" s="381" t="n"/>
      <c r="I545" s="381" t="n"/>
      <c r="J545" s="381" t="n"/>
      <c r="K545" s="381" t="n"/>
      <c r="L545" s="381" t="n"/>
      <c r="M545" s="381" t="n"/>
      <c r="N545" s="764" t="n"/>
      <c r="O545" s="1108" t="inlineStr">
        <is>
          <t>Объем заказа</t>
        </is>
      </c>
      <c r="P545" s="758" t="n"/>
      <c r="Q545" s="758" t="n"/>
      <c r="R545" s="758" t="n"/>
      <c r="S545" s="758" t="n"/>
      <c r="T545" s="758" t="n"/>
      <c r="U545" s="759" t="n"/>
      <c r="V545" s="46" t="inlineStr">
        <is>
          <t>м3</t>
        </is>
      </c>
      <c r="W545" s="43" t="n"/>
      <c r="X545" s="43" t="n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/>
      </c>
      <c r="Z545" s="810" t="n"/>
      <c r="AA545" s="810" t="n"/>
    </row>
    <row r="546" ht="13.5" customHeight="1" thickBot="1"/>
    <row r="547" ht="27" customHeight="1" thickBot="1" thickTop="1">
      <c r="A547" s="47" t="inlineStr">
        <is>
          <t>ТОРГОВАЯ МАРКА</t>
        </is>
      </c>
      <c r="B547" s="380" t="inlineStr">
        <is>
          <t>Ядрена копоть</t>
        </is>
      </c>
      <c r="C547" s="380" t="inlineStr">
        <is>
          <t>Вязанка</t>
        </is>
      </c>
      <c r="D547" s="1109" t="n"/>
      <c r="E547" s="1109" t="n"/>
      <c r="F547" s="1110" t="n"/>
      <c r="G547" s="380" t="inlineStr">
        <is>
          <t>Стародворье</t>
        </is>
      </c>
      <c r="H547" s="1109" t="n"/>
      <c r="I547" s="1109" t="n"/>
      <c r="J547" s="1109" t="n"/>
      <c r="K547" s="1109" t="n"/>
      <c r="L547" s="1109" t="n"/>
      <c r="M547" s="1109" t="n"/>
      <c r="N547" s="1109" t="n"/>
      <c r="O547" s="1109" t="n"/>
      <c r="P547" s="1110" t="n"/>
      <c r="Q547" s="380" t="inlineStr">
        <is>
          <t>Особый рецепт</t>
        </is>
      </c>
      <c r="R547" s="1110" t="n"/>
      <c r="S547" s="380" t="inlineStr">
        <is>
          <t>Баварушка</t>
        </is>
      </c>
      <c r="T547" s="1109" t="n"/>
      <c r="U547" s="1110" t="n"/>
      <c r="V547" s="380" t="inlineStr">
        <is>
          <t>Дугушка</t>
        </is>
      </c>
      <c r="W547" s="380" t="inlineStr">
        <is>
          <t>Зареченские</t>
        </is>
      </c>
      <c r="AA547" s="61" t="n"/>
      <c r="AD547" s="381" t="n"/>
    </row>
    <row r="548" ht="14.25" customHeight="1" thickTop="1">
      <c r="A548" s="382" t="inlineStr">
        <is>
          <t>СЕРИЯ</t>
        </is>
      </c>
      <c r="B548" s="380" t="inlineStr">
        <is>
          <t>Ядрена копоть</t>
        </is>
      </c>
      <c r="C548" s="380" t="inlineStr">
        <is>
          <t>Столичная</t>
        </is>
      </c>
      <c r="D548" s="380" t="inlineStr">
        <is>
          <t>Классическая</t>
        </is>
      </c>
      <c r="E548" s="380" t="inlineStr">
        <is>
          <t>Вязанка</t>
        </is>
      </c>
      <c r="F548" s="380" t="inlineStr">
        <is>
          <t>Сливушки</t>
        </is>
      </c>
      <c r="G548" s="380" t="inlineStr">
        <is>
          <t>Золоченная в печи</t>
        </is>
      </c>
      <c r="H548" s="380" t="inlineStr">
        <is>
          <t>Мясорубская</t>
        </is>
      </c>
      <c r="I548" s="380" t="inlineStr">
        <is>
          <t>Сочинка</t>
        </is>
      </c>
      <c r="J548" s="380" t="inlineStr">
        <is>
          <t>Филедворская</t>
        </is>
      </c>
      <c r="K548" s="381" t="n"/>
      <c r="L548" s="380" t="inlineStr">
        <is>
          <t>Бордо</t>
        </is>
      </c>
      <c r="M548" s="381" t="n"/>
      <c r="N548" s="380" t="inlineStr">
        <is>
          <t>Бордо</t>
        </is>
      </c>
      <c r="O548" s="380" t="inlineStr">
        <is>
          <t>Фирменная</t>
        </is>
      </c>
      <c r="P548" s="380" t="inlineStr">
        <is>
          <t>Бавария</t>
        </is>
      </c>
      <c r="Q548" s="380" t="inlineStr">
        <is>
          <t>Особая</t>
        </is>
      </c>
      <c r="R548" s="380" t="inlineStr">
        <is>
          <t>Особая Без свинины</t>
        </is>
      </c>
      <c r="S548" s="380" t="inlineStr">
        <is>
          <t>Филейбургская</t>
        </is>
      </c>
      <c r="T548" s="380" t="inlineStr">
        <is>
          <t>Балыкбургская</t>
        </is>
      </c>
      <c r="U548" s="380" t="inlineStr">
        <is>
          <t>Краковюрст</t>
        </is>
      </c>
      <c r="V548" s="380" t="inlineStr">
        <is>
          <t>Дугушка</t>
        </is>
      </c>
      <c r="W548" s="380" t="inlineStr">
        <is>
          <t>Зареченские продукты</t>
        </is>
      </c>
      <c r="AA548" s="61" t="n"/>
      <c r="AD548" s="381" t="n"/>
    </row>
    <row r="549" ht="13.5" customHeight="1" thickBot="1">
      <c r="A549" s="1111" t="n"/>
      <c r="B549" s="1112" t="n"/>
      <c r="C549" s="1112" t="n"/>
      <c r="D549" s="1112" t="n"/>
      <c r="E549" s="1112" t="n"/>
      <c r="F549" s="1112" t="n"/>
      <c r="G549" s="1112" t="n"/>
      <c r="H549" s="1112" t="n"/>
      <c r="I549" s="1112" t="n"/>
      <c r="J549" s="1112" t="n"/>
      <c r="K549" s="381" t="n"/>
      <c r="L549" s="1112" t="n"/>
      <c r="M549" s="381" t="n"/>
      <c r="N549" s="1112" t="n"/>
      <c r="O549" s="1112" t="n"/>
      <c r="P549" s="1112" t="n"/>
      <c r="Q549" s="1112" t="n"/>
      <c r="R549" s="1112" t="n"/>
      <c r="S549" s="1112" t="n"/>
      <c r="T549" s="1112" t="n"/>
      <c r="U549" s="1112" t="n"/>
      <c r="V549" s="1112" t="n"/>
      <c r="W549" s="1112" t="n"/>
      <c r="AA549" s="61" t="n"/>
      <c r="AD549" s="381" t="n"/>
    </row>
    <row r="550" ht="18" customHeight="1" thickBot="1" thickTop="1">
      <c r="A550" s="47" t="inlineStr">
        <is>
          <t>ИТОГО, кг</t>
        </is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50" s="53">
        <f>IFERROR(X51*1,"0")+IFERROR(X52*1,"0")</f>
        <v/>
      </c>
      <c r="D550" s="53">
        <f>IFERROR(X57*1,"0")+IFERROR(X58*1,"0")+IFERROR(X59*1,"0")+IFERROR(X60*1,"0")</f>
        <v/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/>
      </c>
      <c r="F550" s="53">
        <f>IFERROR(X134*1,"0")+IFERROR(X135*1,"0")+IFERROR(X136*1,"0")+IFERROR(X137*1,"0")+IFERROR(X138*1,"0")</f>
        <v/>
      </c>
      <c r="G550" s="53">
        <f>IFERROR(X144*1,"0")+IFERROR(X145*1,"0")+IFERROR(X146*1,"0")</f>
        <v/>
      </c>
      <c r="H550" s="53">
        <f>IFERROR(X151*1,"0")+IFERROR(X152*1,"0")+IFERROR(X153*1,"0")+IFERROR(X154*1,"0")+IFERROR(X155*1,"0")+IFERROR(X156*1,"0")+IFERROR(X157*1,"0")+IFERROR(X158*1,"0")+IFERROR(X159*1,"0")</f>
        <v/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/>
      </c>
      <c r="J550" s="53">
        <f>IFERROR(X209*1,"0")+IFERROR(X210*1,"0")+IFERROR(X211*1,"0")+IFERROR(X212*1,"0")+IFERROR(X213*1,"0")+IFERROR(X214*1,"0")+IFERROR(X218*1,"0")+IFERROR(X219*1,"0")</f>
        <v/>
      </c>
      <c r="K550" s="381" t="n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M550" s="381" t="n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O550" s="53">
        <f>IFERROR(X293*1,"0")+IFERROR(X294*1,"0")+IFERROR(X295*1,"0")+IFERROR(X296*1,"0")+IFERROR(X297*1,"0")+IFERROR(X298*1,"0")+IFERROR(X299*1,"0")+IFERROR(X303*1,"0")+IFERROR(X304*1,"0")</f>
        <v/>
      </c>
      <c r="P550" s="53">
        <f>IFERROR(X309*1,"0")+IFERROR(X313*1,"0")+IFERROR(X314*1,"0")+IFERROR(X315*1,"0")+IFERROR(X319*1,"0")+IFERROR(X323*1,"0")</f>
        <v/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/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/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/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/>
      </c>
      <c r="U550" s="53">
        <f>IFERROR(X451*1,"0")+IFERROR(X452*1,"0")+IFERROR(X453*1,"0")</f>
        <v/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/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/>
      </c>
      <c r="AA550" s="61" t="n"/>
      <c r="AD550" s="381" t="n"/>
    </row>
    <row r="55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keX4LHla0CwsEtH8DgKWA==" formatRows="1" sort="0" spinCount="100000" hashValue="OL5vkEAk+oHsBNCc5LuFSSz+WHlIeUz+ecEpIpVax02mmq6L9JFauXuEEG5+lF8pZYqfACwH36G4FkK3JUxdc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W17:W18"/>
    <mergeCell ref="O80:S80"/>
    <mergeCell ref="O384:S384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O437:S437"/>
    <mergeCell ref="A150:Y150"/>
    <mergeCell ref="O468:S468"/>
    <mergeCell ref="O145:S145"/>
    <mergeCell ref="A120:N12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8:L8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58:S358"/>
    <mergeCell ref="O371:S371"/>
    <mergeCell ref="D511:E511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31:E31"/>
    <mergeCell ref="D158:E158"/>
    <mergeCell ref="O176:S176"/>
    <mergeCell ref="D229:E229"/>
    <mergeCell ref="D400:E400"/>
    <mergeCell ref="D329:E32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D72:E72"/>
    <mergeCell ref="A458:Y458"/>
    <mergeCell ref="O192:S192"/>
    <mergeCell ref="D235:E235"/>
    <mergeCell ref="O428:S428"/>
    <mergeCell ref="O15:S16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24:N25"/>
    <mergeCell ref="A408:N409"/>
    <mergeCell ref="D453:E453"/>
    <mergeCell ref="A6:C6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5:C5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464:E464"/>
    <mergeCell ref="A17:A18"/>
    <mergeCell ref="K17:K18"/>
    <mergeCell ref="C17:C18"/>
    <mergeCell ref="O325:U325"/>
    <mergeCell ref="D37:E37"/>
    <mergeCell ref="D401:E401"/>
    <mergeCell ref="A168:Y168"/>
    <mergeCell ref="D466:E466"/>
    <mergeCell ref="D9:E9"/>
    <mergeCell ref="D118:E118"/>
    <mergeCell ref="F9:G9"/>
    <mergeCell ref="O354:U354"/>
    <mergeCell ref="O419:U419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21:Y21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213:S213"/>
    <mergeCell ref="O188:S188"/>
    <mergeCell ref="O126:S126"/>
    <mergeCell ref="O182:S182"/>
    <mergeCell ref="D157:E157"/>
    <mergeCell ref="A350:N351"/>
    <mergeCell ref="P12:Q12"/>
    <mergeCell ref="A410:Y410"/>
    <mergeCell ref="O169:S169"/>
    <mergeCell ref="O240:S240"/>
    <mergeCell ref="O411:S411"/>
    <mergeCell ref="D251:E251"/>
    <mergeCell ref="O119:S119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D59:E59"/>
    <mergeCell ref="A198:N199"/>
    <mergeCell ref="D295:E295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P10:Q10"/>
    <mergeCell ref="O33:S33"/>
    <mergeCell ref="O204:S204"/>
    <mergeCell ref="A375:N376"/>
    <mergeCell ref="O439:U439"/>
    <mergeCell ref="O269:S269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O59:S59"/>
    <mergeCell ref="A230:N231"/>
    <mergeCell ref="O295:S295"/>
    <mergeCell ref="O215:U215"/>
    <mergeCell ref="O89:S89"/>
    <mergeCell ref="O282:S282"/>
    <mergeCell ref="A498:Y498"/>
    <mergeCell ref="O257:S257"/>
    <mergeCell ref="A61:N62"/>
    <mergeCell ref="O359:S359"/>
    <mergeCell ref="O153:S153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A531:N532"/>
    <mergeCell ref="O350:U350"/>
    <mergeCell ref="D128:E128"/>
    <mergeCell ref="O508:U50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O535:S535"/>
    <mergeCell ref="A382:Y382"/>
    <mergeCell ref="D194:E1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D506:E506"/>
    <mergeCell ref="A507:N508"/>
    <mergeCell ref="O67:S67"/>
    <mergeCell ref="D481:E481"/>
    <mergeCell ref="D85:E85"/>
    <mergeCell ref="D256:E256"/>
    <mergeCell ref="O159:S159"/>
    <mergeCell ref="O303:S303"/>
    <mergeCell ref="D299:E299"/>
    <mergeCell ref="O395:S395"/>
    <mergeCell ref="A95:Y95"/>
    <mergeCell ref="O96:S96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O53:U53"/>
    <mergeCell ref="A93:N94"/>
    <mergeCell ref="D461:E461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358:E358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D33:E33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D526:E526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A312:Y312"/>
    <mergeCell ref="O313:S313"/>
    <mergeCell ref="O107:S107"/>
    <mergeCell ref="A404:Y404"/>
    <mergeCell ref="O405:S405"/>
    <mergeCell ref="O465:S465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A13:L13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P5:Q5"/>
    <mergeCell ref="J9:L9"/>
    <mergeCell ref="D483:E483"/>
    <mergeCell ref="O311:U311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O315:S315"/>
    <mergeCell ref="D395:E395"/>
    <mergeCell ref="A64:Y64"/>
    <mergeCell ref="A10:C10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O259:U259"/>
    <mergeCell ref="O60:S60"/>
    <mergeCell ref="O324:U324"/>
    <mergeCell ref="O495:U495"/>
    <mergeCell ref="D17:E18"/>
    <mergeCell ref="D344:E344"/>
    <mergeCell ref="V17:V18"/>
    <mergeCell ref="A447:N448"/>
    <mergeCell ref="X17:X18"/>
    <mergeCell ref="D123:E123"/>
    <mergeCell ref="O139:U139"/>
    <mergeCell ref="D110:E110"/>
    <mergeCell ref="O504:S504"/>
    <mergeCell ref="O424:U424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a9pU9MWqsB0p1BxnxJ6/Q==" formatRows="1" sort="0" spinCount="100000" hashValue="Y6R7DvqngMaHEexfshKZWRgve1YGC/JqMvyMmnSEnWK7AmV69yOq533rVuIjGszYOQ+3s1EnTodUou3Pn8/gj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2024-05-16T09:43:26Z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