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12,12,23 Сочи ЗПФ\"/>
    </mc:Choice>
  </mc:AlternateContent>
  <xr:revisionPtr revIDLastSave="0" documentId="13_ncr:1_{AE8BE5C0-6D86-4050-939E-2AC44660EB64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</externalReferences>
  <definedNames>
    <definedName name="_xlnm._FilterDatabase" localSheetId="0" hidden="1">TDSheet!$A$3:$Z$63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Z10" i="1" l="1"/>
  <c r="Z35" i="1"/>
  <c r="Z42" i="1"/>
  <c r="Z59" i="1"/>
  <c r="Z61" i="1"/>
  <c r="Z62" i="1"/>
  <c r="Z63" i="1"/>
  <c r="Z6" i="1"/>
  <c r="W61" i="1" l="1"/>
  <c r="W62" i="1"/>
  <c r="W63" i="1"/>
  <c r="F22" i="1"/>
  <c r="F21" i="1"/>
  <c r="F40" i="1"/>
  <c r="F39" i="1"/>
  <c r="W35" i="1"/>
  <c r="N13" i="1"/>
  <c r="Y13" i="1" s="1"/>
  <c r="Z13" i="1" s="1"/>
  <c r="N14" i="1"/>
  <c r="N15" i="1"/>
  <c r="Y15" i="1" s="1"/>
  <c r="Z15" i="1" s="1"/>
  <c r="N16" i="1"/>
  <c r="N17" i="1"/>
  <c r="N20" i="1"/>
  <c r="N25" i="1"/>
  <c r="N26" i="1"/>
  <c r="N30" i="1"/>
  <c r="N34" i="1"/>
  <c r="N38" i="1"/>
  <c r="N39" i="1"/>
  <c r="N43" i="1"/>
  <c r="N44" i="1"/>
  <c r="N47" i="1"/>
  <c r="N48" i="1"/>
  <c r="N49" i="1"/>
  <c r="N50" i="1"/>
  <c r="N55" i="1"/>
  <c r="Y55" i="1" s="1"/>
  <c r="Z55" i="1" s="1"/>
  <c r="N56" i="1"/>
  <c r="N58" i="1"/>
  <c r="N59" i="1"/>
  <c r="N60" i="1"/>
  <c r="W56" i="1" l="1"/>
  <c r="Y56" i="1"/>
  <c r="Z56" i="1" s="1"/>
  <c r="W26" i="1"/>
  <c r="Y26" i="1"/>
  <c r="Z26" i="1" s="1"/>
  <c r="W20" i="1"/>
  <c r="Y20" i="1"/>
  <c r="Z20" i="1" s="1"/>
  <c r="W16" i="1"/>
  <c r="Y16" i="1"/>
  <c r="Z16" i="1" s="1"/>
  <c r="W55" i="1"/>
  <c r="W49" i="1"/>
  <c r="W17" i="1"/>
  <c r="W15" i="1"/>
  <c r="W13" i="1"/>
  <c r="W59" i="1"/>
  <c r="I13" i="1"/>
  <c r="I16" i="1"/>
  <c r="I17" i="1"/>
  <c r="I30" i="1"/>
  <c r="I43" i="1"/>
  <c r="I49" i="1"/>
  <c r="I57" i="1"/>
  <c r="I58" i="1"/>
  <c r="L7" i="1"/>
  <c r="R7" i="1" s="1"/>
  <c r="L8" i="1"/>
  <c r="M8" i="1" s="1"/>
  <c r="L9" i="1"/>
  <c r="R9" i="1" s="1"/>
  <c r="L10" i="1"/>
  <c r="M10" i="1" s="1"/>
  <c r="N10" i="1" s="1"/>
  <c r="L11" i="1"/>
  <c r="L12" i="1"/>
  <c r="M12" i="1" s="1"/>
  <c r="L13" i="1"/>
  <c r="R13" i="1" s="1"/>
  <c r="L14" i="1"/>
  <c r="L15" i="1"/>
  <c r="R15" i="1" s="1"/>
  <c r="L16" i="1"/>
  <c r="L17" i="1"/>
  <c r="R17" i="1" s="1"/>
  <c r="L18" i="1"/>
  <c r="R18" i="1" s="1"/>
  <c r="L19" i="1"/>
  <c r="R19" i="1" s="1"/>
  <c r="L20" i="1"/>
  <c r="L21" i="1"/>
  <c r="L22" i="1"/>
  <c r="R22" i="1" s="1"/>
  <c r="L23" i="1"/>
  <c r="R23" i="1" s="1"/>
  <c r="L24" i="1"/>
  <c r="L25" i="1"/>
  <c r="R25" i="1" s="1"/>
  <c r="L26" i="1"/>
  <c r="L27" i="1"/>
  <c r="L28" i="1"/>
  <c r="L29" i="1"/>
  <c r="R29" i="1" s="1"/>
  <c r="L30" i="1"/>
  <c r="L31" i="1"/>
  <c r="L33" i="1"/>
  <c r="L34" i="1"/>
  <c r="R34" i="1" s="1"/>
  <c r="L35" i="1"/>
  <c r="L36" i="1"/>
  <c r="L38" i="1"/>
  <c r="L39" i="1"/>
  <c r="R39" i="1" s="1"/>
  <c r="L40" i="1"/>
  <c r="L41" i="1"/>
  <c r="R41" i="1" s="1"/>
  <c r="L42" i="1"/>
  <c r="L43" i="1"/>
  <c r="R43" i="1" s="1"/>
  <c r="L44" i="1"/>
  <c r="L45" i="1"/>
  <c r="R45" i="1" s="1"/>
  <c r="L46" i="1"/>
  <c r="R46" i="1" s="1"/>
  <c r="L47" i="1"/>
  <c r="R47" i="1" s="1"/>
  <c r="L48" i="1"/>
  <c r="L49" i="1"/>
  <c r="R49" i="1" s="1"/>
  <c r="L50" i="1"/>
  <c r="L51" i="1"/>
  <c r="R51" i="1" s="1"/>
  <c r="L52" i="1"/>
  <c r="R52" i="1" s="1"/>
  <c r="L53" i="1"/>
  <c r="R53" i="1" s="1"/>
  <c r="L54" i="1"/>
  <c r="R54" i="1" s="1"/>
  <c r="L55" i="1"/>
  <c r="R55" i="1" s="1"/>
  <c r="L56" i="1"/>
  <c r="L57" i="1"/>
  <c r="R57" i="1" s="1"/>
  <c r="L58" i="1"/>
  <c r="L59" i="1"/>
  <c r="R59" i="1" s="1"/>
  <c r="L60" i="1"/>
  <c r="L6" i="1"/>
  <c r="M6" i="1" s="1"/>
  <c r="E37" i="1"/>
  <c r="L37" i="1" s="1"/>
  <c r="E32" i="1"/>
  <c r="H7" i="1"/>
  <c r="I7" i="1" s="1"/>
  <c r="H8" i="1"/>
  <c r="I8" i="1" s="1"/>
  <c r="H9" i="1"/>
  <c r="I9" i="1" s="1"/>
  <c r="H10" i="1"/>
  <c r="I10" i="1" s="1"/>
  <c r="H11" i="1"/>
  <c r="I11" i="1" s="1"/>
  <c r="H12" i="1"/>
  <c r="I12" i="1" s="1"/>
  <c r="H14" i="1"/>
  <c r="I14" i="1" s="1"/>
  <c r="H15" i="1"/>
  <c r="I15" i="1" s="1"/>
  <c r="H18" i="1"/>
  <c r="I18" i="1" s="1"/>
  <c r="H19" i="1"/>
  <c r="I19" i="1" s="1"/>
  <c r="H20" i="1"/>
  <c r="I20" i="1" s="1"/>
  <c r="H21" i="1"/>
  <c r="I21" i="1" s="1"/>
  <c r="H22" i="1"/>
  <c r="I22" i="1" s="1"/>
  <c r="H23" i="1"/>
  <c r="I23" i="1" s="1"/>
  <c r="H24" i="1"/>
  <c r="I24" i="1" s="1"/>
  <c r="H25" i="1"/>
  <c r="I25" i="1" s="1"/>
  <c r="H26" i="1"/>
  <c r="I26" i="1" s="1"/>
  <c r="H27" i="1"/>
  <c r="I27" i="1" s="1"/>
  <c r="H28" i="1"/>
  <c r="I28" i="1" s="1"/>
  <c r="H29" i="1"/>
  <c r="I29" i="1" s="1"/>
  <c r="H31" i="1"/>
  <c r="I31" i="1" s="1"/>
  <c r="H32" i="1"/>
  <c r="H33" i="1"/>
  <c r="I33" i="1" s="1"/>
  <c r="H34" i="1"/>
  <c r="I34" i="1" s="1"/>
  <c r="H35" i="1"/>
  <c r="I35" i="1" s="1"/>
  <c r="H36" i="1"/>
  <c r="I36" i="1" s="1"/>
  <c r="H37" i="1"/>
  <c r="H38" i="1"/>
  <c r="I38" i="1" s="1"/>
  <c r="H39" i="1"/>
  <c r="I39" i="1" s="1"/>
  <c r="H40" i="1"/>
  <c r="I40" i="1" s="1"/>
  <c r="H41" i="1"/>
  <c r="I41" i="1" s="1"/>
  <c r="H42" i="1"/>
  <c r="I42" i="1" s="1"/>
  <c r="H44" i="1"/>
  <c r="I44" i="1" s="1"/>
  <c r="H45" i="1"/>
  <c r="I45" i="1" s="1"/>
  <c r="H46" i="1"/>
  <c r="I46" i="1" s="1"/>
  <c r="H47" i="1"/>
  <c r="I47" i="1" s="1"/>
  <c r="H48" i="1"/>
  <c r="I48" i="1" s="1"/>
  <c r="H50" i="1"/>
  <c r="I50" i="1" s="1"/>
  <c r="H51" i="1"/>
  <c r="I51" i="1" s="1"/>
  <c r="H52" i="1"/>
  <c r="I52" i="1" s="1"/>
  <c r="H53" i="1"/>
  <c r="I53" i="1" s="1"/>
  <c r="H54" i="1"/>
  <c r="I54" i="1" s="1"/>
  <c r="H55" i="1"/>
  <c r="I55" i="1" s="1"/>
  <c r="H56" i="1"/>
  <c r="I56" i="1" s="1"/>
  <c r="H59" i="1"/>
  <c r="I59" i="1" s="1"/>
  <c r="H60" i="1"/>
  <c r="I60" i="1" s="1"/>
  <c r="H6" i="1"/>
  <c r="I6" i="1" s="1"/>
  <c r="Q6" i="1" l="1"/>
  <c r="W6" i="1"/>
  <c r="R36" i="1"/>
  <c r="Q36" i="1"/>
  <c r="R31" i="1"/>
  <c r="Q31" i="1"/>
  <c r="R27" i="1"/>
  <c r="Q27" i="1"/>
  <c r="R21" i="1"/>
  <c r="Q21" i="1"/>
  <c r="Q39" i="1"/>
  <c r="Q47" i="1"/>
  <c r="Q49" i="1"/>
  <c r="Q51" i="1"/>
  <c r="Q55" i="1"/>
  <c r="R60" i="1"/>
  <c r="Q60" i="1"/>
  <c r="R58" i="1"/>
  <c r="Q58" i="1"/>
  <c r="R56" i="1"/>
  <c r="Q56" i="1"/>
  <c r="R50" i="1"/>
  <c r="Q50" i="1"/>
  <c r="R48" i="1"/>
  <c r="Q48" i="1"/>
  <c r="R44" i="1"/>
  <c r="Q44" i="1"/>
  <c r="R40" i="1"/>
  <c r="Q40" i="1"/>
  <c r="R38" i="1"/>
  <c r="Q38" i="1"/>
  <c r="R35" i="1"/>
  <c r="Q35" i="1"/>
  <c r="R33" i="1"/>
  <c r="Q33" i="1"/>
  <c r="R30" i="1"/>
  <c r="Q30" i="1"/>
  <c r="R28" i="1"/>
  <c r="Q28" i="1"/>
  <c r="R26" i="1"/>
  <c r="Q26" i="1"/>
  <c r="R24" i="1"/>
  <c r="Q24" i="1"/>
  <c r="R20" i="1"/>
  <c r="Q20" i="1"/>
  <c r="R16" i="1"/>
  <c r="Q16" i="1"/>
  <c r="R14" i="1"/>
  <c r="Q14" i="1"/>
  <c r="Q12" i="1"/>
  <c r="W10" i="1"/>
  <c r="Q10" i="1"/>
  <c r="Q8" i="1"/>
  <c r="Q34" i="1"/>
  <c r="Q43" i="1"/>
  <c r="Q13" i="1"/>
  <c r="Q15" i="1"/>
  <c r="Q17" i="1"/>
  <c r="Q25" i="1"/>
  <c r="Q29" i="1"/>
  <c r="Q59" i="1"/>
  <c r="M52" i="1"/>
  <c r="M45" i="1"/>
  <c r="N45" i="1" s="1"/>
  <c r="M23" i="1"/>
  <c r="N23" i="1" s="1"/>
  <c r="R6" i="1"/>
  <c r="M54" i="1"/>
  <c r="M19" i="1"/>
  <c r="M35" i="1"/>
  <c r="I32" i="1"/>
  <c r="L32" i="1"/>
  <c r="M7" i="1"/>
  <c r="N7" i="1" s="1"/>
  <c r="M9" i="1"/>
  <c r="M18" i="1"/>
  <c r="N18" i="1" s="1"/>
  <c r="M22" i="1"/>
  <c r="M24" i="1"/>
  <c r="M31" i="1"/>
  <c r="M33" i="1"/>
  <c r="M36" i="1"/>
  <c r="M41" i="1"/>
  <c r="M46" i="1"/>
  <c r="N46" i="1" s="1"/>
  <c r="M53" i="1"/>
  <c r="M57" i="1"/>
  <c r="N57" i="1" s="1"/>
  <c r="R12" i="1"/>
  <c r="R10" i="1"/>
  <c r="R8" i="1"/>
  <c r="I37" i="1"/>
  <c r="F37" i="1"/>
  <c r="F32" i="1"/>
  <c r="Q32" i="1" s="1"/>
  <c r="F11" i="1"/>
  <c r="M11" i="1" s="1"/>
  <c r="N11" i="1" s="1"/>
  <c r="F42" i="1"/>
  <c r="M42" i="1" s="1"/>
  <c r="Q57" i="1" l="1"/>
  <c r="Q9" i="1"/>
  <c r="Q11" i="1"/>
  <c r="M37" i="1"/>
  <c r="Q37" i="1"/>
  <c r="Q53" i="1"/>
  <c r="Q41" i="1"/>
  <c r="Q18" i="1"/>
  <c r="Q7" i="1"/>
  <c r="Q19" i="1"/>
  <c r="Q45" i="1"/>
  <c r="W42" i="1"/>
  <c r="Q42" i="1"/>
  <c r="Q46" i="1"/>
  <c r="Q22" i="1"/>
  <c r="Q54" i="1"/>
  <c r="Q23" i="1"/>
  <c r="Q52" i="1"/>
  <c r="N5" i="1"/>
  <c r="M32" i="1"/>
  <c r="R42" i="1"/>
  <c r="R32" i="1"/>
  <c r="R11" i="1"/>
  <c r="R37" i="1"/>
  <c r="X7" i="1"/>
  <c r="X8" i="1"/>
  <c r="X9" i="1"/>
  <c r="X11" i="1"/>
  <c r="X12" i="1"/>
  <c r="X14" i="1"/>
  <c r="Y14" i="1" s="1"/>
  <c r="X17" i="1"/>
  <c r="Y17" i="1" s="1"/>
  <c r="Z17" i="1" s="1"/>
  <c r="X18" i="1"/>
  <c r="X19" i="1"/>
  <c r="X21" i="1"/>
  <c r="X22" i="1"/>
  <c r="X23" i="1"/>
  <c r="X24" i="1"/>
  <c r="X25" i="1"/>
  <c r="Y25" i="1" s="1"/>
  <c r="X27" i="1"/>
  <c r="X28" i="1"/>
  <c r="Y28" i="1" s="1"/>
  <c r="X29" i="1"/>
  <c r="Y29" i="1" s="1"/>
  <c r="X30" i="1"/>
  <c r="Y30" i="1" s="1"/>
  <c r="X31" i="1"/>
  <c r="X32" i="1"/>
  <c r="X33" i="1"/>
  <c r="X34" i="1"/>
  <c r="Y34" i="1" s="1"/>
  <c r="X36" i="1"/>
  <c r="X37" i="1"/>
  <c r="X38" i="1"/>
  <c r="Y38" i="1" s="1"/>
  <c r="X39" i="1"/>
  <c r="Y39" i="1" s="1"/>
  <c r="X40" i="1"/>
  <c r="X41" i="1"/>
  <c r="X43" i="1"/>
  <c r="X44" i="1"/>
  <c r="Y44" i="1" s="1"/>
  <c r="X45" i="1"/>
  <c r="X46" i="1"/>
  <c r="X47" i="1"/>
  <c r="Y47" i="1" s="1"/>
  <c r="X48" i="1"/>
  <c r="Y48" i="1" s="1"/>
  <c r="X49" i="1"/>
  <c r="Y49" i="1" s="1"/>
  <c r="Z49" i="1" s="1"/>
  <c r="X50" i="1"/>
  <c r="Y50" i="1" s="1"/>
  <c r="X51" i="1"/>
  <c r="X52" i="1"/>
  <c r="X53" i="1"/>
  <c r="X54" i="1"/>
  <c r="X57" i="1"/>
  <c r="X58" i="1"/>
  <c r="X60" i="1"/>
  <c r="S7" i="1"/>
  <c r="T7" i="1"/>
  <c r="U7" i="1"/>
  <c r="S8" i="1"/>
  <c r="T8" i="1"/>
  <c r="U8" i="1"/>
  <c r="S9" i="1"/>
  <c r="T9" i="1"/>
  <c r="U9" i="1"/>
  <c r="S11" i="1"/>
  <c r="T11" i="1"/>
  <c r="U11" i="1"/>
  <c r="S12" i="1"/>
  <c r="T12" i="1"/>
  <c r="U12" i="1"/>
  <c r="S14" i="1"/>
  <c r="T14" i="1"/>
  <c r="U14" i="1"/>
  <c r="S17" i="1"/>
  <c r="T17" i="1"/>
  <c r="U17" i="1"/>
  <c r="S18" i="1"/>
  <c r="T18" i="1"/>
  <c r="U18" i="1"/>
  <c r="S19" i="1"/>
  <c r="T19" i="1"/>
  <c r="U19" i="1"/>
  <c r="S21" i="1"/>
  <c r="T21" i="1"/>
  <c r="U21" i="1"/>
  <c r="S22" i="1"/>
  <c r="T22" i="1"/>
  <c r="U22" i="1"/>
  <c r="S23" i="1"/>
  <c r="T23" i="1"/>
  <c r="U23" i="1"/>
  <c r="S24" i="1"/>
  <c r="T24" i="1"/>
  <c r="U24" i="1"/>
  <c r="S25" i="1"/>
  <c r="T25" i="1"/>
  <c r="U25" i="1"/>
  <c r="S27" i="1"/>
  <c r="T27" i="1"/>
  <c r="U27" i="1"/>
  <c r="S28" i="1"/>
  <c r="T28" i="1"/>
  <c r="U28" i="1"/>
  <c r="S29" i="1"/>
  <c r="T29" i="1"/>
  <c r="U29" i="1"/>
  <c r="S30" i="1"/>
  <c r="T30" i="1"/>
  <c r="U30" i="1"/>
  <c r="S31" i="1"/>
  <c r="T31" i="1"/>
  <c r="U31" i="1"/>
  <c r="S32" i="1"/>
  <c r="T32" i="1"/>
  <c r="U32" i="1"/>
  <c r="S33" i="1"/>
  <c r="T33" i="1"/>
  <c r="U33" i="1"/>
  <c r="S34" i="1"/>
  <c r="T34" i="1"/>
  <c r="U34" i="1"/>
  <c r="S36" i="1"/>
  <c r="T36" i="1"/>
  <c r="U36" i="1"/>
  <c r="S37" i="1"/>
  <c r="T37" i="1"/>
  <c r="U37" i="1"/>
  <c r="S38" i="1"/>
  <c r="T38" i="1"/>
  <c r="U38" i="1"/>
  <c r="S39" i="1"/>
  <c r="T39" i="1"/>
  <c r="U39" i="1"/>
  <c r="S40" i="1"/>
  <c r="T40" i="1"/>
  <c r="U40" i="1"/>
  <c r="S41" i="1"/>
  <c r="T41" i="1"/>
  <c r="U41" i="1"/>
  <c r="S43" i="1"/>
  <c r="T43" i="1"/>
  <c r="U43" i="1"/>
  <c r="S44" i="1"/>
  <c r="T44" i="1"/>
  <c r="U44" i="1"/>
  <c r="S45" i="1"/>
  <c r="T45" i="1"/>
  <c r="U45" i="1"/>
  <c r="S46" i="1"/>
  <c r="T46" i="1"/>
  <c r="U46" i="1"/>
  <c r="S47" i="1"/>
  <c r="T47" i="1"/>
  <c r="U47" i="1"/>
  <c r="S48" i="1"/>
  <c r="T48" i="1"/>
  <c r="U48" i="1"/>
  <c r="S49" i="1"/>
  <c r="T49" i="1"/>
  <c r="U49" i="1"/>
  <c r="S50" i="1"/>
  <c r="T50" i="1"/>
  <c r="U50" i="1"/>
  <c r="S51" i="1"/>
  <c r="T51" i="1"/>
  <c r="U51" i="1"/>
  <c r="S52" i="1"/>
  <c r="T52" i="1"/>
  <c r="U52" i="1"/>
  <c r="S53" i="1"/>
  <c r="T53" i="1"/>
  <c r="U53" i="1"/>
  <c r="S54" i="1"/>
  <c r="T54" i="1"/>
  <c r="U54" i="1"/>
  <c r="S57" i="1"/>
  <c r="T57" i="1"/>
  <c r="U57" i="1"/>
  <c r="S58" i="1"/>
  <c r="T58" i="1"/>
  <c r="U58" i="1"/>
  <c r="S60" i="1"/>
  <c r="T60" i="1"/>
  <c r="U60" i="1"/>
  <c r="G7" i="1"/>
  <c r="W7" i="1" s="1"/>
  <c r="G8" i="1"/>
  <c r="W8" i="1" s="1"/>
  <c r="G9" i="1"/>
  <c r="W9" i="1" s="1"/>
  <c r="G11" i="1"/>
  <c r="W11" i="1" s="1"/>
  <c r="G12" i="1"/>
  <c r="W12" i="1" s="1"/>
  <c r="G14" i="1"/>
  <c r="W14" i="1" s="1"/>
  <c r="G18" i="1"/>
  <c r="W18" i="1" s="1"/>
  <c r="G19" i="1"/>
  <c r="W19" i="1" s="1"/>
  <c r="G21" i="1"/>
  <c r="W21" i="1" s="1"/>
  <c r="G22" i="1"/>
  <c r="W22" i="1" s="1"/>
  <c r="G23" i="1"/>
  <c r="W23" i="1" s="1"/>
  <c r="G24" i="1"/>
  <c r="W24" i="1" s="1"/>
  <c r="G25" i="1"/>
  <c r="W25" i="1" s="1"/>
  <c r="G27" i="1"/>
  <c r="W27" i="1" s="1"/>
  <c r="G28" i="1"/>
  <c r="W28" i="1" s="1"/>
  <c r="G29" i="1"/>
  <c r="W29" i="1" s="1"/>
  <c r="G30" i="1"/>
  <c r="W30" i="1" s="1"/>
  <c r="G31" i="1"/>
  <c r="W31" i="1" s="1"/>
  <c r="G32" i="1"/>
  <c r="W32" i="1" s="1"/>
  <c r="G33" i="1"/>
  <c r="W33" i="1" s="1"/>
  <c r="G34" i="1"/>
  <c r="W34" i="1" s="1"/>
  <c r="G36" i="1"/>
  <c r="W36" i="1" s="1"/>
  <c r="G37" i="1"/>
  <c r="W37" i="1" s="1"/>
  <c r="G38" i="1"/>
  <c r="W38" i="1" s="1"/>
  <c r="G39" i="1"/>
  <c r="W39" i="1" s="1"/>
  <c r="G40" i="1"/>
  <c r="W40" i="1" s="1"/>
  <c r="G41" i="1"/>
  <c r="W41" i="1" s="1"/>
  <c r="G43" i="1"/>
  <c r="W43" i="1" s="1"/>
  <c r="G44" i="1"/>
  <c r="W44" i="1" s="1"/>
  <c r="G45" i="1"/>
  <c r="W45" i="1" s="1"/>
  <c r="G46" i="1"/>
  <c r="W46" i="1" s="1"/>
  <c r="G47" i="1"/>
  <c r="W47" i="1" s="1"/>
  <c r="G48" i="1"/>
  <c r="W48" i="1" s="1"/>
  <c r="G50" i="1"/>
  <c r="W50" i="1" s="1"/>
  <c r="G51" i="1"/>
  <c r="W51" i="1" s="1"/>
  <c r="G52" i="1"/>
  <c r="W52" i="1" s="1"/>
  <c r="G53" i="1"/>
  <c r="W53" i="1" s="1"/>
  <c r="G54" i="1"/>
  <c r="W54" i="1" s="1"/>
  <c r="G57" i="1"/>
  <c r="W57" i="1" s="1"/>
  <c r="G58" i="1"/>
  <c r="W58" i="1" s="1"/>
  <c r="G60" i="1"/>
  <c r="W60" i="1" s="1"/>
  <c r="F5" i="1"/>
  <c r="E5" i="1"/>
  <c r="Y5" i="1"/>
  <c r="O5" i="1"/>
  <c r="M5" i="1"/>
  <c r="L5" i="1"/>
  <c r="K5" i="1"/>
  <c r="J5" i="1"/>
  <c r="I5" i="1"/>
  <c r="H5" i="1"/>
  <c r="Z58" i="1" l="1"/>
  <c r="Z54" i="1"/>
  <c r="Z52" i="1"/>
  <c r="Z50" i="1"/>
  <c r="Z48" i="1"/>
  <c r="Z46" i="1"/>
  <c r="Z44" i="1"/>
  <c r="Z41" i="1"/>
  <c r="Z39" i="1"/>
  <c r="Z37" i="1"/>
  <c r="Z34" i="1"/>
  <c r="Z32" i="1"/>
  <c r="Z30" i="1"/>
  <c r="Z28" i="1"/>
  <c r="Z25" i="1"/>
  <c r="Z23" i="1"/>
  <c r="Z21" i="1"/>
  <c r="Z18" i="1"/>
  <c r="Z14" i="1"/>
  <c r="Z11" i="1"/>
  <c r="Z8" i="1"/>
  <c r="Z60" i="1"/>
  <c r="Z57" i="1"/>
  <c r="Z53" i="1"/>
  <c r="Z51" i="1"/>
  <c r="Z47" i="1"/>
  <c r="Z45" i="1"/>
  <c r="Z43" i="1"/>
  <c r="Z40" i="1"/>
  <c r="Z38" i="1"/>
  <c r="Z36" i="1"/>
  <c r="Z33" i="1"/>
  <c r="Z31" i="1"/>
  <c r="Z29" i="1"/>
  <c r="Z27" i="1"/>
  <c r="Z24" i="1"/>
  <c r="Z22" i="1"/>
  <c r="Z19" i="1"/>
  <c r="Z12" i="1"/>
  <c r="Z9" i="1"/>
  <c r="Z7" i="1"/>
  <c r="W5" i="1"/>
  <c r="S5" i="1"/>
  <c r="U5" i="1"/>
  <c r="T5" i="1"/>
  <c r="Z5" i="1" l="1"/>
</calcChain>
</file>

<file path=xl/sharedStrings.xml><?xml version="1.0" encoding="utf-8"?>
<sst xmlns="http://schemas.openxmlformats.org/spreadsheetml/2006/main" count="174" uniqueCount="97">
  <si>
    <t>Период: 05.12.2023 - 12.12.2023</t>
  </si>
  <si>
    <t>Склад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</si>
  <si>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</si>
  <si>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</si>
  <si>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</si>
  <si>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</si>
  <si>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</si>
  <si>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</si>
  <si>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</si>
  <si>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БОНУС_Готовые чебупели сочные с мясом ТМ Горячая штучка  0,3кг зам    ПОКОМ</t>
  </si>
  <si>
    <t>шт</t>
  </si>
  <si>
    <t>БОНУС_Пельмени Бульмени с говядиной и свининой Горячая штучка 0,43  ПОКОМ</t>
  </si>
  <si>
    <t>БОНУС_Пельмени Отборные из свинины и говядины 0,9 кг ТМ Стародворье ТС Медвежье ушко  ПОКОМ</t>
  </si>
  <si>
    <t>Вареники замороженные постные Благолепные с картофелем и грибами классическая форма, ВЕС,  ПОКОМ</t>
  </si>
  <si>
    <t>кг</t>
  </si>
  <si>
    <t>Готовые бельмеши сочные с мясом ТМ Горячая штучка 0,3кг зам  ПОКОМ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</si>
  <si>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</si>
  <si>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</si>
  <si>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 мясом ТМ Горячая штучка Без свинины 0,3 кг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</si>
  <si>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</si>
  <si>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</si>
  <si>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Готовые чебуреки Сочный мегачебурек.Готовые жареные.ВЕС  ПОКОМ</t>
  </si>
  <si>
    <t>Жар-боллы с курочкой и сыром, ВЕС  ПОКОМ</t>
  </si>
  <si>
    <t>Жар-ладушки с мясом. ВЕС  ПОКОМ</t>
  </si>
  <si>
    <t>Жар-ладушки с яблоком и грушей, ВЕС  ПОКОМ</t>
  </si>
  <si>
    <t>Жар-мени рубленые в тесте куриные жареные. ВЕС  ПОКОМ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</si>
  <si>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</si>
  <si>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</si>
  <si>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Мини-сосиски в тесте "Фрайпики" 3,7кг ВЕС,  ПОКОМ</t>
  </si>
  <si>
    <t>Наггетсы из печи 0,25кг ТМ Вязанка ТС Няняггетсы Сливушки замор.  ПОКОМ</t>
  </si>
  <si>
    <t>Наггетсы Нагетосы Сочная курочка в хрустящей панировке ТМ Горячая штучка 0,25 кг зам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</si>
  <si>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</si>
  <si>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</si>
  <si>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Наггетсы хрустящие п/ф ВЕС ПОКОМ</t>
  </si>
  <si>
    <t>Пельмени Grandmeni с говядиной ТМ Горячая  0,75 кг. ПОКОМ</t>
  </si>
  <si>
    <t>Пельмени Бигбули с мясом, Горячая штучка 0,43кг  ПОКОМ</t>
  </si>
  <si>
    <t>Пельмени Бигбули с мясом, Горячая штучка 0,9кг  ПОКОМ</t>
  </si>
  <si>
    <t>Пельмени Бульмени с говядиной и свининой 2,7кг Наваристые Горячая штучка ВЕС  ПОКОМ</t>
  </si>
  <si>
    <t>Пельмени Бульмени с говядиной и свининой 5кг Наваристые Горячая штучка ВЕС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</si>
  <si>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</si>
  <si>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</si>
  <si>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</si>
  <si>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</si>
  <si>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Быстромени сфера, ВЕС  ПОКОМ</t>
  </si>
  <si>
    <t>Пельмени Мясорубские ТМ Стародворье фоупак равиоли 0,7 кг  ПОКОМ</t>
  </si>
  <si>
    <t>Пельмени Отборные из свинины и говядины 0,9 кг ТМ Стародворье ТС Медвежье ушко  ПОКОМ</t>
  </si>
  <si>
    <t>Пельмени Отборные с говядиной 0,43 кг ТМ Стародворье ТС Медвежье ушко</t>
  </si>
  <si>
    <t>Пельмени Отборные с говядиной 0,9 кг НОВА ТМ Стародворье ТС Медвежье ушко  ПОКОМ</t>
  </si>
  <si>
    <t>Пельмени Отборные с говядиной и свининой 0,43 кг ТМ Стародворье ТС Медвежье ушко</t>
  </si>
  <si>
    <t>Пельмени Со свининой и говядиной ТМ Особый рецепт Любимая ложка 1,0 кг  ПОКОМ</t>
  </si>
  <si>
    <t>Снеки  ЖАР-мени ВЕС. рубленые в тесте замор.  ПОКОМ</t>
  </si>
  <si>
    <t>Фрайпицца с ветчиной и грибами 3,0 кг. ВЕС.  ПОКОМ</t>
  </si>
  <si>
    <t>Хотстеры ТМ Горячая штучка ТС Хотстеры 0,25 кг зам  ПОКОМ</t>
  </si>
  <si>
    <t>Хрустящие крылышки острые к пиву ТМ Горячая штучка 0,3кг зам  ПОКОМ</t>
  </si>
  <si>
    <t>Хрустящие крылышки ТМ Горячая штучка 0,3 кг зам  ПОКОМ</t>
  </si>
  <si>
    <t>Хрустящие крылышки ТМ Зареченские ТС Зареченские продукты. ВЕС ПОКОМ</t>
  </si>
  <si>
    <t>Хрустящие крылышки. В панировке куриные жареные.ВЕС  ПОКОМ</t>
  </si>
  <si>
    <t>Чебупай сочное яблоко ТМ Горячая штучка 0,2 кг зам.  ПОКОМ</t>
  </si>
  <si>
    <t>Чебупай спелая вишня ТМ Горячая штучка 0,2 кг зам.  ПОКОМ</t>
  </si>
  <si>
    <t>Чебупели Курочка гриль ТМ Горячая штучка, 0,3 кг зам  ПОКОМ</t>
  </si>
  <si>
    <t>Чебупицца курочка по-итальянски Горячая штучка 0,25 кг зам  ПОКОМ</t>
  </si>
  <si>
    <t>Чебупицца Пепперони ТМ Горячая штучка ТС Чебупицца 0.25кг зам  ПОКОМ</t>
  </si>
  <si>
    <t>Чебуреки Мясные вес 2,7  ПОКОМ</t>
  </si>
  <si>
    <t>Чебуреки сочные ВЕС ТМ Зареченские  ПОКОМ</t>
  </si>
  <si>
    <t>Чебуречище ТМ Горячая штучка .0,14 кг зам. ПОКОМ</t>
  </si>
  <si>
    <t>Сосиски Сливушки #нежнушки ТМ Вязанка  0,33 кг.  ПОКОМ</t>
  </si>
  <si>
    <t>крат</t>
  </si>
  <si>
    <t>заяв</t>
  </si>
  <si>
    <t>раз</t>
  </si>
  <si>
    <t>заказ</t>
  </si>
  <si>
    <t>ср</t>
  </si>
  <si>
    <t xml:space="preserve">ЗАКАЗ </t>
  </si>
  <si>
    <t>кон ост</t>
  </si>
  <si>
    <t>ост без заказа</t>
  </si>
  <si>
    <t>ср 31,10</t>
  </si>
  <si>
    <t>ср 06,11</t>
  </si>
  <si>
    <t>коментарий</t>
  </si>
  <si>
    <t>вес</t>
  </si>
  <si>
    <t>заказ кор.</t>
  </si>
  <si>
    <t>ВЕС</t>
  </si>
  <si>
    <t>от филиала</t>
  </si>
  <si>
    <t>комментарий филиала</t>
  </si>
  <si>
    <t>крат кор</t>
  </si>
  <si>
    <t>ср 15,11</t>
  </si>
  <si>
    <t>устар.</t>
  </si>
  <si>
    <t>Наггетсы с куриным филе и сыром ТМ Вязанка 0.25</t>
  </si>
  <si>
    <t>Спец. задача ЭТК от завода</t>
  </si>
  <si>
    <t>Чебуреки со свининой и говядиной 0,36</t>
  </si>
  <si>
    <t>Пекерсы с индейкой в сливочном соусе 0,25</t>
  </si>
  <si>
    <t>пересорт</t>
  </si>
  <si>
    <t>Оптовик</t>
  </si>
  <si>
    <t>св</t>
  </si>
  <si>
    <t>Акция</t>
  </si>
  <si>
    <t>усредн.</t>
  </si>
  <si>
    <t>Кто согласовал введение новых СКЮ?</t>
  </si>
  <si>
    <t>Пересорт с Пельмени Отборные с говядиной 0,9 кг НОВА ТМ Стародворье ТС Медвежье ушко  ПОКОМ</t>
  </si>
  <si>
    <t>Пересорт с Наггетсы Нагетосы Сочная курочка в хрустящей панировке ТМ Горячая штучка 0,25 кг зам  ПОКОМ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</si>
</sst>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"/>
  </numFmts>
  <fonts count="8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name val="Arial"/>
      <family val="2"/>
      <charset val="204"/>
    </font>
    <font>
      <sz val="8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8"/>
      <color rgb="FFFF0000"/>
      <name val="Arial"/>
      <family val="2"/>
      <charset val="204"/>
    </font>
    <font>
      <sz val="8"/>
      <color theme="0"/>
      <name val="Arial"/>
      <family val="2"/>
      <charset val="204"/>
    </font>
  </fonts>
  <fills count="13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thin">
        <color rgb="FFCCC085"/>
      </left>
      <right/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hair">
        <color indexed="28"/>
      </left>
      <right/>
      <top style="hair">
        <color indexed="28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hair">
        <color indexed="28"/>
      </right>
      <top style="hair">
        <color indexed="28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hair">
        <color indexed="28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164" fontId="0" fillId="0" borderId="0" xfId="0" applyNumberFormat="1" applyAlignment="1">
      <alignment horizontal="left"/>
    </xf>
    <xf numFmtId="164" fontId="0" fillId="0" borderId="0" xfId="0" applyNumberFormat="1" applyAlignment="1"/>
    <xf numFmtId="164" fontId="1" fillId="0" borderId="0" xfId="0" applyNumberFormat="1" applyFont="1" applyAlignment="1">
      <alignment horizontal="left" vertical="top"/>
    </xf>
    <xf numFmtId="164" fontId="1" fillId="2" borderId="1" xfId="0" applyNumberFormat="1" applyFont="1" applyFill="1" applyBorder="1" applyAlignment="1">
      <alignment horizontal="left" vertical="top"/>
    </xf>
    <xf numFmtId="164" fontId="2" fillId="3" borderId="1" xfId="0" applyNumberFormat="1" applyFont="1" applyFill="1" applyBorder="1" applyAlignment="1">
      <alignment horizontal="left" vertical="top"/>
    </xf>
    <xf numFmtId="164" fontId="2" fillId="3" borderId="2" xfId="0" applyNumberFormat="1" applyFont="1" applyFill="1" applyBorder="1" applyAlignment="1">
      <alignment horizontal="right" vertical="top"/>
    </xf>
    <xf numFmtId="164" fontId="2" fillId="3" borderId="1" xfId="0" applyNumberFormat="1" applyFont="1" applyFill="1" applyBorder="1" applyAlignment="1">
      <alignment horizontal="right" vertical="top"/>
    </xf>
    <xf numFmtId="164" fontId="0" fillId="0" borderId="1" xfId="0" applyNumberFormat="1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0" fillId="0" borderId="2" xfId="0" applyNumberFormat="1" applyBorder="1" applyAlignment="1">
      <alignment horizontal="right" vertical="top"/>
    </xf>
    <xf numFmtId="2" fontId="0" fillId="0" borderId="0" xfId="0" applyNumberFormat="1"/>
    <xf numFmtId="164" fontId="0" fillId="0" borderId="0" xfId="0" applyNumberFormat="1"/>
    <xf numFmtId="164" fontId="3" fillId="4" borderId="0" xfId="0" applyNumberFormat="1" applyFont="1" applyFill="1"/>
    <xf numFmtId="164" fontId="3" fillId="5" borderId="0" xfId="0" applyNumberFormat="1" applyFont="1" applyFill="1"/>
    <xf numFmtId="164" fontId="4" fillId="0" borderId="0" xfId="0" applyNumberFormat="1" applyFont="1"/>
    <xf numFmtId="164" fontId="0" fillId="0" borderId="0" xfId="0" applyNumberFormat="1" applyAlignment="1">
      <alignment wrapText="1"/>
    </xf>
    <xf numFmtId="164" fontId="5" fillId="6" borderId="3" xfId="0" applyNumberFormat="1" applyFont="1" applyFill="1" applyBorder="1" applyAlignment="1">
      <alignment horizontal="right" vertical="top"/>
    </xf>
    <xf numFmtId="164" fontId="5" fillId="6" borderId="0" xfId="0" applyNumberFormat="1" applyFont="1" applyFill="1" applyAlignment="1">
      <alignment horizontal="right" vertical="top"/>
    </xf>
    <xf numFmtId="2" fontId="0" fillId="0" borderId="0" xfId="0" applyNumberFormat="1" applyAlignment="1"/>
    <xf numFmtId="165" fontId="0" fillId="0" borderId="0" xfId="0" applyNumberFormat="1" applyAlignment="1"/>
    <xf numFmtId="165" fontId="0" fillId="0" borderId="0" xfId="0" applyNumberFormat="1"/>
    <xf numFmtId="165" fontId="5" fillId="6" borderId="3" xfId="0" applyNumberFormat="1" applyFont="1" applyFill="1" applyBorder="1" applyAlignment="1">
      <alignment horizontal="right" vertical="top"/>
    </xf>
    <xf numFmtId="164" fontId="4" fillId="7" borderId="0" xfId="0" applyNumberFormat="1" applyFont="1" applyFill="1" applyAlignment="1"/>
    <xf numFmtId="164" fontId="0" fillId="7" borderId="1" xfId="0" applyNumberFormat="1" applyFill="1" applyBorder="1" applyAlignment="1">
      <alignment horizontal="left" vertical="top"/>
    </xf>
    <xf numFmtId="164" fontId="0" fillId="7" borderId="1" xfId="0" applyNumberFormat="1" applyFill="1" applyBorder="1" applyAlignment="1">
      <alignment horizontal="right" vertical="top"/>
    </xf>
    <xf numFmtId="2" fontId="0" fillId="7" borderId="0" xfId="0" applyNumberFormat="1" applyFill="1" applyAlignment="1"/>
    <xf numFmtId="164" fontId="4" fillId="0" borderId="1" xfId="0" applyNumberFormat="1" applyFont="1" applyBorder="1" applyAlignment="1">
      <alignment horizontal="left" vertical="top"/>
    </xf>
    <xf numFmtId="164" fontId="0" fillId="8" borderId="1" xfId="0" applyNumberFormat="1" applyFill="1" applyBorder="1" applyAlignment="1">
      <alignment horizontal="left" vertical="top"/>
    </xf>
    <xf numFmtId="164" fontId="0" fillId="4" borderId="1" xfId="0" applyNumberFormat="1" applyFill="1" applyBorder="1" applyAlignment="1">
      <alignment horizontal="right" vertical="top"/>
    </xf>
    <xf numFmtId="164" fontId="6" fillId="4" borderId="1" xfId="0" applyNumberFormat="1" applyFont="1" applyFill="1" applyBorder="1" applyAlignment="1">
      <alignment horizontal="right" vertical="top"/>
    </xf>
    <xf numFmtId="164" fontId="0" fillId="9" borderId="0" xfId="0" applyNumberFormat="1" applyFill="1" applyAlignment="1"/>
    <xf numFmtId="164" fontId="7" fillId="10" borderId="0" xfId="0" applyNumberFormat="1" applyFont="1" applyFill="1" applyAlignment="1"/>
    <xf numFmtId="164" fontId="0" fillId="12" borderId="1" xfId="0" applyNumberFormat="1" applyFill="1" applyBorder="1" applyAlignment="1">
      <alignment horizontal="right" vertical="top"/>
    </xf>
    <xf numFmtId="164" fontId="0" fillId="12" borderId="0" xfId="0" applyNumberFormat="1" applyFill="1" applyAlignment="1"/>
    <xf numFmtId="164" fontId="4" fillId="12" borderId="0" xfId="0" applyNumberFormat="1" applyFont="1" applyFill="1" applyAlignment="1">
      <alignment wrapText="1"/>
    </xf>
    <xf numFmtId="164" fontId="0" fillId="8" borderId="0" xfId="0" applyNumberFormat="1" applyFill="1" applyAlignment="1"/>
    <xf numFmtId="2" fontId="0" fillId="8" borderId="0" xfId="0" applyNumberFormat="1" applyFill="1" applyAlignment="1"/>
    <xf numFmtId="164" fontId="5" fillId="6" borderId="4" xfId="0" applyNumberFormat="1" applyFont="1" applyFill="1" applyBorder="1" applyAlignment="1">
      <alignment horizontal="right" vertical="top"/>
    </xf>
    <xf numFmtId="164" fontId="0" fillId="0" borderId="5" xfId="0" applyNumberFormat="1" applyBorder="1" applyAlignment="1"/>
    <xf numFmtId="164" fontId="0" fillId="4" borderId="5" xfId="0" applyNumberFormat="1" applyFill="1" applyBorder="1" applyAlignment="1"/>
    <xf numFmtId="164" fontId="5" fillId="6" borderId="6" xfId="0" applyNumberFormat="1" applyFont="1" applyFill="1" applyBorder="1" applyAlignment="1">
      <alignment horizontal="right" vertical="top"/>
    </xf>
    <xf numFmtId="164" fontId="0" fillId="0" borderId="7" xfId="0" applyNumberFormat="1" applyBorder="1" applyAlignment="1"/>
    <xf numFmtId="164" fontId="0" fillId="9" borderId="7" xfId="0" applyNumberFormat="1" applyFill="1" applyBorder="1" applyAlignment="1"/>
    <xf numFmtId="164" fontId="0" fillId="8" borderId="7" xfId="0" applyNumberFormat="1" applyFill="1" applyBorder="1" applyAlignment="1"/>
    <xf numFmtId="164" fontId="7" fillId="10" borderId="7" xfId="0" applyNumberFormat="1" applyFont="1" applyFill="1" applyBorder="1" applyAlignment="1"/>
    <xf numFmtId="164" fontId="3" fillId="0" borderId="8" xfId="0" applyNumberFormat="1" applyFont="1" applyBorder="1"/>
    <xf numFmtId="164" fontId="3" fillId="0" borderId="9" xfId="0" applyNumberFormat="1" applyFont="1" applyBorder="1" applyAlignment="1">
      <alignment wrapText="1"/>
    </xf>
    <xf numFmtId="164" fontId="5" fillId="6" borderId="10" xfId="0" applyNumberFormat="1" applyFont="1" applyFill="1" applyBorder="1" applyAlignment="1">
      <alignment horizontal="right" vertical="top"/>
    </xf>
    <xf numFmtId="164" fontId="0" fillId="0" borderId="11" xfId="0" applyNumberFormat="1" applyBorder="1" applyAlignment="1"/>
    <xf numFmtId="164" fontId="4" fillId="4" borderId="11" xfId="0" applyNumberFormat="1" applyFont="1" applyFill="1" applyBorder="1" applyAlignment="1"/>
    <xf numFmtId="164" fontId="0" fillId="4" borderId="11" xfId="0" applyNumberFormat="1" applyFill="1" applyBorder="1" applyAlignment="1"/>
    <xf numFmtId="164" fontId="0" fillId="8" borderId="11" xfId="0" applyNumberFormat="1" applyFill="1" applyBorder="1" applyAlignment="1"/>
    <xf numFmtId="164" fontId="7" fillId="10" borderId="11" xfId="0" applyNumberFormat="1" applyFont="1" applyFill="1" applyBorder="1" applyAlignment="1"/>
    <xf numFmtId="164" fontId="0" fillId="11" borderId="11" xfId="0" applyNumberFormat="1" applyFill="1" applyBorder="1" applyAlignment="1"/>
    <xf numFmtId="164" fontId="0" fillId="0" borderId="12" xfId="0" applyNumberFormat="1" applyBorder="1" applyAlignme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9;&#1090;&#1072;&#1090;&#1099;/&#1079;&#1072;&#1103;&#1074;&#1083;&#1077;&#1085;&#1086;%20&#1057;&#1086;&#1095;&#1080;%2006,12,23-12,12,2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&#1055;&#1054;&#1050;&#1054;&#1052;/pokom_data/&#1086;&#1087;&#1090;%20&#1080;%20&#1050;&#1088;&#1072;&#1089;&#1085;&#1086;&#1076;&#1072;&#1088;/2023/11,23/15,11,23%20&#1057;&#1086;&#1095;&#1080;%20&#1047;&#1055;&#1060;/&#1076;&#1074;%2015,11,23%20&#1089;&#1095;&#1088;&#1089;&#1095;%20&#1079;&#1087;&#1092;%20&#1086;&#1090;%20&#1092;&#1080;&#1083;&#1080;&#1072;&#1083;&#1072;%20(&#1051;&#1099;&#1075;&#1080;&#1085;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06.12.2023 - 12.12.2023</v>
          </cell>
        </row>
        <row r="3">
          <cell r="A3" t="str">
            <v>Отбор:</v>
          </cell>
          <cell r="C3" t="str">
            <v>Организация В списке "ЛП ООО; Общий прайс" И
Номенклатура В группе из списка "Вязанка Логистический Партнер(К...; Вязанка Логистический Партнер(Ш...; Логистический Партнер кг; Логистический Партнер Шт; ПОКОМ Логистический Партн..." И
Склад В списке "Основной склад ПОКОМ (Соч...; Основной склад ЗАМОРОЗКА ..."</v>
          </cell>
        </row>
        <row r="5">
          <cell r="A5" t="str">
            <v>Номенклатура</v>
          </cell>
          <cell r="D5" t="str">
            <v>Итого</v>
          </cell>
        </row>
        <row r="6">
          <cell r="D6" t="str">
            <v>по заказам</v>
          </cell>
        </row>
        <row r="7">
          <cell r="D7" t="str">
            <v>Заказано</v>
          </cell>
        </row>
        <row r="8">
          <cell r="A8" t="str">
            <v xml:space="preserve"> 004   Колбаса Вязанка со шпиком, вектор ВЕС, ПОКОМ</v>
          </cell>
          <cell r="D8">
            <v>6.5</v>
          </cell>
        </row>
        <row r="9">
          <cell r="A9" t="str">
            <v xml:space="preserve"> 005  Колбаса Докторская ГОСТ, Вязанка вектор,ВЕС. ПОКОМ</v>
          </cell>
          <cell r="D9">
            <v>34.4</v>
          </cell>
        </row>
        <row r="10">
          <cell r="A10" t="str">
            <v xml:space="preserve"> 015  Сосиски Венские, Вязанка ВЕС. ПОКОМ</v>
          </cell>
          <cell r="D10">
            <v>1.3</v>
          </cell>
        </row>
        <row r="11">
          <cell r="A11" t="str">
            <v xml:space="preserve"> 016  Сосиски Вязанка Молочные, Вязанка вискофан  ВЕС.ПОКОМ</v>
          </cell>
          <cell r="D11">
            <v>11.55</v>
          </cell>
        </row>
        <row r="12">
          <cell r="A12" t="str">
            <v xml:space="preserve"> 020  Ветчина Столичная Вязанка, вектор 0.5кг, ПОКОМ</v>
          </cell>
          <cell r="D12">
            <v>10</v>
          </cell>
        </row>
        <row r="13">
          <cell r="A13" t="str">
            <v xml:space="preserve"> 022  Колбаса Вязанка со шпиком, вектор 0,5кг, ПОКОМ</v>
          </cell>
          <cell r="D13">
            <v>69</v>
          </cell>
        </row>
        <row r="14">
          <cell r="A14" t="str">
            <v xml:space="preserve"> 023  Колбаса Докторская ГОСТ, Вязанка вектор, 0,4 кг, ПОКОМ</v>
          </cell>
          <cell r="D14">
            <v>228</v>
          </cell>
        </row>
        <row r="15">
          <cell r="A15" t="str">
            <v xml:space="preserve"> 029  Сосиски Венские, Вязанка NDX МГС, 0.5кг, ПОКОМ</v>
          </cell>
          <cell r="D15">
            <v>11</v>
          </cell>
        </row>
        <row r="16">
          <cell r="A16" t="str">
            <v xml:space="preserve"> 030  Сосиски Вязанка Молочные, Вязанка вискофан МГС, 0.45кг, ПОКОМ</v>
          </cell>
          <cell r="D16">
            <v>187</v>
          </cell>
        </row>
        <row r="17">
          <cell r="A17" t="str">
            <v xml:space="preserve"> 032  Сосиски Вязанка Сливочные, Вязанка амицел МГС, 0.45кг, ПОКОМ</v>
          </cell>
          <cell r="D17">
            <v>203</v>
          </cell>
        </row>
        <row r="18">
          <cell r="A18" t="str">
            <v xml:space="preserve"> 034  Сосиски Рубленые, Вязанка вискофан МГС, 0.5кг, ПОКОМ</v>
          </cell>
          <cell r="D18">
            <v>42</v>
          </cell>
        </row>
        <row r="19">
          <cell r="A19" t="str">
            <v xml:space="preserve"> 042  Ветчина Нежная Особая ТМ Стародворье, п/а, 0,4кг    ПОКОМ</v>
          </cell>
          <cell r="D19">
            <v>2</v>
          </cell>
        </row>
        <row r="20">
          <cell r="A20" t="str">
            <v xml:space="preserve"> 043  Ветчина Нежная ТМ Особый рецепт, п/а, 0,4кг    ПОКОМ</v>
          </cell>
          <cell r="D20">
            <v>31</v>
          </cell>
        </row>
        <row r="21">
          <cell r="A21" t="str">
            <v xml:space="preserve"> 047  Кол Баварская, белков.обол. в термоусад. пакете 0.17 кг, ТМ Стародворье  ПОКОМ</v>
          </cell>
          <cell r="D21">
            <v>28</v>
          </cell>
        </row>
        <row r="22">
          <cell r="A22" t="str">
            <v xml:space="preserve"> 054  Колбаса вареная Филейбургская с филе сочного окорока, 0,45 кг, БАВАРУШКА ПОКОМ</v>
          </cell>
          <cell r="D22">
            <v>7</v>
          </cell>
        </row>
        <row r="23">
          <cell r="A23" t="str">
            <v xml:space="preserve"> 055  Колбаса вареная Филейбургская, 0,45 кг, БАВАРУШКА ПОКОМ</v>
          </cell>
          <cell r="D23">
            <v>6</v>
          </cell>
        </row>
        <row r="24">
          <cell r="A24" t="str">
            <v xml:space="preserve"> 058  Колбаса Докторская Особая ТМ Особый рецепт,  0,5кг, ПОКОМ</v>
          </cell>
          <cell r="D24">
            <v>23</v>
          </cell>
        </row>
        <row r="25">
          <cell r="A25" t="str">
            <v xml:space="preserve"> 060  Колбаса Докторская стародворская  0,5 кг,ПОКОМ</v>
          </cell>
          <cell r="D25">
            <v>13</v>
          </cell>
        </row>
        <row r="26">
          <cell r="A26" t="str">
            <v xml:space="preserve"> 062  Колбаса Кракушка пряная с сальцем, 0.3кг в/у п/к, БАВАРУШКА ПОКОМ</v>
          </cell>
          <cell r="D26">
            <v>40</v>
          </cell>
        </row>
        <row r="27">
          <cell r="A27" t="str">
            <v xml:space="preserve"> 068  Колбаса Особая ТМ Особый рецепт, 0,5 кг, ПОКОМ</v>
          </cell>
          <cell r="D27">
            <v>20</v>
          </cell>
        </row>
        <row r="28">
          <cell r="A28" t="str">
            <v xml:space="preserve"> 079  Колбаса Сервелат Кремлевский,  0.35 кг, ПОКОМ</v>
          </cell>
          <cell r="D28">
            <v>91</v>
          </cell>
        </row>
        <row r="29">
          <cell r="A29" t="str">
            <v xml:space="preserve"> 083  Колбаса Швейцарская 0,17 кг., ШТ., сырокопченая   ПОКОМ</v>
          </cell>
          <cell r="D29">
            <v>47</v>
          </cell>
        </row>
        <row r="30">
          <cell r="A30" t="str">
            <v xml:space="preserve"> 091  Сардельки Баварские, МГС 0.38кг, ТМ Стародворье  ПОКОМ</v>
          </cell>
          <cell r="D30">
            <v>7</v>
          </cell>
        </row>
        <row r="31">
          <cell r="A31" t="str">
            <v xml:space="preserve"> 092  Сосиски Баварские с сыром,  0.42кг,ПОКОМ</v>
          </cell>
          <cell r="D31">
            <v>13</v>
          </cell>
        </row>
        <row r="32">
          <cell r="A32" t="str">
            <v xml:space="preserve"> 094  Сосиски Баварские,  0.35кг, ТМ Колбасный стандарт ПОКОМ</v>
          </cell>
          <cell r="D32">
            <v>103</v>
          </cell>
        </row>
        <row r="33">
          <cell r="A33" t="str">
            <v xml:space="preserve"> 096  Сосиски Баварские,  0.42кг,ПОКОМ</v>
          </cell>
          <cell r="D33">
            <v>31</v>
          </cell>
        </row>
        <row r="34">
          <cell r="A34" t="str">
            <v xml:space="preserve"> 102  Сосиски Ганноверские, амилюкс МГС, 0.6кг, ТМ Стародворье    ПОКОМ</v>
          </cell>
          <cell r="D34">
            <v>86</v>
          </cell>
        </row>
        <row r="35">
          <cell r="A35" t="str">
            <v xml:space="preserve"> 115  Колбаса Салями Филейбургская зернистая, в/у 0,35 кг срез, БАВАРУШКА ПОКОМ</v>
          </cell>
          <cell r="D35">
            <v>28</v>
          </cell>
        </row>
        <row r="36">
          <cell r="A36" t="str">
            <v xml:space="preserve"> 117  Колбаса Сервелат Филейбургский с ароматными пряностями, в/у 0,35 кг срез, БАВАРУШКА ПОКОМ</v>
          </cell>
          <cell r="D36">
            <v>33</v>
          </cell>
        </row>
        <row r="37">
          <cell r="A37" t="str">
            <v xml:space="preserve"> 118  Колбаса Сервелат Филейбургский с филе сочного окорока, в/у 0,35 кг срез, БАВАРУШКА ПОКОМ</v>
          </cell>
          <cell r="D37">
            <v>48</v>
          </cell>
        </row>
        <row r="38">
          <cell r="A38" t="str">
            <v xml:space="preserve"> 201  Ветчина Нежная ТМ Особый рецепт, (2,5кг), ПОКОМ</v>
          </cell>
          <cell r="D38">
            <v>145</v>
          </cell>
        </row>
        <row r="39">
          <cell r="A39" t="str">
            <v xml:space="preserve"> 207  ВСД Колбаса Княжеская, ВЕС.    </v>
          </cell>
          <cell r="D39">
            <v>0.8</v>
          </cell>
        </row>
        <row r="40">
          <cell r="A40" t="str">
            <v xml:space="preserve"> 219  Колбаса Докторская Особая ТМ Особый рецепт, ВЕС  ПОКОМ</v>
          </cell>
          <cell r="D40">
            <v>178.57</v>
          </cell>
        </row>
        <row r="41">
          <cell r="A41" t="str">
            <v xml:space="preserve"> 230  Колбаса Молочная Особая ТМ Особый рецепт, п/а, ВЕС. ПОКОМ</v>
          </cell>
          <cell r="D41">
            <v>30</v>
          </cell>
        </row>
        <row r="42">
          <cell r="A42" t="str">
            <v xml:space="preserve"> 235  Колбаса Особая ТМ Особый рецепт, ВЕС, ТМ Стародворье ПОКОМ</v>
          </cell>
          <cell r="D42">
            <v>77.599999999999994</v>
          </cell>
        </row>
        <row r="43">
          <cell r="A43" t="str">
            <v xml:space="preserve"> 240  Колбаса Салями охотничья, ВЕС. ПОКОМ</v>
          </cell>
          <cell r="D43">
            <v>1.2</v>
          </cell>
        </row>
        <row r="44">
          <cell r="A44" t="str">
            <v xml:space="preserve"> 243  Колбаса Сервелат Зернистый, ВЕС.  ПОКОМ</v>
          </cell>
          <cell r="D44">
            <v>3.6</v>
          </cell>
        </row>
        <row r="45">
          <cell r="A45" t="str">
            <v xml:space="preserve"> 244  Колбаса Сервелат Кремлевский, ВЕС. ПОКОМ</v>
          </cell>
          <cell r="D45">
            <v>21.382999999999999</v>
          </cell>
        </row>
        <row r="46">
          <cell r="A46" t="str">
            <v xml:space="preserve"> 250  Сардельки стародворские с говядиной в обол. NDX, ВЕС. ПОКОМ</v>
          </cell>
          <cell r="D46">
            <v>22.4</v>
          </cell>
        </row>
        <row r="47">
          <cell r="A47" t="str">
            <v xml:space="preserve"> 251  Сосиски Баварские, ВЕС.  ПОКОМ</v>
          </cell>
          <cell r="D47">
            <v>5.2</v>
          </cell>
        </row>
        <row r="48">
          <cell r="A48" t="str">
            <v xml:space="preserve"> 253  Сосиски Ганноверские   ПОКОМ</v>
          </cell>
          <cell r="D48">
            <v>100.21</v>
          </cell>
        </row>
        <row r="49">
          <cell r="A49" t="str">
            <v xml:space="preserve"> 255  Сосиски Молочные для завтрака ТМ Особый рецепт, п/а МГС, ВЕС, ТМ Стародворье  ПОКОМ</v>
          </cell>
          <cell r="D49">
            <v>216.88300000000001</v>
          </cell>
        </row>
        <row r="50">
          <cell r="A50" t="str">
            <v xml:space="preserve"> 272  Колбаса Сервелат Филедворский, фиброуз, в/у 0,35 кг срез,  ПОКОМ</v>
          </cell>
          <cell r="D50">
            <v>56</v>
          </cell>
        </row>
        <row r="51">
          <cell r="A51" t="str">
            <v xml:space="preserve"> 273  Сосиски Сочинки с сочной грудинкой, МГС 0.4кг,   ПОКОМ</v>
          </cell>
          <cell r="D51">
            <v>88</v>
          </cell>
        </row>
        <row r="52">
          <cell r="A52" t="str">
            <v xml:space="preserve"> 276  Колбаса Сливушка ТМ Вязанка в оболочке полиамид 0,45 кг  ПОКОМ</v>
          </cell>
          <cell r="D52">
            <v>184</v>
          </cell>
        </row>
        <row r="53">
          <cell r="A53" t="str">
            <v xml:space="preserve"> 278  Сосиски Сочинки с сочным окороком, МГС 0.4кг,   ПОКОМ</v>
          </cell>
          <cell r="D53">
            <v>72</v>
          </cell>
        </row>
        <row r="54">
          <cell r="A54" t="str">
            <v xml:space="preserve"> 279  Колбаса Докторский гарант, Вязанка вектор, 0,4 кг.  ПОКОМ</v>
          </cell>
          <cell r="D54">
            <v>137</v>
          </cell>
        </row>
        <row r="55">
          <cell r="A55" t="str">
            <v xml:space="preserve"> 281  Сосиски Молочные для завтрака ТМ Особый рецепт, 0,4кг  ПОКОМ</v>
          </cell>
          <cell r="D55">
            <v>10</v>
          </cell>
        </row>
        <row r="56">
          <cell r="A56" t="str">
            <v xml:space="preserve"> 287  Ветчина Вязанка с индейкой, вектор 0,45 кг, ТМ Стародворские колбасы  ПОКОМ</v>
          </cell>
          <cell r="D56">
            <v>3</v>
          </cell>
        </row>
        <row r="57">
          <cell r="A57" t="str">
            <v xml:space="preserve"> 288  Колбаса Докторская оригинальная Особая ТМ Особый рецепт,  0,4кг, ПОКОМ</v>
          </cell>
          <cell r="D57">
            <v>15</v>
          </cell>
        </row>
        <row r="58">
          <cell r="A58" t="str">
            <v xml:space="preserve"> 296  Колбаса Мясорубская с рубленой грудинкой 0,35кг срез ТМ Стародворье  ПОКОМ</v>
          </cell>
          <cell r="D58">
            <v>75</v>
          </cell>
        </row>
        <row r="59">
          <cell r="A59" t="str">
            <v xml:space="preserve"> 301  Сосиски Сочинки по-баварски с сыром,  0.4кг, ТМ Стародворье  ПОКОМ</v>
          </cell>
          <cell r="D59">
            <v>34</v>
          </cell>
        </row>
        <row r="60">
          <cell r="A60" t="str">
            <v xml:space="preserve"> 302  Сосиски Сочинки по-баварски,  0.4кг, ТМ Стародворье  ПОКОМ</v>
          </cell>
          <cell r="D60">
            <v>58</v>
          </cell>
        </row>
        <row r="61">
          <cell r="A61" t="str">
            <v xml:space="preserve"> 309  Сосиски Сочинки с сыром 0,4 кг ТМ Стародворье  ПОКОМ</v>
          </cell>
          <cell r="D61">
            <v>20</v>
          </cell>
        </row>
        <row r="62">
          <cell r="A62" t="str">
            <v xml:space="preserve"> 312  Ветчина Филейская ВЕС ТМ  Вязанка ТС Столичная  ПОКОМ</v>
          </cell>
          <cell r="D62">
            <v>106.83</v>
          </cell>
        </row>
        <row r="63">
          <cell r="A63" t="str">
            <v xml:space="preserve"> 315  Колбаса вареная Молокуша ТМ Вязанка ВЕС, ПОКОМ</v>
          </cell>
          <cell r="D63">
            <v>11.85</v>
          </cell>
        </row>
        <row r="64">
          <cell r="A64" t="str">
            <v xml:space="preserve"> 317 Колбаса Сервелат Рижский ТМ Зареченские, ВЕС  ПОКОМ</v>
          </cell>
          <cell r="D64">
            <v>261.154</v>
          </cell>
        </row>
        <row r="65">
          <cell r="A65" t="str">
            <v xml:space="preserve"> 318  Сосиски Датские ТМ Зареченские, ВЕС  ПОКОМ</v>
          </cell>
          <cell r="D65">
            <v>2.6</v>
          </cell>
        </row>
        <row r="66">
          <cell r="A66" t="str">
            <v xml:space="preserve"> 319  Колбаса вареная Филейская ТМ Вязанка ТС Классическая, 0,45 кг. ПОКОМ</v>
          </cell>
          <cell r="D66">
            <v>318</v>
          </cell>
        </row>
        <row r="67">
          <cell r="A67" t="str">
            <v xml:space="preserve"> 322  Колбаса вареная Молокуша 0,45кг ТМ Вязанка  ПОКОМ</v>
          </cell>
          <cell r="D67">
            <v>245</v>
          </cell>
        </row>
        <row r="68">
          <cell r="A68" t="str">
            <v xml:space="preserve"> 324  Ветчина Филейская ТМ Вязанка Столичная 0,45 кг ПОКОМ</v>
          </cell>
          <cell r="D68">
            <v>160</v>
          </cell>
        </row>
        <row r="69">
          <cell r="A69" t="str">
            <v xml:space="preserve"> 328  Сардельки Сочинки Стародворье ТМ  0,4 кг ПОКОМ</v>
          </cell>
          <cell r="D69">
            <v>7</v>
          </cell>
        </row>
        <row r="70">
          <cell r="A70" t="str">
            <v xml:space="preserve"> 329  Сардельки Сочинки с сыром Стародворье ТМ, 0,4 кг. ПОКОМ</v>
          </cell>
          <cell r="D70">
            <v>7</v>
          </cell>
        </row>
        <row r="71">
          <cell r="A71" t="str">
            <v xml:space="preserve"> 330  Колбаса вареная Филейская ТМ Вязанка ТС Классическая ВЕС  ПОКОМ</v>
          </cell>
          <cell r="D71">
            <v>47.35</v>
          </cell>
        </row>
        <row r="72">
          <cell r="A72" t="str">
            <v xml:space="preserve"> 334  Паштет Любительский ТМ Стародворье ламистер 0,1 кг  ПОКОМ</v>
          </cell>
          <cell r="D72">
            <v>46</v>
          </cell>
        </row>
        <row r="73">
          <cell r="A73" t="str">
            <v xml:space="preserve"> 353  Колбаса Салями запеченная ТМ Стародворье ТС Дугушка. 0,6 кг ПОКОМ</v>
          </cell>
          <cell r="D73">
            <v>17</v>
          </cell>
        </row>
        <row r="74">
          <cell r="A74" t="str">
            <v xml:space="preserve"> 354  Колбаса Рубленая запеченная ТМ Стародворье,ТС Дугушка  0,6 кг ПОКОМ</v>
          </cell>
          <cell r="D74">
            <v>14</v>
          </cell>
        </row>
        <row r="75">
          <cell r="A75" t="str">
            <v xml:space="preserve"> 355  Колбаса Сервелат запеченный ТМ Стародворье ТС Дугушка. 0,6 кг. ПОКОМ</v>
          </cell>
          <cell r="D75">
            <v>13</v>
          </cell>
        </row>
        <row r="76">
          <cell r="A76" t="str">
            <v xml:space="preserve"> 385  Колбаски Филейбургские с филе сочного окорока, 0,28кг ТМ Баварушка  ПОКОМ</v>
          </cell>
          <cell r="D76">
            <v>51</v>
          </cell>
        </row>
        <row r="77">
          <cell r="A77" t="str">
            <v xml:space="preserve"> 410  Сосиски Баварские с сыром ТМ Стародворье 0,35 кг. ПОКОМ</v>
          </cell>
          <cell r="D77">
            <v>45</v>
          </cell>
        </row>
        <row r="78">
          <cell r="A78" t="str">
            <v>БОНУС_Колбаса вареная Филейская ТМ Вязанка ТС Классическая ВЕС  ПОКОМ</v>
          </cell>
          <cell r="D78">
            <v>14.4</v>
          </cell>
        </row>
        <row r="79">
          <cell r="A79" t="str">
            <v>БОНУС_Колбаса Докторская Особая ТМ Особый рецепт,  0,5кг, ПОКОМ</v>
          </cell>
          <cell r="D79">
            <v>135</v>
          </cell>
        </row>
        <row r="80">
          <cell r="A80" t="str">
            <v>БОНУС_Колбаса Сервелат Филедворский, фиброуз, в/у 0,35 кг срез,  ПОКОМ</v>
          </cell>
          <cell r="D80">
            <v>25</v>
          </cell>
        </row>
        <row r="81">
          <cell r="A81" t="str">
            <v>БОНУС_Пельмени Бульмени с говядиной и свининой Горячая штучка 0,43  ПОКОМ</v>
          </cell>
          <cell r="D81">
            <v>20</v>
          </cell>
        </row>
        <row r="82">
          <cell r="A82" t="str">
            <v>БОНУС_Пельмени Отборные из свинины и говядины 0,9 кг ТМ Стародворье ТС Медвежье ушко  ПОКОМ</v>
          </cell>
          <cell r="D82">
            <v>53</v>
          </cell>
        </row>
        <row r="83">
          <cell r="A83" t="str">
            <v>БОНУС_Сосиски Сочинки с сочной грудинкой, МГС 0.4кг,   ПОКОМ</v>
          </cell>
          <cell r="D83">
            <v>38</v>
          </cell>
        </row>
        <row r="84">
          <cell r="A84" t="str">
            <v>Вареники замороженные постные Благолепные с картофелем и грибами классическая форма, ВЕС,  ПОКОМ</v>
          </cell>
          <cell r="D84">
            <v>10</v>
          </cell>
        </row>
        <row r="85">
          <cell r="A85" t="str">
            <v>Готовые бельмеши сочные с мясом ТМ Горячая штучка 0,3кг зам  ПОКОМ</v>
          </cell>
          <cell r="D85">
            <v>104</v>
          </cell>
        </row>
        <row r="86">
          <cell r="A86" t="str">
            <v>Готовые чебупели острые с мясом Горячая штучка 0,3 кг зам  ПОКОМ</v>
          </cell>
          <cell r="D86">
            <v>234</v>
          </cell>
        </row>
        <row r="87">
          <cell r="A87" t="str">
            <v>Готовые чебупели с ветчиной и сыром Горячая штучка 0,3кг зам  ПОКОМ</v>
          </cell>
          <cell r="D87">
            <v>199</v>
          </cell>
        </row>
        <row r="88">
          <cell r="A88" t="str">
            <v>Готовые чебупели с мясом ТМ Горячая штучка Без свинины 0,3 кг ПОКОМ</v>
          </cell>
          <cell r="D88">
            <v>29</v>
          </cell>
        </row>
        <row r="89">
          <cell r="A89" t="str">
            <v>Готовые чебупели сочные с мясом ТМ Горячая штучка  0,3кг зам  ПОКОМ</v>
          </cell>
          <cell r="D89">
            <v>201</v>
          </cell>
        </row>
        <row r="90">
          <cell r="A90" t="str">
            <v>Готовые чебуреки с мясом ТМ Горячая штучка 0,09 кг флоу-пак ПОКОМ</v>
          </cell>
          <cell r="D90">
            <v>21</v>
          </cell>
        </row>
        <row r="91">
          <cell r="A91" t="str">
            <v>Жар-боллы с курочкой и сыром, ВЕС  ПОКОМ</v>
          </cell>
          <cell r="D91">
            <v>12</v>
          </cell>
        </row>
        <row r="92">
          <cell r="A92" t="str">
            <v>Жар-ладушки с мясом. ВЕС  ПОКОМ</v>
          </cell>
          <cell r="D92">
            <v>7.4</v>
          </cell>
        </row>
        <row r="93">
          <cell r="A93" t="str">
            <v>Круггетсы с сырным соусом ТМ Горячая штучка 0,25 кг зам  ПОКОМ</v>
          </cell>
          <cell r="D93">
            <v>108</v>
          </cell>
        </row>
        <row r="94">
          <cell r="A94" t="str">
            <v>Круггетсы сочные ТМ Горячая штучка ТС Круггетсы 0,25 кг зам  ПОКОМ</v>
          </cell>
          <cell r="D94">
            <v>107</v>
          </cell>
        </row>
        <row r="95">
          <cell r="A95" t="str">
            <v>Мини-сосиски в тесте "Фрайпики" 3,7кг ВЕС,  ПОКОМ</v>
          </cell>
          <cell r="D95">
            <v>3.7</v>
          </cell>
        </row>
        <row r="96">
          <cell r="A96" t="str">
            <v>Наггетсы из печи 0,25кг ТМ Вязанка ТС Няняггетсы Сливушки замор.  ПОКОМ</v>
          </cell>
          <cell r="D96">
            <v>65</v>
          </cell>
        </row>
        <row r="97">
          <cell r="A97" t="str">
            <v>Наггетсы Нагетосы Сочная курочка в хрустящей панировке ТМ Горячая штучка 0,25 кг зам  ПОКОМ</v>
          </cell>
          <cell r="D97">
            <v>147</v>
          </cell>
        </row>
        <row r="98">
          <cell r="A98" t="str">
            <v>Наггетсы Нагетосы Сочная курочка ТМ Горячая штучка 0,25 кг зам  ПОКОМ</v>
          </cell>
          <cell r="D98">
            <v>168</v>
          </cell>
        </row>
        <row r="99">
          <cell r="A99" t="str">
            <v>Наггетсы с индейкой 0,25кг ТМ Вязанка ТС Няняггетсы Сливушки НД2 замор.  ПОКОМ</v>
          </cell>
          <cell r="D99">
            <v>38</v>
          </cell>
        </row>
        <row r="100">
          <cell r="A100" t="str">
            <v>Наггетсы хрустящие п/ф ВЕС ПОКОМ</v>
          </cell>
          <cell r="D100">
            <v>18</v>
          </cell>
        </row>
        <row r="101">
          <cell r="A101" t="str">
            <v>Пельмени Grandmeni с говядиной ТМ Горячая  0,75 кг. ПОКОМ</v>
          </cell>
          <cell r="D101">
            <v>1</v>
          </cell>
        </row>
        <row r="102">
          <cell r="A102" t="str">
            <v>Пельмени Бигбули с мясом, Горячая штучка 0,43кг  ПОКОМ</v>
          </cell>
          <cell r="D102">
            <v>34</v>
          </cell>
        </row>
        <row r="103">
          <cell r="A103" t="str">
            <v>Пельмени Бигбули с мясом, Горячая штучка 0,9кг  ПОКОМ</v>
          </cell>
          <cell r="D103">
            <v>34</v>
          </cell>
        </row>
        <row r="104">
          <cell r="A104" t="str">
            <v>Пельмени Бульмени с говядиной и свининой 2,7кг Наваристые Горячая штучка ВЕС  ПОКОМ</v>
          </cell>
          <cell r="D104">
            <v>8.1</v>
          </cell>
        </row>
        <row r="105">
          <cell r="A105" t="str">
            <v>Пельмени Бульмени с говядиной и свининой Горячая шт. 0,9 кг  ПОКОМ</v>
          </cell>
          <cell r="D105">
            <v>90</v>
          </cell>
        </row>
        <row r="106">
          <cell r="A106" t="str">
            <v>Пельмени Бульмени с говядиной и свининой Горячая штучка 0,43  ПОКОМ</v>
          </cell>
          <cell r="D106">
            <v>90</v>
          </cell>
        </row>
        <row r="107">
          <cell r="A107" t="str">
            <v>Пельмени Бульмени со сливочным маслом Горячая штучка 0,9 кг  ПОКОМ</v>
          </cell>
          <cell r="D107">
            <v>74</v>
          </cell>
        </row>
        <row r="108">
          <cell r="A108" t="str">
            <v>Пельмени Бульмени со сливочным маслом ТМ Горячая шт. 0,43 кг  ПОКОМ</v>
          </cell>
          <cell r="D108">
            <v>67</v>
          </cell>
        </row>
        <row r="109">
          <cell r="A109" t="str">
            <v>Пельмени Быстромени сфера, ВЕС  ПОКОМ</v>
          </cell>
          <cell r="D109">
            <v>5</v>
          </cell>
        </row>
        <row r="110">
          <cell r="A110" t="str">
            <v>Пельмени Мясорубские ТМ Стародворье фоупак равиоли 0,7 кг  ПОКОМ</v>
          </cell>
          <cell r="D110">
            <v>96</v>
          </cell>
        </row>
        <row r="111">
          <cell r="A111" t="str">
            <v>Пельмени Отборные из свинины и говядины 0,9 кг ТМ Стародворье ТС Медвежье ушко  ПОКОМ</v>
          </cell>
          <cell r="D111">
            <v>15</v>
          </cell>
        </row>
        <row r="112">
          <cell r="A112" t="str">
            <v>Пельмени Отборные с говядиной 0,43 кг ТМ Стародворье ТС Медвежье ушко</v>
          </cell>
          <cell r="D112">
            <v>14</v>
          </cell>
        </row>
        <row r="113">
          <cell r="A113" t="str">
            <v>Пельмени Отборные с говядиной 0,9 кг НОВА ТМ Стародворье ТС Медвежье ушко  ПОКОМ</v>
          </cell>
          <cell r="D113">
            <v>16</v>
          </cell>
        </row>
        <row r="114">
          <cell r="A114" t="str">
            <v>Пельмени Отборные с говядиной и свининой 0,43 кг ТМ Стародворье ТС Медвежье ушко</v>
          </cell>
          <cell r="D114">
            <v>20</v>
          </cell>
        </row>
        <row r="115">
          <cell r="A115" t="str">
            <v>Пельмени Со свининой и говядиной ТМ Особый рецепт Любимая ложка 1,0 кг  ПОКОМ</v>
          </cell>
          <cell r="D115">
            <v>44</v>
          </cell>
        </row>
        <row r="116">
          <cell r="A116" t="str">
            <v>Снеки  ЖАР-мени ВЕС. рубленые в тесте замор.  ПОКОМ</v>
          </cell>
          <cell r="D116">
            <v>22.5</v>
          </cell>
        </row>
        <row r="117">
          <cell r="A117" t="str">
            <v>Фрайпицца с ветчиной и грибами 3,0 кг. ВЕС.  ПОКОМ</v>
          </cell>
          <cell r="D117">
            <v>3</v>
          </cell>
        </row>
        <row r="118">
          <cell r="A118" t="str">
            <v>Хотстеры ТМ Горячая штучка ТС Хотстеры 0,25 кг зам  ПОКОМ</v>
          </cell>
          <cell r="D118">
            <v>106</v>
          </cell>
        </row>
        <row r="119">
          <cell r="A119" t="str">
            <v>Хрустящие крылышки острые к пиву ТМ Горячая штучка 0,3кг зам  ПОКОМ</v>
          </cell>
          <cell r="D119">
            <v>56</v>
          </cell>
        </row>
        <row r="120">
          <cell r="A120" t="str">
            <v>Хрустящие крылышки ТМ Горячая штучка 0,3 кг зам  ПОКОМ</v>
          </cell>
          <cell r="D120">
            <v>45</v>
          </cell>
        </row>
        <row r="121">
          <cell r="A121" t="str">
            <v>Хрустящие крылышки ТМ Зареченские ТС Зареченские продукты. ВЕС ПОКОМ</v>
          </cell>
          <cell r="D121">
            <v>9</v>
          </cell>
        </row>
        <row r="122">
          <cell r="A122" t="str">
            <v>Чебупай сочное яблоко ТМ Горячая штучка 0,2 кг зам.  ПОКОМ</v>
          </cell>
          <cell r="D122">
            <v>5</v>
          </cell>
        </row>
        <row r="123">
          <cell r="A123" t="str">
            <v>Чебупай спелая вишня ТМ Горячая штучка 0,2 кг зам.  ПОКОМ</v>
          </cell>
          <cell r="D123">
            <v>2</v>
          </cell>
        </row>
        <row r="124">
          <cell r="A124" t="str">
            <v>Чебупели Курочка гриль ТМ Горячая штучка, 0,3 кг зам  ПОКОМ</v>
          </cell>
          <cell r="D124">
            <v>447</v>
          </cell>
        </row>
        <row r="125">
          <cell r="A125" t="str">
            <v>Чебупицца курочка по-итальянски Горячая штучка 0,25 кг зам  ПОКОМ</v>
          </cell>
          <cell r="D125">
            <v>249</v>
          </cell>
        </row>
        <row r="126">
          <cell r="A126" t="str">
            <v>Чебупицца Пепперони ТМ Горячая штучка ТС Чебупицца 0.25кг зам  ПОКОМ</v>
          </cell>
          <cell r="D126">
            <v>495</v>
          </cell>
        </row>
        <row r="127">
          <cell r="A127" t="str">
            <v>Чебуреки Мясные вес 2,7  ПОКОМ</v>
          </cell>
          <cell r="D127">
            <v>2.7</v>
          </cell>
        </row>
        <row r="128">
          <cell r="A128" t="str">
            <v>Чебуреки сочные ВЕС ТМ Зареченские  ПОКОМ</v>
          </cell>
          <cell r="D128">
            <v>10</v>
          </cell>
        </row>
        <row r="129">
          <cell r="A129" t="str">
            <v>Итого</v>
          </cell>
          <cell r="D129">
            <v>8186.18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08.11.2023 - 15.11.2023</v>
          </cell>
        </row>
        <row r="3">
          <cell r="A3" t="str">
            <v>Склад</v>
          </cell>
          <cell r="C3" t="str">
            <v>Количество</v>
          </cell>
          <cell r="G3" t="str">
            <v>крат</v>
          </cell>
          <cell r="H3" t="str">
            <v>заяв</v>
          </cell>
          <cell r="I3" t="str">
            <v>раз</v>
          </cell>
          <cell r="J3" t="str">
            <v>заказ</v>
          </cell>
          <cell r="K3" t="str">
            <v>заказ</v>
          </cell>
          <cell r="L3" t="str">
            <v>ср</v>
          </cell>
          <cell r="M3" t="str">
            <v>заказ</v>
          </cell>
          <cell r="N3" t="str">
            <v>заказ</v>
          </cell>
          <cell r="O3" t="str">
            <v xml:space="preserve">ЗАКАЗ </v>
          </cell>
          <cell r="Q3" t="str">
            <v>кон ост</v>
          </cell>
          <cell r="R3" t="str">
            <v>ост без заказа</v>
          </cell>
          <cell r="S3" t="str">
            <v>ср 31,10</v>
          </cell>
          <cell r="T3" t="str">
            <v>ср 06,11</v>
          </cell>
          <cell r="U3" t="str">
            <v>ср</v>
          </cell>
          <cell r="V3" t="str">
            <v>коментарий</v>
          </cell>
          <cell r="W3" t="str">
            <v>вес</v>
          </cell>
          <cell r="X3" t="str">
            <v>вес</v>
          </cell>
        </row>
        <row r="4">
          <cell r="A4" t="str">
            <v>Номенклатура</v>
          </cell>
          <cell r="B4" t="str">
            <v>Ед. изм.</v>
          </cell>
          <cell r="C4" t="str">
            <v>Начальный остаток</v>
          </cell>
          <cell r="D4" t="str">
            <v>Приход</v>
          </cell>
          <cell r="E4" t="str">
            <v>Расход</v>
          </cell>
          <cell r="F4" t="str">
            <v>Конечный остаток</v>
          </cell>
          <cell r="N4" t="str">
            <v>усредн.</v>
          </cell>
          <cell r="O4" t="str">
            <v>от филиала</v>
          </cell>
          <cell r="P4" t="str">
            <v>комментарий филиала</v>
          </cell>
          <cell r="W4" t="str">
            <v>усредн.</v>
          </cell>
          <cell r="X4" t="str">
            <v>филиал</v>
          </cell>
        </row>
        <row r="5">
          <cell r="A5" t="str">
            <v>Основной склад ЗАМОРОЗКА (Сочи)</v>
          </cell>
          <cell r="E5">
            <v>5169.3</v>
          </cell>
          <cell r="F5">
            <v>8730.1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1033.8599999999999</v>
          </cell>
          <cell r="M5">
            <v>7112.4</v>
          </cell>
          <cell r="N5">
            <v>13192</v>
          </cell>
          <cell r="O5">
            <v>13580</v>
          </cell>
          <cell r="S5">
            <v>873.46000000000026</v>
          </cell>
          <cell r="T5">
            <v>382.79999999999995</v>
          </cell>
          <cell r="U5">
            <v>0</v>
          </cell>
          <cell r="W5">
            <v>6004.7000000000007</v>
          </cell>
          <cell r="X5">
            <v>6736</v>
          </cell>
          <cell r="Y5" t="str">
            <v>крат кор</v>
          </cell>
        </row>
        <row r="6">
          <cell r="A6" t="str">
            <v>Готовые бельмеши сочные с мясом ТМ Горячая штучка 0,3кг зам  ПОКОМ</v>
          </cell>
          <cell r="B6" t="str">
            <v>шт</v>
          </cell>
          <cell r="C6">
            <v>764</v>
          </cell>
          <cell r="E6">
            <v>204</v>
          </cell>
          <cell r="F6">
            <v>560</v>
          </cell>
          <cell r="G6">
            <v>0.3</v>
          </cell>
          <cell r="L6">
            <v>40.799999999999997</v>
          </cell>
          <cell r="M6">
            <v>52</v>
          </cell>
          <cell r="N6">
            <v>300</v>
          </cell>
          <cell r="O6">
            <v>500</v>
          </cell>
          <cell r="P6" t="str">
            <v>св,в связи с переходом к нам Туапсе</v>
          </cell>
          <cell r="Q6">
            <v>21.078431372549019</v>
          </cell>
          <cell r="R6">
            <v>13.725490196078432</v>
          </cell>
          <cell r="S6">
            <v>48.4</v>
          </cell>
          <cell r="T6">
            <v>9.6</v>
          </cell>
          <cell r="W6">
            <v>90</v>
          </cell>
          <cell r="X6">
            <v>150</v>
          </cell>
          <cell r="Y6">
            <v>12</v>
          </cell>
        </row>
        <row r="7">
          <cell r="A7" t="str">
            <v>Готовые чебупели острые с мясом Горячая штучка 0,3 кг зам  ПОКОМ</v>
          </cell>
          <cell r="B7" t="str">
            <v>шт</v>
          </cell>
          <cell r="C7">
            <v>705</v>
          </cell>
          <cell r="E7">
            <v>412</v>
          </cell>
          <cell r="F7">
            <v>269</v>
          </cell>
          <cell r="G7">
            <v>0.3</v>
          </cell>
          <cell r="L7">
            <v>82.4</v>
          </cell>
          <cell r="M7">
            <v>802.2</v>
          </cell>
          <cell r="N7">
            <v>800</v>
          </cell>
          <cell r="Q7">
            <v>12.973300970873785</v>
          </cell>
          <cell r="R7">
            <v>3.2645631067961163</v>
          </cell>
          <cell r="S7">
            <v>51.2</v>
          </cell>
          <cell r="T7">
            <v>20.6</v>
          </cell>
          <cell r="W7">
            <v>240</v>
          </cell>
          <cell r="X7">
            <v>0</v>
          </cell>
          <cell r="Y7">
            <v>12</v>
          </cell>
        </row>
        <row r="8">
          <cell r="A8" t="str">
            <v>Готовые чебупели с ветчиной и сыром Горячая штучка 0,3кг зам  ПОКОМ</v>
          </cell>
          <cell r="B8" t="str">
            <v>шт</v>
          </cell>
          <cell r="C8">
            <v>865</v>
          </cell>
          <cell r="E8">
            <v>368</v>
          </cell>
          <cell r="F8">
            <v>473</v>
          </cell>
          <cell r="G8">
            <v>0.3</v>
          </cell>
          <cell r="L8">
            <v>73.599999999999994</v>
          </cell>
          <cell r="M8">
            <v>631</v>
          </cell>
          <cell r="N8">
            <v>636</v>
          </cell>
          <cell r="Q8">
            <v>15.067934782608697</v>
          </cell>
          <cell r="R8">
            <v>6.4266304347826093</v>
          </cell>
          <cell r="S8">
            <v>49.8</v>
          </cell>
          <cell r="T8">
            <v>18.2</v>
          </cell>
          <cell r="W8">
            <v>190.79999999999998</v>
          </cell>
          <cell r="X8">
            <v>0</v>
          </cell>
          <cell r="Y8">
            <v>12</v>
          </cell>
        </row>
        <row r="9">
          <cell r="A9" t="str">
            <v>Готовые чебупели сочные с мясом ТМ Горячая штучка  0,3кг зам  ПОКОМ</v>
          </cell>
          <cell r="B9" t="str">
            <v>шт</v>
          </cell>
          <cell r="C9">
            <v>1006</v>
          </cell>
          <cell r="E9">
            <v>486</v>
          </cell>
          <cell r="F9">
            <v>217</v>
          </cell>
          <cell r="G9">
            <v>0.3</v>
          </cell>
          <cell r="L9">
            <v>97.2</v>
          </cell>
          <cell r="M9">
            <v>1241</v>
          </cell>
          <cell r="N9">
            <v>1500</v>
          </cell>
          <cell r="O9">
            <v>1500</v>
          </cell>
          <cell r="P9" t="str">
            <v>Акция</v>
          </cell>
          <cell r="Q9">
            <v>17.664609053497941</v>
          </cell>
          <cell r="R9">
            <v>2.2325102880658436</v>
          </cell>
          <cell r="S9">
            <v>59.2</v>
          </cell>
          <cell r="T9">
            <v>18.600000000000001</v>
          </cell>
          <cell r="W9">
            <v>450</v>
          </cell>
          <cell r="X9">
            <v>450</v>
          </cell>
          <cell r="Y9">
            <v>12</v>
          </cell>
        </row>
        <row r="10">
          <cell r="A10" t="str">
            <v>Готовые чебуреки с мясом ТМ Горячая штучка 0,09 кг флоу-пак ПОКОМ</v>
          </cell>
          <cell r="B10" t="str">
            <v>шт</v>
          </cell>
          <cell r="C10">
            <v>44</v>
          </cell>
          <cell r="F10">
            <v>1</v>
          </cell>
          <cell r="G10">
            <v>0.09</v>
          </cell>
          <cell r="L10">
            <v>0</v>
          </cell>
          <cell r="M10">
            <v>150</v>
          </cell>
          <cell r="N10">
            <v>200</v>
          </cell>
          <cell r="O10">
            <v>200</v>
          </cell>
          <cell r="P10" t="str">
            <v>св,в связи с переходом к нам Туапсе</v>
          </cell>
          <cell r="Q10" t="e">
            <v>#DIV/0!</v>
          </cell>
          <cell r="R10" t="e">
            <v>#DIV/0!</v>
          </cell>
          <cell r="S10">
            <v>0</v>
          </cell>
          <cell r="T10">
            <v>13.6</v>
          </cell>
          <cell r="W10">
            <v>18</v>
          </cell>
          <cell r="X10">
            <v>18</v>
          </cell>
          <cell r="Y10">
            <v>24</v>
          </cell>
        </row>
        <row r="11">
          <cell r="A11" t="str">
            <v>Жар-боллы с курочкой и сыром, ВЕС  ПОКОМ</v>
          </cell>
          <cell r="B11" t="str">
            <v>кг</v>
          </cell>
          <cell r="G11">
            <v>1</v>
          </cell>
          <cell r="L11">
            <v>0</v>
          </cell>
          <cell r="M11">
            <v>100</v>
          </cell>
          <cell r="N11">
            <v>200</v>
          </cell>
          <cell r="O11">
            <v>200</v>
          </cell>
          <cell r="P11" t="str">
            <v>св,в связи с переходом к нам Туапсе</v>
          </cell>
          <cell r="Q11" t="e">
            <v>#DIV/0!</v>
          </cell>
          <cell r="R11" t="e">
            <v>#DIV/0!</v>
          </cell>
          <cell r="S11">
            <v>0.6</v>
          </cell>
          <cell r="T11">
            <v>0</v>
          </cell>
          <cell r="W11">
            <v>200</v>
          </cell>
          <cell r="X11">
            <v>200</v>
          </cell>
          <cell r="Y11">
            <v>3</v>
          </cell>
        </row>
        <row r="12">
          <cell r="A12" t="str">
            <v>Жар-мени рубленые в тесте куриные жареные. ВЕС  ПОКОМ</v>
          </cell>
          <cell r="B12" t="str">
            <v>кг</v>
          </cell>
          <cell r="C12">
            <v>11</v>
          </cell>
          <cell r="E12">
            <v>11</v>
          </cell>
          <cell r="G12">
            <v>1</v>
          </cell>
          <cell r="L12">
            <v>2.2000000000000002</v>
          </cell>
          <cell r="M12">
            <v>22</v>
          </cell>
          <cell r="N12">
            <v>100</v>
          </cell>
          <cell r="O12">
            <v>200</v>
          </cell>
          <cell r="P12" t="str">
            <v>св,в связи с переходом к нам Туапсе</v>
          </cell>
          <cell r="Q12">
            <v>45.454545454545453</v>
          </cell>
          <cell r="R12">
            <v>0</v>
          </cell>
          <cell r="S12">
            <v>0</v>
          </cell>
          <cell r="T12">
            <v>0</v>
          </cell>
          <cell r="V12" t="str">
            <v>?????</v>
          </cell>
          <cell r="W12">
            <v>100</v>
          </cell>
          <cell r="X12">
            <v>200</v>
          </cell>
          <cell r="Y12">
            <v>5.5</v>
          </cell>
        </row>
        <row r="13">
          <cell r="A13" t="str">
            <v>Круггетсы с сырным соусом ТМ Горячая штучка 0,25 кг зам  ПОКОМ</v>
          </cell>
          <cell r="B13" t="str">
            <v>шт</v>
          </cell>
          <cell r="C13">
            <v>584</v>
          </cell>
          <cell r="E13">
            <v>216</v>
          </cell>
          <cell r="F13">
            <v>344</v>
          </cell>
          <cell r="G13">
            <v>0.25</v>
          </cell>
          <cell r="L13">
            <v>43.2</v>
          </cell>
          <cell r="M13">
            <v>304</v>
          </cell>
          <cell r="N13">
            <v>500</v>
          </cell>
          <cell r="O13">
            <v>500</v>
          </cell>
          <cell r="P13" t="str">
            <v>св,в связи с переходом к нам Туапсе</v>
          </cell>
          <cell r="Q13">
            <v>19.537037037037035</v>
          </cell>
          <cell r="R13">
            <v>7.9629629629629628</v>
          </cell>
          <cell r="S13">
            <v>43.4</v>
          </cell>
          <cell r="T13">
            <v>16.600000000000001</v>
          </cell>
          <cell r="W13">
            <v>125</v>
          </cell>
          <cell r="X13">
            <v>125</v>
          </cell>
          <cell r="Y13">
            <v>12</v>
          </cell>
        </row>
        <row r="14">
          <cell r="A14" t="str">
            <v>Круггетсы сочные ТМ Горячая штучка ТС Круггетсы 0,25 кг зам  ПОКОМ</v>
          </cell>
          <cell r="B14" t="str">
            <v>шт</v>
          </cell>
          <cell r="C14">
            <v>586</v>
          </cell>
          <cell r="E14">
            <v>164</v>
          </cell>
          <cell r="F14">
            <v>422</v>
          </cell>
          <cell r="G14">
            <v>0.25</v>
          </cell>
          <cell r="L14">
            <v>32.799999999999997</v>
          </cell>
          <cell r="M14">
            <v>69.999999999999943</v>
          </cell>
          <cell r="N14">
            <v>300</v>
          </cell>
          <cell r="O14">
            <v>300</v>
          </cell>
          <cell r="P14" t="str">
            <v>св,в связи с переходом к нам Туапсе</v>
          </cell>
          <cell r="Q14">
            <v>22.012195121951223</v>
          </cell>
          <cell r="R14">
            <v>12.865853658536587</v>
          </cell>
          <cell r="S14">
            <v>39.200000000000003</v>
          </cell>
          <cell r="T14">
            <v>12</v>
          </cell>
          <cell r="W14">
            <v>75</v>
          </cell>
          <cell r="X14">
            <v>75</v>
          </cell>
          <cell r="Y14">
            <v>12</v>
          </cell>
        </row>
        <row r="15">
          <cell r="A15" t="str">
            <v>Наггетсы из печи 0,25кг ТМ Вязанка ТС Няняггетсы Сливушки замор.  ПОКОМ</v>
          </cell>
          <cell r="B15" t="str">
            <v>шт</v>
          </cell>
          <cell r="C15">
            <v>290</v>
          </cell>
          <cell r="E15">
            <v>73</v>
          </cell>
          <cell r="F15">
            <v>169</v>
          </cell>
          <cell r="G15">
            <v>0.25</v>
          </cell>
          <cell r="L15">
            <v>14.6</v>
          </cell>
          <cell r="M15">
            <v>50</v>
          </cell>
          <cell r="N15">
            <v>200</v>
          </cell>
          <cell r="O15">
            <v>200</v>
          </cell>
          <cell r="P15" t="str">
            <v>св,в связи с переходом к нам Туапсе</v>
          </cell>
          <cell r="Q15">
            <v>25.273972602739725</v>
          </cell>
          <cell r="R15">
            <v>11.575342465753424</v>
          </cell>
          <cell r="S15">
            <v>11.6</v>
          </cell>
          <cell r="T15">
            <v>7.8</v>
          </cell>
          <cell r="W15">
            <v>50</v>
          </cell>
          <cell r="X15">
            <v>50</v>
          </cell>
          <cell r="Y15">
            <v>12</v>
          </cell>
        </row>
        <row r="16">
          <cell r="A16" t="str">
            <v>Наггетсы Нагетосы Сочная курочка в хрустящей панировке ТМ Горячая штучка 0,25 кг зам  ПОКОМ</v>
          </cell>
          <cell r="B16" t="str">
            <v>шт</v>
          </cell>
          <cell r="C16">
            <v>235</v>
          </cell>
          <cell r="D16">
            <v>2</v>
          </cell>
          <cell r="E16">
            <v>224</v>
          </cell>
          <cell r="F16">
            <v>11</v>
          </cell>
          <cell r="G16">
            <v>0.25</v>
          </cell>
          <cell r="L16">
            <v>44.8</v>
          </cell>
          <cell r="M16">
            <v>437</v>
          </cell>
          <cell r="N16">
            <v>500</v>
          </cell>
          <cell r="O16">
            <v>500</v>
          </cell>
          <cell r="P16" t="str">
            <v>св,в связи с переходом к нам Туапсе</v>
          </cell>
          <cell r="Q16">
            <v>11.40625</v>
          </cell>
          <cell r="R16">
            <v>0.2455357142857143</v>
          </cell>
          <cell r="S16">
            <v>22.4</v>
          </cell>
          <cell r="T16">
            <v>3.8</v>
          </cell>
          <cell r="W16">
            <v>125</v>
          </cell>
          <cell r="X16">
            <v>125</v>
          </cell>
          <cell r="Y16">
            <v>6</v>
          </cell>
        </row>
        <row r="17">
          <cell r="A17" t="str">
            <v>Наггетсы Нагетосы Сочная курочка ТМ Горячая штучка 0,25 кг зам  ПОКОМ</v>
          </cell>
          <cell r="B17" t="str">
            <v>шт</v>
          </cell>
          <cell r="C17">
            <v>130</v>
          </cell>
          <cell r="D17">
            <v>2</v>
          </cell>
          <cell r="E17">
            <v>48</v>
          </cell>
          <cell r="F17">
            <v>22</v>
          </cell>
          <cell r="G17">
            <v>0.25</v>
          </cell>
          <cell r="L17">
            <v>9.6</v>
          </cell>
          <cell r="M17">
            <v>93.199999999999989</v>
          </cell>
          <cell r="N17">
            <v>300</v>
          </cell>
          <cell r="O17">
            <v>300</v>
          </cell>
          <cell r="P17" t="str">
            <v>св,в связи с переходом к нам Туапсе</v>
          </cell>
          <cell r="Q17">
            <v>33.541666666666671</v>
          </cell>
          <cell r="R17">
            <v>2.291666666666667</v>
          </cell>
          <cell r="S17">
            <v>32</v>
          </cell>
          <cell r="T17">
            <v>4.8</v>
          </cell>
          <cell r="W17">
            <v>75</v>
          </cell>
          <cell r="X17">
            <v>75</v>
          </cell>
          <cell r="Y17">
            <v>6</v>
          </cell>
        </row>
        <row r="18">
          <cell r="A18" t="str">
            <v>Наггетсы с индейкой 0,25кг ТМ Вязанка ТС Няняггетсы Сливушки НД2 замор.  ПОКОМ</v>
          </cell>
          <cell r="B18" t="str">
            <v>шт</v>
          </cell>
          <cell r="C18">
            <v>219</v>
          </cell>
          <cell r="D18">
            <v>2</v>
          </cell>
          <cell r="E18">
            <v>36</v>
          </cell>
          <cell r="F18">
            <v>39</v>
          </cell>
          <cell r="G18">
            <v>0.25</v>
          </cell>
          <cell r="L18">
            <v>7.2</v>
          </cell>
          <cell r="M18">
            <v>69</v>
          </cell>
          <cell r="N18">
            <v>300</v>
          </cell>
          <cell r="O18">
            <v>300</v>
          </cell>
          <cell r="P18" t="str">
            <v>св,в связи с переходом к нам Туапсе</v>
          </cell>
          <cell r="Q18">
            <v>47.083333333333336</v>
          </cell>
          <cell r="R18">
            <v>5.416666666666667</v>
          </cell>
          <cell r="S18">
            <v>8.1999999999999993</v>
          </cell>
          <cell r="T18">
            <v>5.4</v>
          </cell>
          <cell r="V18" t="str">
            <v>?????</v>
          </cell>
          <cell r="W18">
            <v>75</v>
          </cell>
          <cell r="X18">
            <v>75</v>
          </cell>
          <cell r="Y18">
            <v>12</v>
          </cell>
        </row>
        <row r="19">
          <cell r="A19" t="str">
            <v>Наггетсы хрустящие п/ф ВЕС ПОКОМ</v>
          </cell>
          <cell r="B19" t="str">
            <v>кг</v>
          </cell>
          <cell r="G19">
            <v>1</v>
          </cell>
          <cell r="L19">
            <v>0</v>
          </cell>
          <cell r="M19">
            <v>100</v>
          </cell>
          <cell r="N19">
            <v>200</v>
          </cell>
          <cell r="O19">
            <v>200</v>
          </cell>
          <cell r="P19" t="str">
            <v>св,в связи с переходом к нам Туапсе</v>
          </cell>
          <cell r="Q19" t="e">
            <v>#DIV/0!</v>
          </cell>
          <cell r="R19" t="e">
            <v>#DIV/0!</v>
          </cell>
          <cell r="S19">
            <v>4.8</v>
          </cell>
          <cell r="T19">
            <v>2.4</v>
          </cell>
          <cell r="W19">
            <v>200</v>
          </cell>
          <cell r="X19">
            <v>200</v>
          </cell>
          <cell r="Y19">
            <v>6</v>
          </cell>
        </row>
        <row r="20">
          <cell r="A20" t="str">
            <v>Пельмени Бигбули с мясом, Горячая штучка 0,43кг  ПОКОМ</v>
          </cell>
          <cell r="B20" t="str">
            <v>шт</v>
          </cell>
          <cell r="C20">
            <v>648</v>
          </cell>
          <cell r="E20">
            <v>98</v>
          </cell>
          <cell r="F20">
            <v>496</v>
          </cell>
          <cell r="G20">
            <v>0.43</v>
          </cell>
          <cell r="L20">
            <v>19.600000000000001</v>
          </cell>
          <cell r="N20">
            <v>0</v>
          </cell>
          <cell r="Q20">
            <v>25.30612244897959</v>
          </cell>
          <cell r="R20">
            <v>25.30612244897959</v>
          </cell>
          <cell r="S20">
            <v>22</v>
          </cell>
          <cell r="T20">
            <v>10</v>
          </cell>
          <cell r="W20">
            <v>0</v>
          </cell>
          <cell r="X20">
            <v>0</v>
          </cell>
          <cell r="Y20">
            <v>16</v>
          </cell>
        </row>
        <row r="21">
          <cell r="A21" t="str">
            <v>Пельмени Бигбули с мясом, Горячая штучка 0,9кг  ПОКОМ</v>
          </cell>
          <cell r="B21" t="str">
            <v>шт</v>
          </cell>
          <cell r="C21">
            <v>462</v>
          </cell>
          <cell r="E21">
            <v>158</v>
          </cell>
          <cell r="F21">
            <v>304</v>
          </cell>
          <cell r="G21">
            <v>0.9</v>
          </cell>
          <cell r="L21">
            <v>31.6</v>
          </cell>
          <cell r="M21">
            <v>170</v>
          </cell>
          <cell r="N21">
            <v>300</v>
          </cell>
          <cell r="O21">
            <v>300</v>
          </cell>
          <cell r="P21" t="str">
            <v>св,в связи с переходом к нам Туапсе</v>
          </cell>
          <cell r="Q21">
            <v>19.11392405063291</v>
          </cell>
          <cell r="R21">
            <v>9.6202531645569618</v>
          </cell>
          <cell r="S21">
            <v>20</v>
          </cell>
          <cell r="T21">
            <v>15.8</v>
          </cell>
          <cell r="W21">
            <v>270</v>
          </cell>
          <cell r="X21">
            <v>270</v>
          </cell>
          <cell r="Y21">
            <v>8</v>
          </cell>
        </row>
        <row r="22">
          <cell r="A22" t="str">
            <v>Пельмени Бульмени с говядиной и свининой 2,7кг Наваристые Горячая штучка ВЕС  ПОКОМ</v>
          </cell>
          <cell r="B22" t="str">
            <v>кг</v>
          </cell>
          <cell r="G22">
            <v>1</v>
          </cell>
          <cell r="L22">
            <v>0</v>
          </cell>
          <cell r="M22">
            <v>50</v>
          </cell>
          <cell r="N22">
            <v>100</v>
          </cell>
          <cell r="O22">
            <v>200</v>
          </cell>
          <cell r="P22" t="str">
            <v>св,в связи с переходом к нам Туапсе</v>
          </cell>
          <cell r="Q22" t="e">
            <v>#DIV/0!</v>
          </cell>
          <cell r="R22" t="e">
            <v>#DIV/0!</v>
          </cell>
          <cell r="S22">
            <v>0.54</v>
          </cell>
          <cell r="T22">
            <v>0</v>
          </cell>
          <cell r="V22" t="str">
            <v>?</v>
          </cell>
          <cell r="W22">
            <v>100</v>
          </cell>
          <cell r="X22">
            <v>200</v>
          </cell>
          <cell r="Y22">
            <v>2.7</v>
          </cell>
        </row>
        <row r="23">
          <cell r="A23" t="str">
            <v>Пельмени Бульмени с говядиной и свининой 5кг Наваристые Горячая штучка ВЕС  ПОКОМ</v>
          </cell>
          <cell r="B23" t="str">
            <v>кг</v>
          </cell>
          <cell r="C23">
            <v>5</v>
          </cell>
          <cell r="E23">
            <v>5</v>
          </cell>
          <cell r="G23">
            <v>1</v>
          </cell>
          <cell r="L23">
            <v>1</v>
          </cell>
          <cell r="M23">
            <v>10</v>
          </cell>
          <cell r="N23">
            <v>100</v>
          </cell>
          <cell r="O23">
            <v>100</v>
          </cell>
          <cell r="P23" t="str">
            <v>св,в связи с переходом к нам Туапсе</v>
          </cell>
          <cell r="Q23">
            <v>100</v>
          </cell>
          <cell r="R23">
            <v>0</v>
          </cell>
          <cell r="S23">
            <v>0</v>
          </cell>
          <cell r="T23">
            <v>1</v>
          </cell>
          <cell r="V23" t="str">
            <v>?????</v>
          </cell>
          <cell r="W23">
            <v>100</v>
          </cell>
          <cell r="X23">
            <v>100</v>
          </cell>
          <cell r="Y23">
            <v>5</v>
          </cell>
        </row>
        <row r="24">
          <cell r="A24" t="str">
            <v>Пельмени Бульмени с говядиной и свининой Горячая шт. 0,9 кг  ПОКОМ</v>
          </cell>
          <cell r="B24" t="str">
            <v>шт</v>
          </cell>
          <cell r="C24">
            <v>767</v>
          </cell>
          <cell r="E24">
            <v>219</v>
          </cell>
          <cell r="F24">
            <v>548</v>
          </cell>
          <cell r="G24">
            <v>0.9</v>
          </cell>
          <cell r="L24">
            <v>43.8</v>
          </cell>
          <cell r="M24">
            <v>109</v>
          </cell>
          <cell r="N24">
            <v>200</v>
          </cell>
          <cell r="O24">
            <v>200</v>
          </cell>
          <cell r="P24" t="str">
            <v>св,в связи с переходом к нам Туапсе</v>
          </cell>
          <cell r="Q24">
            <v>17.077625570776256</v>
          </cell>
          <cell r="R24">
            <v>12.511415525114156</v>
          </cell>
          <cell r="S24">
            <v>46</v>
          </cell>
          <cell r="T24">
            <v>21</v>
          </cell>
          <cell r="W24">
            <v>180</v>
          </cell>
          <cell r="X24">
            <v>180</v>
          </cell>
          <cell r="Y24">
            <v>8</v>
          </cell>
        </row>
        <row r="25">
          <cell r="A25" t="str">
            <v>Пельмени Бульмени с говядиной и свининой Горячая штучка 0,43  ПОКОМ</v>
          </cell>
          <cell r="B25" t="str">
            <v>шт</v>
          </cell>
          <cell r="C25">
            <v>973</v>
          </cell>
          <cell r="E25">
            <v>177</v>
          </cell>
          <cell r="F25">
            <v>778</v>
          </cell>
          <cell r="G25">
            <v>0.43</v>
          </cell>
          <cell r="L25">
            <v>35.4</v>
          </cell>
          <cell r="N25">
            <v>0</v>
          </cell>
          <cell r="P25" t="str">
            <v>св,в связи с переходом к нам Туапсе</v>
          </cell>
          <cell r="Q25">
            <v>21.977401129943505</v>
          </cell>
          <cell r="R25">
            <v>21.977401129943505</v>
          </cell>
          <cell r="S25">
            <v>28.8</v>
          </cell>
          <cell r="T25">
            <v>21.2</v>
          </cell>
          <cell r="W25">
            <v>0</v>
          </cell>
          <cell r="X25">
            <v>0</v>
          </cell>
          <cell r="Y25">
            <v>16</v>
          </cell>
        </row>
        <row r="26">
          <cell r="A26" t="str">
            <v>Пельмени Бульмени со сливочным маслом Горячая штучка 0,9 кг  ПОКОМ</v>
          </cell>
          <cell r="B26" t="str">
            <v>шт</v>
          </cell>
          <cell r="C26">
            <v>876</v>
          </cell>
          <cell r="E26">
            <v>229</v>
          </cell>
          <cell r="F26">
            <v>567</v>
          </cell>
          <cell r="G26">
            <v>0.9</v>
          </cell>
          <cell r="L26">
            <v>45.8</v>
          </cell>
          <cell r="M26">
            <v>120</v>
          </cell>
          <cell r="N26">
            <v>100</v>
          </cell>
          <cell r="O26">
            <v>100</v>
          </cell>
          <cell r="P26" t="str">
            <v>св,в связи с переходом к нам Туапсе</v>
          </cell>
          <cell r="Q26">
            <v>14.563318777292578</v>
          </cell>
          <cell r="R26">
            <v>12.379912663755459</v>
          </cell>
          <cell r="S26">
            <v>35.200000000000003</v>
          </cell>
          <cell r="T26">
            <v>18.2</v>
          </cell>
          <cell r="W26">
            <v>90</v>
          </cell>
          <cell r="X26">
            <v>90</v>
          </cell>
          <cell r="Y26">
            <v>8</v>
          </cell>
        </row>
        <row r="27">
          <cell r="A27" t="str">
            <v>Пельмени Бульмени со сливочным маслом ТМ Горячая шт. 0,43 кг  ПОКОМ</v>
          </cell>
          <cell r="B27" t="str">
            <v>шт</v>
          </cell>
          <cell r="C27">
            <v>1171</v>
          </cell>
          <cell r="E27">
            <v>137</v>
          </cell>
          <cell r="F27">
            <v>996</v>
          </cell>
          <cell r="G27">
            <v>0.43</v>
          </cell>
          <cell r="L27">
            <v>27.4</v>
          </cell>
          <cell r="N27">
            <v>0</v>
          </cell>
          <cell r="P27" t="str">
            <v>св,в связи с переходом к нам Туапсе</v>
          </cell>
          <cell r="Q27">
            <v>36.350364963503651</v>
          </cell>
          <cell r="R27">
            <v>36.350364963503651</v>
          </cell>
          <cell r="S27">
            <v>21.4</v>
          </cell>
          <cell r="T27">
            <v>18</v>
          </cell>
          <cell r="W27">
            <v>0</v>
          </cell>
          <cell r="X27">
            <v>0</v>
          </cell>
          <cell r="Y27">
            <v>16</v>
          </cell>
        </row>
        <row r="28">
          <cell r="A28" t="str">
            <v>Пельмени Мясорубские ТМ Стародворье фоупак равиоли 0,7 кг  ПОКОМ</v>
          </cell>
          <cell r="B28" t="str">
            <v>шт</v>
          </cell>
          <cell r="C28">
            <v>538</v>
          </cell>
          <cell r="D28">
            <v>1</v>
          </cell>
          <cell r="E28">
            <v>186</v>
          </cell>
          <cell r="F28">
            <v>304</v>
          </cell>
          <cell r="G28">
            <v>0.7</v>
          </cell>
          <cell r="L28">
            <v>37.200000000000003</v>
          </cell>
          <cell r="M28">
            <v>254</v>
          </cell>
          <cell r="N28">
            <v>300</v>
          </cell>
          <cell r="O28">
            <v>300</v>
          </cell>
          <cell r="P28" t="str">
            <v>св,в связи с переходом к нам Туапсе</v>
          </cell>
          <cell r="Q28">
            <v>16.236559139784944</v>
          </cell>
          <cell r="R28">
            <v>8.172043010752688</v>
          </cell>
          <cell r="S28">
            <v>29.2</v>
          </cell>
          <cell r="T28">
            <v>16.399999999999999</v>
          </cell>
          <cell r="W28">
            <v>210</v>
          </cell>
          <cell r="X28">
            <v>210</v>
          </cell>
          <cell r="Y28">
            <v>8</v>
          </cell>
        </row>
        <row r="29">
          <cell r="A29" t="str">
            <v>Пельмени Отборные из свинины и говядины 0,9 кг ТМ Стародворье ТС Медвежье ушко  ПОКОМ</v>
          </cell>
          <cell r="B29" t="str">
            <v>шт</v>
          </cell>
          <cell r="C29">
            <v>66</v>
          </cell>
          <cell r="E29">
            <v>69</v>
          </cell>
          <cell r="F29">
            <v>-52</v>
          </cell>
          <cell r="G29">
            <v>0.9</v>
          </cell>
          <cell r="L29">
            <v>13.8</v>
          </cell>
          <cell r="M29">
            <v>259</v>
          </cell>
          <cell r="N29">
            <v>400</v>
          </cell>
          <cell r="O29">
            <v>400</v>
          </cell>
          <cell r="P29" t="str">
            <v>св,в связи с переходом к нам Туапсе</v>
          </cell>
          <cell r="Q29">
            <v>25.217391304347824</v>
          </cell>
          <cell r="R29">
            <v>-3.7681159420289854</v>
          </cell>
          <cell r="S29">
            <v>7.2</v>
          </cell>
          <cell r="T29">
            <v>2</v>
          </cell>
          <cell r="W29">
            <v>360</v>
          </cell>
          <cell r="X29">
            <v>360</v>
          </cell>
          <cell r="Y29">
            <v>8</v>
          </cell>
        </row>
        <row r="30">
          <cell r="A30" t="str">
            <v>Пельмени Отборные с говядиной 0,43 кг ТМ Стародворье ТС Медвежье ушко</v>
          </cell>
          <cell r="B30" t="str">
            <v>шт</v>
          </cell>
          <cell r="C30">
            <v>120</v>
          </cell>
          <cell r="E30">
            <v>12</v>
          </cell>
          <cell r="F30">
            <v>108</v>
          </cell>
          <cell r="G30">
            <v>0.43</v>
          </cell>
          <cell r="L30">
            <v>2.4</v>
          </cell>
          <cell r="N30">
            <v>80</v>
          </cell>
          <cell r="O30">
            <v>100</v>
          </cell>
          <cell r="P30" t="str">
            <v>св,в связи с переходом к нам Туапсе</v>
          </cell>
          <cell r="Q30">
            <v>78.333333333333343</v>
          </cell>
          <cell r="R30">
            <v>45</v>
          </cell>
          <cell r="S30">
            <v>4</v>
          </cell>
          <cell r="T30">
            <v>2.8</v>
          </cell>
          <cell r="V30" t="str">
            <v>?????</v>
          </cell>
          <cell r="W30">
            <v>34.4</v>
          </cell>
          <cell r="X30">
            <v>43</v>
          </cell>
          <cell r="Y30">
            <v>16</v>
          </cell>
        </row>
        <row r="31">
          <cell r="A31" t="str">
            <v>Пельмени Отборные с говядиной 0,9 кг НОВА ТМ Стародворье ТС Медвежье ушко  ПОКОМ</v>
          </cell>
          <cell r="B31" t="str">
            <v>шт</v>
          </cell>
          <cell r="C31">
            <v>8</v>
          </cell>
          <cell r="E31">
            <v>8</v>
          </cell>
          <cell r="G31">
            <v>0.9</v>
          </cell>
          <cell r="L31">
            <v>1.6</v>
          </cell>
          <cell r="M31">
            <v>16</v>
          </cell>
          <cell r="N31">
            <v>200</v>
          </cell>
          <cell r="O31">
            <v>200</v>
          </cell>
          <cell r="P31" t="str">
            <v>св,в связи с переходом к нам Туапсе</v>
          </cell>
          <cell r="Q31">
            <v>125</v>
          </cell>
          <cell r="R31">
            <v>0</v>
          </cell>
          <cell r="S31">
            <v>0.8</v>
          </cell>
          <cell r="T31">
            <v>2.8</v>
          </cell>
          <cell r="V31" t="str">
            <v>?????</v>
          </cell>
          <cell r="W31">
            <v>180</v>
          </cell>
          <cell r="X31">
            <v>180</v>
          </cell>
          <cell r="Y31">
            <v>8</v>
          </cell>
        </row>
        <row r="32">
          <cell r="A32" t="str">
            <v>Пельмени Отборные с говядиной и свининой 0,43 кг ТМ Стародворье ТС Медвежье ушко</v>
          </cell>
          <cell r="B32" t="str">
            <v>шт</v>
          </cell>
          <cell r="C32">
            <v>177</v>
          </cell>
          <cell r="E32">
            <v>9</v>
          </cell>
          <cell r="F32">
            <v>168</v>
          </cell>
          <cell r="G32">
            <v>0.43</v>
          </cell>
          <cell r="L32">
            <v>1.8</v>
          </cell>
          <cell r="N32">
            <v>0</v>
          </cell>
          <cell r="P32" t="str">
            <v>св,в связи с переходом к нам Туапсе</v>
          </cell>
          <cell r="Q32">
            <v>93.333333333333329</v>
          </cell>
          <cell r="R32">
            <v>93.333333333333329</v>
          </cell>
          <cell r="S32">
            <v>3</v>
          </cell>
          <cell r="T32">
            <v>2.8</v>
          </cell>
          <cell r="V32" t="str">
            <v>?????</v>
          </cell>
          <cell r="W32">
            <v>0</v>
          </cell>
          <cell r="X32">
            <v>0</v>
          </cell>
          <cell r="Y32">
            <v>16</v>
          </cell>
        </row>
        <row r="33">
          <cell r="A33" t="str">
            <v>Пельмени Со свининой и говядиной ТМ Особый рецепт Любимая ложка 1,0 кг  ПОКОМ</v>
          </cell>
          <cell r="B33" t="str">
            <v>шт</v>
          </cell>
          <cell r="C33">
            <v>39</v>
          </cell>
          <cell r="E33">
            <v>31</v>
          </cell>
          <cell r="F33">
            <v>5</v>
          </cell>
          <cell r="G33">
            <v>1</v>
          </cell>
          <cell r="L33">
            <v>6.2</v>
          </cell>
          <cell r="M33">
            <v>63.2</v>
          </cell>
          <cell r="N33">
            <v>200</v>
          </cell>
          <cell r="O33">
            <v>300</v>
          </cell>
          <cell r="P33" t="str">
            <v>св,в связи с переходом к нам Туапсе</v>
          </cell>
          <cell r="Q33">
            <v>33.064516129032256</v>
          </cell>
          <cell r="R33">
            <v>0.80645161290322576</v>
          </cell>
          <cell r="S33">
            <v>11.6</v>
          </cell>
          <cell r="T33">
            <v>1.4</v>
          </cell>
          <cell r="W33">
            <v>200</v>
          </cell>
          <cell r="X33">
            <v>300</v>
          </cell>
          <cell r="Y33">
            <v>5</v>
          </cell>
        </row>
        <row r="34">
          <cell r="A34" t="str">
            <v>Сосиски Сливушки #нежнушки ТМ Вязанка  0,33 кг.  ПОКОМ</v>
          </cell>
          <cell r="B34" t="str">
            <v>шт</v>
          </cell>
          <cell r="C34">
            <v>5</v>
          </cell>
          <cell r="F34">
            <v>5</v>
          </cell>
          <cell r="G34">
            <v>0.33</v>
          </cell>
          <cell r="L34">
            <v>0</v>
          </cell>
          <cell r="N34">
            <v>30</v>
          </cell>
          <cell r="O34">
            <v>30</v>
          </cell>
          <cell r="P34" t="str">
            <v>св,в связи с переходом к нам Туапсе</v>
          </cell>
          <cell r="Q34" t="e">
            <v>#DIV/0!</v>
          </cell>
          <cell r="R34" t="e">
            <v>#DIV/0!</v>
          </cell>
          <cell r="S34">
            <v>0</v>
          </cell>
          <cell r="T34">
            <v>0</v>
          </cell>
          <cell r="W34">
            <v>9.9</v>
          </cell>
          <cell r="X34">
            <v>9.9</v>
          </cell>
          <cell r="Y34">
            <v>6</v>
          </cell>
        </row>
        <row r="35">
          <cell r="A35" t="str">
            <v>Фрайпицца с ветчиной и грибами 3,0 кг. ВЕС.  ПОКОМ</v>
          </cell>
          <cell r="B35" t="str">
            <v>кг</v>
          </cell>
          <cell r="G35">
            <v>1</v>
          </cell>
          <cell r="L35">
            <v>0</v>
          </cell>
          <cell r="M35">
            <v>50</v>
          </cell>
          <cell r="N35">
            <v>50</v>
          </cell>
          <cell r="Q35" t="e">
            <v>#DIV/0!</v>
          </cell>
          <cell r="R35" t="e">
            <v>#DIV/0!</v>
          </cell>
          <cell r="S35">
            <v>0</v>
          </cell>
          <cell r="T35">
            <v>0</v>
          </cell>
          <cell r="W35">
            <v>50</v>
          </cell>
          <cell r="X35">
            <v>0</v>
          </cell>
          <cell r="Y35">
            <v>3</v>
          </cell>
        </row>
        <row r="36">
          <cell r="A36" t="str">
            <v>Хотстеры ТМ Горячая штучка ТС Хотстеры 0,25 кг зам  ПОКОМ</v>
          </cell>
          <cell r="B36" t="str">
            <v>шт</v>
          </cell>
          <cell r="C36">
            <v>979</v>
          </cell>
          <cell r="E36">
            <v>319</v>
          </cell>
          <cell r="F36">
            <v>660</v>
          </cell>
          <cell r="G36">
            <v>0.25</v>
          </cell>
          <cell r="L36">
            <v>63.8</v>
          </cell>
          <cell r="M36">
            <v>297</v>
          </cell>
          <cell r="N36">
            <v>296</v>
          </cell>
          <cell r="Q36">
            <v>14.984326018808778</v>
          </cell>
          <cell r="R36">
            <v>10.344827586206897</v>
          </cell>
          <cell r="S36">
            <v>33</v>
          </cell>
          <cell r="T36">
            <v>22.4</v>
          </cell>
          <cell r="W36">
            <v>74</v>
          </cell>
          <cell r="X36">
            <v>0</v>
          </cell>
          <cell r="Y36">
            <v>12</v>
          </cell>
        </row>
        <row r="37">
          <cell r="A37" t="str">
            <v>Хрустящие крылышки острые к пиву ТМ Горячая штучка 0,3кг зам  ПОКОМ</v>
          </cell>
          <cell r="B37" t="str">
            <v>шт</v>
          </cell>
          <cell r="C37">
            <v>773</v>
          </cell>
          <cell r="E37">
            <v>152</v>
          </cell>
          <cell r="F37">
            <v>621</v>
          </cell>
          <cell r="G37">
            <v>0.3</v>
          </cell>
          <cell r="L37">
            <v>30.4</v>
          </cell>
          <cell r="N37">
            <v>0</v>
          </cell>
          <cell r="Q37">
            <v>20.42763157894737</v>
          </cell>
          <cell r="R37">
            <v>20.42763157894737</v>
          </cell>
          <cell r="S37">
            <v>25.6</v>
          </cell>
          <cell r="T37">
            <v>14.4</v>
          </cell>
          <cell r="W37">
            <v>0</v>
          </cell>
          <cell r="X37">
            <v>0</v>
          </cell>
          <cell r="Y37">
            <v>12</v>
          </cell>
        </row>
        <row r="38">
          <cell r="A38" t="str">
            <v>Хрустящие крылышки ТМ Горячая штучка 0,3 кг зам  ПОКОМ</v>
          </cell>
          <cell r="B38" t="str">
            <v>шт</v>
          </cell>
          <cell r="C38">
            <v>807</v>
          </cell>
          <cell r="E38">
            <v>172</v>
          </cell>
          <cell r="F38">
            <v>635</v>
          </cell>
          <cell r="G38">
            <v>0.3</v>
          </cell>
          <cell r="L38">
            <v>34.4</v>
          </cell>
          <cell r="N38">
            <v>0</v>
          </cell>
          <cell r="Q38">
            <v>18.459302325581397</v>
          </cell>
          <cell r="R38">
            <v>18.459302325581397</v>
          </cell>
          <cell r="S38">
            <v>25</v>
          </cell>
          <cell r="T38">
            <v>18</v>
          </cell>
          <cell r="W38">
            <v>0</v>
          </cell>
          <cell r="X38">
            <v>0</v>
          </cell>
          <cell r="Y38">
            <v>12</v>
          </cell>
        </row>
        <row r="39">
          <cell r="A39" t="str">
            <v>Хрустящие крылышки ТМ Зареченские ТС Зареченские продукты. ВЕС ПОКОМ</v>
          </cell>
          <cell r="B39" t="str">
            <v>кг</v>
          </cell>
          <cell r="E39">
            <v>3.6</v>
          </cell>
          <cell r="F39">
            <v>-3.6</v>
          </cell>
          <cell r="G39">
            <v>1</v>
          </cell>
          <cell r="L39">
            <v>0.72</v>
          </cell>
          <cell r="N39">
            <v>100</v>
          </cell>
          <cell r="O39">
            <v>200</v>
          </cell>
          <cell r="P39" t="str">
            <v>св,в связи с переходом к нам Туапсе</v>
          </cell>
          <cell r="Q39">
            <v>133.88888888888891</v>
          </cell>
          <cell r="R39">
            <v>-5</v>
          </cell>
          <cell r="S39">
            <v>0</v>
          </cell>
          <cell r="T39">
            <v>0</v>
          </cell>
          <cell r="V39" t="str">
            <v>?????</v>
          </cell>
          <cell r="W39">
            <v>100</v>
          </cell>
          <cell r="X39">
            <v>200</v>
          </cell>
          <cell r="Y39">
            <v>1.8</v>
          </cell>
        </row>
        <row r="40">
          <cell r="A40" t="str">
            <v>Хрустящие крылышки. В панировке куриные жареные.ВЕС  ПОКОМ</v>
          </cell>
          <cell r="B40" t="str">
            <v>кг</v>
          </cell>
          <cell r="C40">
            <v>5.4</v>
          </cell>
          <cell r="E40">
            <v>2.7</v>
          </cell>
          <cell r="F40">
            <v>2.7</v>
          </cell>
          <cell r="G40">
            <v>1</v>
          </cell>
          <cell r="L40">
            <v>0.54</v>
          </cell>
          <cell r="M40">
            <v>0</v>
          </cell>
          <cell r="N40">
            <v>0</v>
          </cell>
          <cell r="O40">
            <v>100</v>
          </cell>
          <cell r="P40" t="str">
            <v>св,в связи с переходом к нам Туапсе</v>
          </cell>
          <cell r="Q40">
            <v>5</v>
          </cell>
          <cell r="R40">
            <v>5</v>
          </cell>
          <cell r="S40">
            <v>0.72</v>
          </cell>
          <cell r="T40">
            <v>0</v>
          </cell>
          <cell r="V40" t="str">
            <v>устар.</v>
          </cell>
          <cell r="W40">
            <v>0</v>
          </cell>
          <cell r="X40">
            <v>100</v>
          </cell>
          <cell r="Y40">
            <v>1.8</v>
          </cell>
        </row>
        <row r="41">
          <cell r="A41" t="str">
            <v>Чебупай сочное яблоко ТМ Горячая штучка 0,2 кг зам.  ПОКОМ</v>
          </cell>
          <cell r="B41" t="str">
            <v>шт</v>
          </cell>
          <cell r="C41">
            <v>19</v>
          </cell>
          <cell r="D41">
            <v>2</v>
          </cell>
          <cell r="E41">
            <v>4</v>
          </cell>
          <cell r="F41">
            <v>15</v>
          </cell>
          <cell r="G41">
            <v>0.2</v>
          </cell>
          <cell r="L41">
            <v>0.8</v>
          </cell>
          <cell r="N41">
            <v>30</v>
          </cell>
          <cell r="O41">
            <v>30</v>
          </cell>
          <cell r="P41" t="str">
            <v>св,в связи с переходом к нам Туапсе</v>
          </cell>
          <cell r="Q41">
            <v>56.25</v>
          </cell>
          <cell r="R41">
            <v>18.75</v>
          </cell>
          <cell r="S41">
            <v>0</v>
          </cell>
          <cell r="T41">
            <v>0</v>
          </cell>
          <cell r="V41" t="str">
            <v>?????</v>
          </cell>
          <cell r="W41">
            <v>6</v>
          </cell>
          <cell r="X41">
            <v>6</v>
          </cell>
          <cell r="Y41">
            <v>6</v>
          </cell>
        </row>
        <row r="42">
          <cell r="A42" t="str">
            <v>Чебупай спелая вишня ТМ Горячая штучка 0,2 кг зам.  ПОКОМ</v>
          </cell>
          <cell r="B42" t="str">
            <v>шт</v>
          </cell>
          <cell r="C42">
            <v>9</v>
          </cell>
          <cell r="E42">
            <v>4</v>
          </cell>
          <cell r="F42">
            <v>1</v>
          </cell>
          <cell r="G42">
            <v>0.2</v>
          </cell>
          <cell r="L42">
            <v>0.8</v>
          </cell>
          <cell r="M42">
            <v>7.8000000000000007</v>
          </cell>
          <cell r="N42">
            <v>30</v>
          </cell>
          <cell r="O42">
            <v>30</v>
          </cell>
          <cell r="P42" t="str">
            <v>св,в связи с переходом к нам Туапсе</v>
          </cell>
          <cell r="Q42">
            <v>38.75</v>
          </cell>
          <cell r="R42">
            <v>1.25</v>
          </cell>
          <cell r="S42">
            <v>0.4</v>
          </cell>
          <cell r="T42">
            <v>0.6</v>
          </cell>
          <cell r="W42">
            <v>6</v>
          </cell>
          <cell r="X42">
            <v>6</v>
          </cell>
          <cell r="Y42">
            <v>6</v>
          </cell>
        </row>
        <row r="43">
          <cell r="A43" t="str">
            <v>Чебупели Курочка гриль ТМ Горячая штучка, 0,3 кг зам  ПОКОМ</v>
          </cell>
          <cell r="B43" t="str">
            <v>шт</v>
          </cell>
          <cell r="C43">
            <v>-5</v>
          </cell>
          <cell r="F43">
            <v>-5</v>
          </cell>
          <cell r="G43">
            <v>0.3</v>
          </cell>
          <cell r="L43">
            <v>0</v>
          </cell>
          <cell r="M43">
            <v>5</v>
          </cell>
          <cell r="N43">
            <v>1400</v>
          </cell>
          <cell r="O43">
            <v>2500</v>
          </cell>
          <cell r="P43" t="str">
            <v>Оптовик</v>
          </cell>
          <cell r="Q43" t="e">
            <v>#DIV/0!</v>
          </cell>
          <cell r="R43" t="e">
            <v>#DIV/0!</v>
          </cell>
          <cell r="S43">
            <v>24.2</v>
          </cell>
          <cell r="T43">
            <v>0.4</v>
          </cell>
          <cell r="W43">
            <v>420</v>
          </cell>
          <cell r="X43">
            <v>750</v>
          </cell>
          <cell r="Y43">
            <v>14</v>
          </cell>
        </row>
        <row r="44">
          <cell r="A44" t="str">
            <v>Чебупицца курочка по-итальянски Горячая штучка 0,25 кг зам  ПОКОМ</v>
          </cell>
          <cell r="B44" t="str">
            <v>шт</v>
          </cell>
          <cell r="C44">
            <v>590</v>
          </cell>
          <cell r="E44">
            <v>396</v>
          </cell>
          <cell r="F44">
            <v>194</v>
          </cell>
          <cell r="G44">
            <v>0.25</v>
          </cell>
          <cell r="L44">
            <v>79.2</v>
          </cell>
          <cell r="M44">
            <v>756.40000000000009</v>
          </cell>
          <cell r="N44">
            <v>960</v>
          </cell>
          <cell r="O44">
            <v>950</v>
          </cell>
          <cell r="P44" t="str">
            <v>св,в связи с переходом к нам Туапсе</v>
          </cell>
          <cell r="Q44">
            <v>14.570707070707071</v>
          </cell>
          <cell r="R44">
            <v>2.4494949494949494</v>
          </cell>
          <cell r="S44">
            <v>52.4</v>
          </cell>
          <cell r="T44">
            <v>19.2</v>
          </cell>
          <cell r="W44">
            <v>240</v>
          </cell>
          <cell r="X44">
            <v>237.5</v>
          </cell>
          <cell r="Y44">
            <v>12</v>
          </cell>
        </row>
        <row r="45">
          <cell r="A45" t="str">
            <v>Чебупицца Пепперони ТМ Горячая штучка ТС Чебупицца 0.25кг зам  ПОКОМ</v>
          </cell>
          <cell r="B45" t="str">
            <v>шт</v>
          </cell>
          <cell r="C45">
            <v>740</v>
          </cell>
          <cell r="E45">
            <v>402</v>
          </cell>
          <cell r="F45">
            <v>314</v>
          </cell>
          <cell r="G45">
            <v>0.25</v>
          </cell>
          <cell r="L45">
            <v>80.400000000000006</v>
          </cell>
          <cell r="M45">
            <v>811.60000000000014</v>
          </cell>
          <cell r="N45">
            <v>960</v>
          </cell>
          <cell r="O45">
            <v>1000</v>
          </cell>
          <cell r="P45" t="str">
            <v>св,в связи с переходом к нам Туапсе</v>
          </cell>
          <cell r="Q45">
            <v>15.845771144278606</v>
          </cell>
          <cell r="R45">
            <v>3.9054726368159201</v>
          </cell>
          <cell r="S45">
            <v>79.2</v>
          </cell>
          <cell r="T45">
            <v>22.4</v>
          </cell>
          <cell r="W45">
            <v>240</v>
          </cell>
          <cell r="X45">
            <v>250</v>
          </cell>
          <cell r="Y45">
            <v>12</v>
          </cell>
        </row>
        <row r="46">
          <cell r="A46" t="str">
            <v>Чебуречище ТМ Горячая штучка .0,14 кг зам. ПОКОМ</v>
          </cell>
          <cell r="B46" t="str">
            <v>шт</v>
          </cell>
          <cell r="C46">
            <v>94</v>
          </cell>
          <cell r="E46">
            <v>10</v>
          </cell>
          <cell r="F46">
            <v>18</v>
          </cell>
          <cell r="G46">
            <v>0.14000000000000001</v>
          </cell>
          <cell r="L46">
            <v>2</v>
          </cell>
          <cell r="M46">
            <v>12</v>
          </cell>
          <cell r="N46">
            <v>40</v>
          </cell>
          <cell r="O46">
            <v>40</v>
          </cell>
          <cell r="P46" t="str">
            <v>св,в связи с переходом к нам Туапсе</v>
          </cell>
          <cell r="Q46">
            <v>29</v>
          </cell>
          <cell r="R46">
            <v>9</v>
          </cell>
          <cell r="S46">
            <v>4.2</v>
          </cell>
          <cell r="T46">
            <v>17.2</v>
          </cell>
          <cell r="W46">
            <v>5.6000000000000005</v>
          </cell>
          <cell r="X46">
            <v>5.6000000000000005</v>
          </cell>
          <cell r="Y46">
            <v>22</v>
          </cell>
        </row>
        <row r="47">
          <cell r="A47" t="str">
            <v>БОНУС_Готовые чебупели сочные с мясом ТМ Горячая штучка  0,3кг зам    ПОКОМ</v>
          </cell>
          <cell r="B47" t="str">
            <v>шт</v>
          </cell>
          <cell r="C47">
            <v>-303</v>
          </cell>
          <cell r="D47">
            <v>1</v>
          </cell>
          <cell r="E47">
            <v>79</v>
          </cell>
          <cell r="F47">
            <v>-382</v>
          </cell>
          <cell r="G47">
            <v>0</v>
          </cell>
          <cell r="L47">
            <v>15.8</v>
          </cell>
          <cell r="N47">
            <v>0</v>
          </cell>
          <cell r="Q47">
            <v>-24.177215189873415</v>
          </cell>
          <cell r="R47">
            <v>-24.177215189873415</v>
          </cell>
          <cell r="S47">
            <v>17.600000000000001</v>
          </cell>
          <cell r="T47">
            <v>0.8</v>
          </cell>
          <cell r="W47">
            <v>0</v>
          </cell>
          <cell r="X47">
            <v>0</v>
          </cell>
          <cell r="Y47">
            <v>0</v>
          </cell>
        </row>
        <row r="48">
          <cell r="A48" t="str">
            <v>БОНУС_Пельмени Отборные из свинины и говядины 0,9 кг ТМ Стародворье ТС Медвежье ушко  ПОКОМ</v>
          </cell>
          <cell r="B48" t="str">
            <v>шт</v>
          </cell>
          <cell r="C48">
            <v>-49</v>
          </cell>
          <cell r="E48">
            <v>45</v>
          </cell>
          <cell r="F48">
            <v>-94</v>
          </cell>
          <cell r="G48">
            <v>0</v>
          </cell>
          <cell r="L48">
            <v>9</v>
          </cell>
          <cell r="N48">
            <v>0</v>
          </cell>
          <cell r="Q48">
            <v>-10.444444444444445</v>
          </cell>
          <cell r="R48">
            <v>-10.444444444444445</v>
          </cell>
          <cell r="S48">
            <v>10.6</v>
          </cell>
          <cell r="T48">
            <v>0.6</v>
          </cell>
          <cell r="W48">
            <v>0</v>
          </cell>
          <cell r="X48">
            <v>0</v>
          </cell>
          <cell r="Y48">
            <v>0</v>
          </cell>
        </row>
        <row r="49">
          <cell r="A49" t="str">
            <v>Чебуреки Мясные No name Весовые No name 2,7 кг</v>
          </cell>
          <cell r="B49" t="str">
            <v>кг</v>
          </cell>
          <cell r="G49">
            <v>1</v>
          </cell>
          <cell r="N49">
            <v>150</v>
          </cell>
          <cell r="O49">
            <v>300</v>
          </cell>
          <cell r="P49" t="str">
            <v>св,в связи с переходом к нам Туапсе</v>
          </cell>
          <cell r="W49">
            <v>150</v>
          </cell>
          <cell r="X49">
            <v>300</v>
          </cell>
          <cell r="Y49">
            <v>2.7</v>
          </cell>
        </row>
        <row r="50">
          <cell r="A50" t="str">
            <v>Чебуреки Чебуреки Сочные No Name Весовые No name 5 кг дистр</v>
          </cell>
          <cell r="B50" t="str">
            <v>кг</v>
          </cell>
          <cell r="G50">
            <v>1</v>
          </cell>
          <cell r="N50">
            <v>100</v>
          </cell>
          <cell r="O50">
            <v>200</v>
          </cell>
          <cell r="P50" t="str">
            <v>св,в связи с переходом к нам Туапсе</v>
          </cell>
          <cell r="W50">
            <v>100</v>
          </cell>
          <cell r="X50">
            <v>200</v>
          </cell>
          <cell r="Y50">
            <v>5</v>
          </cell>
        </row>
        <row r="51">
          <cell r="A51" t="str">
            <v>Чебуреки «Сочный мегачебурек» Весовой ТМ «No Name»</v>
          </cell>
          <cell r="B51" t="str">
            <v>кг</v>
          </cell>
          <cell r="G51">
            <v>1</v>
          </cell>
          <cell r="N51">
            <v>100</v>
          </cell>
          <cell r="O51">
            <v>200</v>
          </cell>
          <cell r="P51" t="str">
            <v>св,в связи с переходом к нам Туапсе</v>
          </cell>
          <cell r="W51">
            <v>100</v>
          </cell>
          <cell r="X51">
            <v>200</v>
          </cell>
          <cell r="Y51">
            <v>2.2400000000000002</v>
          </cell>
        </row>
        <row r="52">
          <cell r="A52" t="str">
            <v>Мини-сосиски в тесте Фрайпики No name Весовые No name 3,7 кг</v>
          </cell>
          <cell r="B52" t="str">
            <v>кг</v>
          </cell>
          <cell r="G52">
            <v>1</v>
          </cell>
          <cell r="N52">
            <v>150</v>
          </cell>
          <cell r="O52">
            <v>150</v>
          </cell>
          <cell r="P52" t="str">
            <v>св,в связи с переходом к нам Туапсе</v>
          </cell>
          <cell r="W52">
            <v>150</v>
          </cell>
          <cell r="X52">
            <v>150</v>
          </cell>
          <cell r="Y52">
            <v>3.7</v>
          </cell>
        </row>
        <row r="53">
          <cell r="A53" t="str">
            <v>«Жар-ладушки с клубникой и вишней» Весовые ТМ «No name»</v>
          </cell>
          <cell r="B53" t="str">
            <v>кг</v>
          </cell>
          <cell r="G53">
            <v>1</v>
          </cell>
          <cell r="N53">
            <v>100</v>
          </cell>
          <cell r="O53">
            <v>100</v>
          </cell>
          <cell r="P53" t="str">
            <v>св,в связи с переходом к нам Туапсе</v>
          </cell>
          <cell r="W53">
            <v>100</v>
          </cell>
          <cell r="X53">
            <v>100</v>
          </cell>
          <cell r="Y53">
            <v>3.7</v>
          </cell>
        </row>
        <row r="54">
          <cell r="A54" t="str">
            <v>Жар-ладушки с яблоком и грушей No name ПГП Весовые No name 3,7 кг</v>
          </cell>
          <cell r="B54" t="str">
            <v>кг</v>
          </cell>
          <cell r="G54">
            <v>1</v>
          </cell>
          <cell r="N54">
            <v>100</v>
          </cell>
          <cell r="O54">
            <v>100</v>
          </cell>
          <cell r="P54" t="str">
            <v>св,в связи с переходом к нам Туапсе</v>
          </cell>
          <cell r="W54">
            <v>100</v>
          </cell>
          <cell r="X54">
            <v>100</v>
          </cell>
          <cell r="Y54">
            <v>3.7</v>
          </cell>
        </row>
        <row r="55">
          <cell r="A55" t="str">
            <v>Чебупели с мясом без свинины Базовый ассортимент Фикс.вес 0,3 Лоток Горячая штучка</v>
          </cell>
          <cell r="B55" t="str">
            <v>шт</v>
          </cell>
          <cell r="G55">
            <v>0.3</v>
          </cell>
          <cell r="N55">
            <v>200</v>
          </cell>
          <cell r="O55">
            <v>200</v>
          </cell>
          <cell r="P55" t="str">
            <v>св,в связи с переходом к нам Туапсе</v>
          </cell>
          <cell r="W55">
            <v>60</v>
          </cell>
          <cell r="X55">
            <v>60</v>
          </cell>
          <cell r="Y55">
            <v>12</v>
          </cell>
        </row>
        <row r="56">
          <cell r="A56" t="str">
            <v>Жар-ладушки с мясом No name ПГП Весовые No name  3,7 кг</v>
          </cell>
          <cell r="B56" t="str">
            <v>кг</v>
          </cell>
          <cell r="G56">
            <v>1</v>
          </cell>
          <cell r="N56">
            <v>200</v>
          </cell>
          <cell r="O56">
            <v>200</v>
          </cell>
          <cell r="P56" t="str">
            <v>св,в связи с переходом к нам Туапсе</v>
          </cell>
          <cell r="W56">
            <v>200</v>
          </cell>
          <cell r="X56">
            <v>200</v>
          </cell>
          <cell r="Y56">
            <v>3.7</v>
          </cell>
        </row>
        <row r="57">
          <cell r="A57" t="str">
            <v>Пельмени Grandmeni с говядиной Grandmeni 0,75 Сфера Горячая штучка</v>
          </cell>
          <cell r="B57" t="str">
            <v>шт</v>
          </cell>
          <cell r="G57">
            <v>0.75</v>
          </cell>
          <cell r="N57">
            <v>100</v>
          </cell>
          <cell r="O57">
            <v>100</v>
          </cell>
          <cell r="P57" t="str">
            <v>св,в связи с переходом к нам Туапсе</v>
          </cell>
          <cell r="W57">
            <v>75</v>
          </cell>
          <cell r="X57">
            <v>75</v>
          </cell>
          <cell r="Y57">
            <v>8</v>
          </cell>
        </row>
        <row r="58">
          <cell r="A58" t="str">
            <v>Пельмени «Быстромени» Весовой ТМ «No Name» 5</v>
          </cell>
          <cell r="B58" t="str">
            <v>кг</v>
          </cell>
          <cell r="G58">
            <v>1</v>
          </cell>
          <cell r="N58">
            <v>50</v>
          </cell>
          <cell r="O58">
            <v>50</v>
          </cell>
          <cell r="P58" t="str">
            <v>св,в связи с переходом к нам Туапсе</v>
          </cell>
          <cell r="W58">
            <v>50</v>
          </cell>
          <cell r="X58">
            <v>50</v>
          </cell>
          <cell r="Y58">
            <v>5</v>
          </cell>
        </row>
        <row r="59">
          <cell r="A59" t="str">
            <v>Вареники Благолепные с картофелем и грибами No name Весовые Классическая форма No name 5 кг</v>
          </cell>
          <cell r="B59" t="str">
            <v>кг</v>
          </cell>
          <cell r="G59">
            <v>1</v>
          </cell>
          <cell r="N59">
            <v>30</v>
          </cell>
          <cell r="O59">
            <v>60</v>
          </cell>
          <cell r="P59" t="str">
            <v>св,в связи с переходом к нам Туапсе</v>
          </cell>
          <cell r="W59">
            <v>30</v>
          </cell>
          <cell r="X59">
            <v>60</v>
          </cell>
          <cell r="Y59">
            <v>5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A63"/>
  <sheetViews>
    <sheetView tabSelected="1" workbookViewId="0">
      <pane ySplit="5" topLeftCell="A6" activePane="bottomLeft" state="frozen"/>
      <selection pane="bottomLeft" activeCell="AB10" sqref="AB10"/>
    </sheetView>
  </sheetViews>
  <sheetFormatPr defaultColWidth="10.5" defaultRowHeight="11.45" customHeight="1" outlineLevelRow="1" x14ac:dyDescent="0.2"/>
  <cols>
    <col min="1" max="1" width="65.33203125" style="1" customWidth="1"/>
    <col min="2" max="2" width="4.33203125" style="1" customWidth="1"/>
    <col min="3" max="6" width="6.1640625" style="1" customWidth="1"/>
    <col min="7" max="7" width="5" style="19" customWidth="1"/>
    <col min="8" max="9" width="7.5" style="2" customWidth="1"/>
    <col min="10" max="11" width="0.83203125" style="2" customWidth="1"/>
    <col min="12" max="12" width="7.5" style="2" customWidth="1"/>
    <col min="13" max="15" width="8.6640625" style="2" customWidth="1"/>
    <col min="16" max="16" width="17.83203125" style="2" customWidth="1"/>
    <col min="17" max="18" width="6.33203125" style="2" customWidth="1"/>
    <col min="19" max="21" width="7.83203125" style="2" customWidth="1"/>
    <col min="22" max="22" width="36.6640625" style="2" customWidth="1"/>
    <col min="23" max="23" width="10.5" style="2"/>
    <col min="24" max="24" width="10.5" style="19"/>
    <col min="25" max="25" width="10.5" style="20"/>
    <col min="26" max="16384" width="10.5" style="2"/>
  </cols>
  <sheetData>
    <row r="1" spans="1:26" ht="12.95" customHeight="1" outlineLevel="1" x14ac:dyDescent="0.2">
      <c r="A1" s="3" t="s">
        <v>0</v>
      </c>
      <c r="B1" s="3"/>
      <c r="C1" s="3"/>
    </row>
    <row r="2" spans="1:26" ht="12.95" customHeight="1" outlineLevel="1" thickBot="1" x14ac:dyDescent="0.25">
      <c r="B2" s="3"/>
      <c r="C2" s="3"/>
    </row>
    <row r="3" spans="1:26" ht="26.1" customHeight="1" x14ac:dyDescent="0.2">
      <c r="A3" s="4" t="s">
        <v>1</v>
      </c>
      <c r="B3" s="4"/>
      <c r="C3" s="4" t="s">
        <v>2</v>
      </c>
      <c r="D3" s="4"/>
      <c r="E3" s="4"/>
      <c r="F3" s="4"/>
      <c r="G3" s="11" t="s">
        <v>66</v>
      </c>
      <c r="H3" s="12" t="s">
        <v>67</v>
      </c>
      <c r="I3" s="12" t="s">
        <v>68</v>
      </c>
      <c r="J3" s="12" t="s">
        <v>69</v>
      </c>
      <c r="K3" s="12" t="s">
        <v>69</v>
      </c>
      <c r="L3" s="12" t="s">
        <v>70</v>
      </c>
      <c r="M3" s="12" t="s">
        <v>69</v>
      </c>
      <c r="N3" s="46" t="s">
        <v>69</v>
      </c>
      <c r="O3" s="13" t="s">
        <v>71</v>
      </c>
      <c r="P3" s="14"/>
      <c r="Q3" s="12" t="s">
        <v>72</v>
      </c>
      <c r="R3" s="12" t="s">
        <v>73</v>
      </c>
      <c r="S3" s="15" t="s">
        <v>74</v>
      </c>
      <c r="T3" s="15" t="s">
        <v>75</v>
      </c>
      <c r="U3" s="15" t="s">
        <v>83</v>
      </c>
      <c r="V3" s="12" t="s">
        <v>76</v>
      </c>
      <c r="W3" s="12" t="s">
        <v>77</v>
      </c>
      <c r="X3" s="11"/>
      <c r="Y3" s="21" t="s">
        <v>78</v>
      </c>
      <c r="Z3" s="12" t="s">
        <v>79</v>
      </c>
    </row>
    <row r="4" spans="1:26" ht="26.1" customHeight="1" x14ac:dyDescent="0.2">
      <c r="A4" s="4" t="s">
        <v>3</v>
      </c>
      <c r="B4" s="4" t="s">
        <v>4</v>
      </c>
      <c r="C4" s="4" t="s">
        <v>5</v>
      </c>
      <c r="D4" s="4" t="s">
        <v>6</v>
      </c>
      <c r="E4" s="4" t="s">
        <v>7</v>
      </c>
      <c r="F4" s="4" t="s">
        <v>8</v>
      </c>
      <c r="G4" s="11"/>
      <c r="H4" s="12"/>
      <c r="I4" s="12"/>
      <c r="J4" s="15"/>
      <c r="K4" s="12"/>
      <c r="L4" s="12"/>
      <c r="M4" s="16"/>
      <c r="N4" s="47" t="s">
        <v>93</v>
      </c>
      <c r="O4" s="13" t="s">
        <v>80</v>
      </c>
      <c r="P4" s="14" t="s">
        <v>81</v>
      </c>
      <c r="Q4" s="12"/>
      <c r="R4" s="12"/>
      <c r="S4" s="12"/>
      <c r="T4" s="12"/>
      <c r="U4" s="12"/>
      <c r="V4" s="12"/>
      <c r="W4" s="12">
        <v>3679</v>
      </c>
      <c r="X4" s="11"/>
      <c r="Y4" s="21"/>
      <c r="Z4" s="12"/>
    </row>
    <row r="5" spans="1:26" ht="11.1" customHeight="1" x14ac:dyDescent="0.2">
      <c r="A5" s="5"/>
      <c r="B5" s="5"/>
      <c r="C5" s="6"/>
      <c r="D5" s="7"/>
      <c r="E5" s="17">
        <f t="shared" ref="E5:F5" si="0">SUM(E6:E105)</f>
        <v>3545.8999999999996</v>
      </c>
      <c r="F5" s="17">
        <f t="shared" si="0"/>
        <v>7481.0600000000013</v>
      </c>
      <c r="G5" s="11"/>
      <c r="H5" s="17">
        <f t="shared" ref="H5:M5" si="1">SUM(H6:H105)</f>
        <v>3605.3999999999996</v>
      </c>
      <c r="I5" s="17">
        <f t="shared" si="1"/>
        <v>-59.5</v>
      </c>
      <c r="J5" s="17">
        <f t="shared" si="1"/>
        <v>0</v>
      </c>
      <c r="K5" s="17">
        <f t="shared" si="1"/>
        <v>0</v>
      </c>
      <c r="L5" s="17">
        <f t="shared" si="1"/>
        <v>709.18</v>
      </c>
      <c r="M5" s="38">
        <f t="shared" si="1"/>
        <v>10256.700000000001</v>
      </c>
      <c r="N5" s="48">
        <f t="shared" ref="N5" si="2">SUM(N6:N105)</f>
        <v>13838.6</v>
      </c>
      <c r="O5" s="41">
        <f>SUM(O6:O58)</f>
        <v>9765</v>
      </c>
      <c r="P5" s="18"/>
      <c r="Q5" s="12"/>
      <c r="R5" s="12"/>
      <c r="S5" s="17">
        <f>SUM(S6:S105)</f>
        <v>873.46000000000026</v>
      </c>
      <c r="T5" s="17">
        <f>SUM(T6:T105)</f>
        <v>382.79999999999995</v>
      </c>
      <c r="U5" s="17">
        <f>SUM(U6:U105)</f>
        <v>1033.8599999999999</v>
      </c>
      <c r="V5" s="12"/>
      <c r="W5" s="17">
        <f>SUM(W6:W105)</f>
        <v>5136.6200000000008</v>
      </c>
      <c r="X5" s="11" t="s">
        <v>82</v>
      </c>
      <c r="Y5" s="22">
        <f>SUM(Y6:Y105)</f>
        <v>1357</v>
      </c>
      <c r="Z5" s="17">
        <f>SUM(Z6:Z105)</f>
        <v>5156.1000000000004</v>
      </c>
    </row>
    <row r="6" spans="1:26" ht="21.95" customHeight="1" outlineLevel="1" x14ac:dyDescent="0.2">
      <c r="A6" s="27" t="s">
        <v>13</v>
      </c>
      <c r="B6" s="8" t="s">
        <v>14</v>
      </c>
      <c r="C6" s="9">
        <v>25</v>
      </c>
      <c r="D6" s="9"/>
      <c r="E6" s="9">
        <v>10</v>
      </c>
      <c r="F6" s="9">
        <v>15</v>
      </c>
      <c r="G6" s="19">
        <v>1</v>
      </c>
      <c r="H6" s="2">
        <f>VLOOKUP(A6,[1]TDSheet!$A:$Q,4,0)</f>
        <v>10</v>
      </c>
      <c r="I6" s="2">
        <f>E6-H6</f>
        <v>0</v>
      </c>
      <c r="L6" s="2">
        <f>E6/5</f>
        <v>2</v>
      </c>
      <c r="M6" s="39">
        <f>25*L6-F6</f>
        <v>35</v>
      </c>
      <c r="N6" s="49">
        <v>50</v>
      </c>
      <c r="O6" s="42"/>
      <c r="Q6" s="2">
        <f>(N6+F6)/L6</f>
        <v>32.5</v>
      </c>
      <c r="R6" s="2">
        <f>F6/L6</f>
        <v>7.5</v>
      </c>
      <c r="S6" s="2">
        <v>0</v>
      </c>
      <c r="T6" s="2">
        <v>0</v>
      </c>
      <c r="U6" s="2">
        <v>0</v>
      </c>
      <c r="W6" s="2">
        <f>N6*G6</f>
        <v>50</v>
      </c>
      <c r="X6" s="19">
        <v>5</v>
      </c>
      <c r="Y6" s="20">
        <v>10</v>
      </c>
      <c r="Z6" s="2">
        <f>Y6*X6*G6</f>
        <v>50</v>
      </c>
    </row>
    <row r="7" spans="1:26" ht="11.1" customHeight="1" outlineLevel="1" x14ac:dyDescent="0.2">
      <c r="A7" s="8" t="s">
        <v>15</v>
      </c>
      <c r="B7" s="8" t="s">
        <v>10</v>
      </c>
      <c r="C7" s="9">
        <v>484</v>
      </c>
      <c r="D7" s="9">
        <v>1</v>
      </c>
      <c r="E7" s="9">
        <v>105</v>
      </c>
      <c r="F7" s="9">
        <v>337</v>
      </c>
      <c r="G7" s="19">
        <f>VLOOKUP(A7,[2]TDSheet!$A:$G,7,0)</f>
        <v>0.3</v>
      </c>
      <c r="H7" s="2">
        <f>VLOOKUP(A7,[1]TDSheet!$A:$Q,4,0)</f>
        <v>104</v>
      </c>
      <c r="I7" s="2">
        <f t="shared" ref="I7:I60" si="3">E7-H7</f>
        <v>1</v>
      </c>
      <c r="L7" s="2">
        <f t="shared" ref="L7:L60" si="4">E7/5</f>
        <v>21</v>
      </c>
      <c r="M7" s="39">
        <f t="shared" ref="M7:M12" si="5">25*L7-F7</f>
        <v>188</v>
      </c>
      <c r="N7" s="49">
        <f t="shared" ref="N7:N60" si="6">M7</f>
        <v>188</v>
      </c>
      <c r="O7" s="42"/>
      <c r="Q7" s="2">
        <f t="shared" ref="Q7:Q60" si="7">(N7+F7)/L7</f>
        <v>25</v>
      </c>
      <c r="R7" s="2">
        <f t="shared" ref="R7:R60" si="8">F7/L7</f>
        <v>16.047619047619047</v>
      </c>
      <c r="S7" s="2">
        <f>VLOOKUP(A7,[2]TDSheet!$A:$S,19,0)</f>
        <v>48.4</v>
      </c>
      <c r="T7" s="2">
        <f>VLOOKUP(A7,[2]TDSheet!$A:$T,20,0)</f>
        <v>9.6</v>
      </c>
      <c r="U7" s="2">
        <f>VLOOKUP(A7,[2]TDSheet!$A:$L,12,0)</f>
        <v>40.799999999999997</v>
      </c>
      <c r="W7" s="2">
        <f t="shared" ref="W7:W63" si="9">N7*G7</f>
        <v>56.4</v>
      </c>
      <c r="X7" s="19">
        <f>VLOOKUP(A7,[2]TDSheet!$A:$Y,25,0)</f>
        <v>12</v>
      </c>
      <c r="Y7" s="20">
        <v>16</v>
      </c>
      <c r="Z7" s="2">
        <f t="shared" ref="Z7:Z63" si="10">Y7*X7*G7</f>
        <v>57.599999999999994</v>
      </c>
    </row>
    <row r="8" spans="1:26" ht="11.1" customHeight="1" outlineLevel="1" x14ac:dyDescent="0.2">
      <c r="A8" s="8" t="s">
        <v>16</v>
      </c>
      <c r="B8" s="8" t="s">
        <v>10</v>
      </c>
      <c r="C8" s="9">
        <v>603</v>
      </c>
      <c r="D8" s="9"/>
      <c r="E8" s="9">
        <v>235</v>
      </c>
      <c r="F8" s="9">
        <v>299</v>
      </c>
      <c r="G8" s="19">
        <f>VLOOKUP(A8,[2]TDSheet!$A:$G,7,0)</f>
        <v>0.3</v>
      </c>
      <c r="H8" s="2">
        <f>VLOOKUP(A8,[1]TDSheet!$A:$Q,4,0)</f>
        <v>234</v>
      </c>
      <c r="I8" s="2">
        <f t="shared" si="3"/>
        <v>1</v>
      </c>
      <c r="L8" s="2">
        <f t="shared" si="4"/>
        <v>47</v>
      </c>
      <c r="M8" s="39">
        <f t="shared" si="5"/>
        <v>876</v>
      </c>
      <c r="N8" s="49">
        <v>1100</v>
      </c>
      <c r="O8" s="42"/>
      <c r="Q8" s="2">
        <f t="shared" si="7"/>
        <v>29.76595744680851</v>
      </c>
      <c r="R8" s="2">
        <f t="shared" si="8"/>
        <v>6.3617021276595747</v>
      </c>
      <c r="S8" s="2">
        <f>VLOOKUP(A8,[2]TDSheet!$A:$S,19,0)</f>
        <v>51.2</v>
      </c>
      <c r="T8" s="2">
        <f>VLOOKUP(A8,[2]TDSheet!$A:$T,20,0)</f>
        <v>20.6</v>
      </c>
      <c r="U8" s="2">
        <f>VLOOKUP(A8,[2]TDSheet!$A:$L,12,0)</f>
        <v>82.4</v>
      </c>
      <c r="W8" s="2">
        <f t="shared" si="9"/>
        <v>330</v>
      </c>
      <c r="X8" s="19">
        <f>VLOOKUP(A8,[2]TDSheet!$A:$Y,25,0)</f>
        <v>12</v>
      </c>
      <c r="Y8" s="20">
        <v>92</v>
      </c>
      <c r="Z8" s="2">
        <f t="shared" si="10"/>
        <v>331.2</v>
      </c>
    </row>
    <row r="9" spans="1:26" ht="11.1" customHeight="1" outlineLevel="1" x14ac:dyDescent="0.2">
      <c r="A9" s="8" t="s">
        <v>17</v>
      </c>
      <c r="B9" s="8" t="s">
        <v>10</v>
      </c>
      <c r="C9" s="9">
        <v>651</v>
      </c>
      <c r="D9" s="9">
        <v>1</v>
      </c>
      <c r="E9" s="9">
        <v>201</v>
      </c>
      <c r="F9" s="9">
        <v>376</v>
      </c>
      <c r="G9" s="19">
        <f>VLOOKUP(A9,[2]TDSheet!$A:$G,7,0)</f>
        <v>0.3</v>
      </c>
      <c r="H9" s="2">
        <f>VLOOKUP(A9,[1]TDSheet!$A:$Q,4,0)</f>
        <v>199</v>
      </c>
      <c r="I9" s="2">
        <f t="shared" si="3"/>
        <v>2</v>
      </c>
      <c r="L9" s="2">
        <f t="shared" si="4"/>
        <v>40.200000000000003</v>
      </c>
      <c r="M9" s="39">
        <f t="shared" si="5"/>
        <v>629.00000000000011</v>
      </c>
      <c r="N9" s="49">
        <v>850</v>
      </c>
      <c r="O9" s="42"/>
      <c r="Q9" s="2">
        <f t="shared" si="7"/>
        <v>30.497512437810943</v>
      </c>
      <c r="R9" s="2">
        <f t="shared" si="8"/>
        <v>9.3532338308457703</v>
      </c>
      <c r="S9" s="2">
        <f>VLOOKUP(A9,[2]TDSheet!$A:$S,19,0)</f>
        <v>49.8</v>
      </c>
      <c r="T9" s="2">
        <f>VLOOKUP(A9,[2]TDSheet!$A:$T,20,0)</f>
        <v>18.2</v>
      </c>
      <c r="U9" s="2">
        <f>VLOOKUP(A9,[2]TDSheet!$A:$L,12,0)</f>
        <v>73.599999999999994</v>
      </c>
      <c r="W9" s="2">
        <f t="shared" si="9"/>
        <v>255</v>
      </c>
      <c r="X9" s="19">
        <f>VLOOKUP(A9,[2]TDSheet!$A:$Y,25,0)</f>
        <v>12</v>
      </c>
      <c r="Y9" s="20">
        <v>71</v>
      </c>
      <c r="Z9" s="2">
        <f t="shared" si="10"/>
        <v>255.6</v>
      </c>
    </row>
    <row r="10" spans="1:26" ht="11.1" customHeight="1" outlineLevel="1" x14ac:dyDescent="0.2">
      <c r="A10" s="27" t="s">
        <v>18</v>
      </c>
      <c r="B10" s="8" t="s">
        <v>10</v>
      </c>
      <c r="C10" s="9">
        <v>170</v>
      </c>
      <c r="D10" s="9"/>
      <c r="E10" s="9">
        <v>29</v>
      </c>
      <c r="F10" s="9">
        <v>132</v>
      </c>
      <c r="G10" s="19">
        <v>0.3</v>
      </c>
      <c r="H10" s="2">
        <f>VLOOKUP(A10,[1]TDSheet!$A:$Q,4,0)</f>
        <v>29</v>
      </c>
      <c r="I10" s="2">
        <f t="shared" si="3"/>
        <v>0</v>
      </c>
      <c r="L10" s="2">
        <f t="shared" si="4"/>
        <v>5.8</v>
      </c>
      <c r="M10" s="39">
        <f t="shared" si="5"/>
        <v>13</v>
      </c>
      <c r="N10" s="49">
        <f t="shared" si="6"/>
        <v>13</v>
      </c>
      <c r="O10" s="42"/>
      <c r="Q10" s="2">
        <f t="shared" si="7"/>
        <v>25</v>
      </c>
      <c r="R10" s="2">
        <f t="shared" si="8"/>
        <v>22.758620689655174</v>
      </c>
      <c r="S10" s="2">
        <v>0</v>
      </c>
      <c r="T10" s="2">
        <v>0</v>
      </c>
      <c r="U10" s="2">
        <v>0</v>
      </c>
      <c r="W10" s="2">
        <f t="shared" si="9"/>
        <v>3.9</v>
      </c>
      <c r="X10" s="19">
        <v>12</v>
      </c>
      <c r="Y10" s="20">
        <v>1</v>
      </c>
      <c r="Z10" s="2">
        <f t="shared" si="10"/>
        <v>3.5999999999999996</v>
      </c>
    </row>
    <row r="11" spans="1:26" ht="11.1" customHeight="1" outlineLevel="1" x14ac:dyDescent="0.2">
      <c r="A11" s="8" t="s">
        <v>19</v>
      </c>
      <c r="B11" s="8" t="s">
        <v>10</v>
      </c>
      <c r="C11" s="9">
        <v>1631</v>
      </c>
      <c r="D11" s="9">
        <v>1</v>
      </c>
      <c r="E11" s="9">
        <v>203</v>
      </c>
      <c r="F11" s="30">
        <f>1329+F58</f>
        <v>822</v>
      </c>
      <c r="G11" s="19">
        <f>VLOOKUP(A11,[2]TDSheet!$A:$G,7,0)</f>
        <v>0.3</v>
      </c>
      <c r="H11" s="2">
        <f>VLOOKUP(A11,[1]TDSheet!$A:$Q,4,0)</f>
        <v>201</v>
      </c>
      <c r="I11" s="2">
        <f t="shared" si="3"/>
        <v>2</v>
      </c>
      <c r="L11" s="2">
        <f t="shared" si="4"/>
        <v>40.6</v>
      </c>
      <c r="M11" s="39">
        <f t="shared" si="5"/>
        <v>193</v>
      </c>
      <c r="N11" s="49">
        <f t="shared" si="6"/>
        <v>193</v>
      </c>
      <c r="O11" s="42"/>
      <c r="Q11" s="2">
        <f t="shared" si="7"/>
        <v>25</v>
      </c>
      <c r="R11" s="2">
        <f t="shared" si="8"/>
        <v>20.24630541871921</v>
      </c>
      <c r="S11" s="2">
        <f>VLOOKUP(A11,[2]TDSheet!$A:$S,19,0)</f>
        <v>59.2</v>
      </c>
      <c r="T11" s="2">
        <f>VLOOKUP(A11,[2]TDSheet!$A:$T,20,0)</f>
        <v>18.600000000000001</v>
      </c>
      <c r="U11" s="2">
        <f>VLOOKUP(A11,[2]TDSheet!$A:$L,12,0)</f>
        <v>97.2</v>
      </c>
      <c r="W11" s="2">
        <f t="shared" si="9"/>
        <v>57.9</v>
      </c>
      <c r="X11" s="19">
        <f>VLOOKUP(A11,[2]TDSheet!$A:$Y,25,0)</f>
        <v>12</v>
      </c>
      <c r="Y11" s="20">
        <v>16</v>
      </c>
      <c r="Z11" s="2">
        <f t="shared" si="10"/>
        <v>57.599999999999994</v>
      </c>
    </row>
    <row r="12" spans="1:26" ht="11.1" customHeight="1" outlineLevel="1" x14ac:dyDescent="0.2">
      <c r="A12" s="8" t="s">
        <v>20</v>
      </c>
      <c r="B12" s="8" t="s">
        <v>10</v>
      </c>
      <c r="C12" s="9">
        <v>37</v>
      </c>
      <c r="D12" s="9"/>
      <c r="E12" s="9">
        <v>12</v>
      </c>
      <c r="F12" s="9">
        <v>25</v>
      </c>
      <c r="G12" s="19">
        <f>VLOOKUP(A12,[2]TDSheet!$A:$G,7,0)</f>
        <v>0.09</v>
      </c>
      <c r="H12" s="2">
        <f>VLOOKUP(A12,[1]TDSheet!$A:$Q,4,0)</f>
        <v>21</v>
      </c>
      <c r="I12" s="2">
        <f t="shared" si="3"/>
        <v>-9</v>
      </c>
      <c r="L12" s="2">
        <f t="shared" si="4"/>
        <v>2.4</v>
      </c>
      <c r="M12" s="39">
        <f t="shared" si="5"/>
        <v>35</v>
      </c>
      <c r="N12" s="50">
        <v>48</v>
      </c>
      <c r="O12" s="42">
        <v>50</v>
      </c>
      <c r="P12" s="2" t="s">
        <v>91</v>
      </c>
      <c r="Q12" s="2">
        <f t="shared" si="7"/>
        <v>30.416666666666668</v>
      </c>
      <c r="R12" s="2">
        <f t="shared" si="8"/>
        <v>10.416666666666668</v>
      </c>
      <c r="S12" s="2">
        <f>VLOOKUP(A12,[2]TDSheet!$A:$S,19,0)</f>
        <v>0</v>
      </c>
      <c r="T12" s="2">
        <f>VLOOKUP(A12,[2]TDSheet!$A:$T,20,0)</f>
        <v>13.6</v>
      </c>
      <c r="U12" s="2">
        <f>VLOOKUP(A12,[2]TDSheet!$A:$L,12,0)</f>
        <v>0</v>
      </c>
      <c r="W12" s="2">
        <f t="shared" si="9"/>
        <v>4.32</v>
      </c>
      <c r="X12" s="19">
        <f>VLOOKUP(A12,[2]TDSheet!$A:$Y,25,0)</f>
        <v>24</v>
      </c>
      <c r="Y12" s="20">
        <v>2</v>
      </c>
      <c r="Z12" s="2">
        <f t="shared" si="10"/>
        <v>4.32</v>
      </c>
    </row>
    <row r="13" spans="1:26" ht="11.1" customHeight="1" outlineLevel="1" x14ac:dyDescent="0.2">
      <c r="A13" s="8" t="s">
        <v>21</v>
      </c>
      <c r="B13" s="8" t="s">
        <v>14</v>
      </c>
      <c r="C13" s="9">
        <v>98.56</v>
      </c>
      <c r="D13" s="9"/>
      <c r="E13" s="9"/>
      <c r="F13" s="9">
        <v>98.56</v>
      </c>
      <c r="G13" s="19">
        <v>1</v>
      </c>
      <c r="I13" s="2">
        <f t="shared" si="3"/>
        <v>0</v>
      </c>
      <c r="L13" s="2">
        <f t="shared" si="4"/>
        <v>0</v>
      </c>
      <c r="M13" s="39"/>
      <c r="N13" s="49">
        <f t="shared" si="6"/>
        <v>0</v>
      </c>
      <c r="O13" s="42"/>
      <c r="Q13" s="2" t="e">
        <f t="shared" si="7"/>
        <v>#DIV/0!</v>
      </c>
      <c r="R13" s="2" t="e">
        <f t="shared" si="8"/>
        <v>#DIV/0!</v>
      </c>
      <c r="S13" s="2">
        <v>0</v>
      </c>
      <c r="T13" s="2">
        <v>0</v>
      </c>
      <c r="U13" s="2">
        <v>0</v>
      </c>
      <c r="W13" s="2">
        <f t="shared" si="9"/>
        <v>0</v>
      </c>
      <c r="X13" s="19">
        <v>2.2400000000000002</v>
      </c>
      <c r="Y13" s="20">
        <f t="shared" ref="Y13:Y56" si="11">N13/X13</f>
        <v>0</v>
      </c>
      <c r="Z13" s="2">
        <f t="shared" si="10"/>
        <v>0</v>
      </c>
    </row>
    <row r="14" spans="1:26" ht="11.1" customHeight="1" outlineLevel="1" x14ac:dyDescent="0.2">
      <c r="A14" s="8" t="s">
        <v>22</v>
      </c>
      <c r="B14" s="8" t="s">
        <v>14</v>
      </c>
      <c r="C14" s="9">
        <v>180</v>
      </c>
      <c r="D14" s="9"/>
      <c r="E14" s="9">
        <v>12</v>
      </c>
      <c r="F14" s="9">
        <v>168</v>
      </c>
      <c r="G14" s="19">
        <f>VLOOKUP(A14,[2]TDSheet!$A:$G,7,0)</f>
        <v>1</v>
      </c>
      <c r="H14" s="2">
        <f>VLOOKUP(A14,[1]TDSheet!$A:$Q,4,0)</f>
        <v>12</v>
      </c>
      <c r="I14" s="2">
        <f t="shared" si="3"/>
        <v>0</v>
      </c>
      <c r="L14" s="2">
        <f t="shared" si="4"/>
        <v>2.4</v>
      </c>
      <c r="M14" s="39"/>
      <c r="N14" s="49">
        <f t="shared" si="6"/>
        <v>0</v>
      </c>
      <c r="O14" s="42"/>
      <c r="Q14" s="2">
        <f t="shared" si="7"/>
        <v>70</v>
      </c>
      <c r="R14" s="2">
        <f t="shared" si="8"/>
        <v>70</v>
      </c>
      <c r="S14" s="2">
        <f>VLOOKUP(A14,[2]TDSheet!$A:$S,19,0)</f>
        <v>0.6</v>
      </c>
      <c r="T14" s="2">
        <f>VLOOKUP(A14,[2]TDSheet!$A:$T,20,0)</f>
        <v>0</v>
      </c>
      <c r="U14" s="2">
        <f>VLOOKUP(A14,[2]TDSheet!$A:$L,12,0)</f>
        <v>0</v>
      </c>
      <c r="W14" s="2">
        <f t="shared" si="9"/>
        <v>0</v>
      </c>
      <c r="X14" s="19">
        <f>VLOOKUP(A14,[2]TDSheet!$A:$Y,25,0)</f>
        <v>3</v>
      </c>
      <c r="Y14" s="20">
        <f t="shared" si="11"/>
        <v>0</v>
      </c>
      <c r="Z14" s="2">
        <f t="shared" si="10"/>
        <v>0</v>
      </c>
    </row>
    <row r="15" spans="1:26" ht="11.1" customHeight="1" outlineLevel="1" x14ac:dyDescent="0.2">
      <c r="A15" s="8" t="s">
        <v>23</v>
      </c>
      <c r="B15" s="8" t="s">
        <v>14</v>
      </c>
      <c r="C15" s="9">
        <v>155.4</v>
      </c>
      <c r="D15" s="9"/>
      <c r="E15" s="9">
        <v>7.4</v>
      </c>
      <c r="F15" s="9">
        <v>140.6</v>
      </c>
      <c r="G15" s="19">
        <v>1</v>
      </c>
      <c r="H15" s="2">
        <f>VLOOKUP(A15,[1]TDSheet!$A:$Q,4,0)</f>
        <v>7.4</v>
      </c>
      <c r="I15" s="2">
        <f t="shared" si="3"/>
        <v>0</v>
      </c>
      <c r="L15" s="2">
        <f t="shared" si="4"/>
        <v>1.48</v>
      </c>
      <c r="M15" s="39"/>
      <c r="N15" s="49">
        <f t="shared" si="6"/>
        <v>0</v>
      </c>
      <c r="O15" s="42"/>
      <c r="Q15" s="2">
        <f t="shared" si="7"/>
        <v>95</v>
      </c>
      <c r="R15" s="2">
        <f t="shared" si="8"/>
        <v>95</v>
      </c>
      <c r="S15" s="2">
        <v>0</v>
      </c>
      <c r="T15" s="2">
        <v>0</v>
      </c>
      <c r="U15" s="2">
        <v>0</v>
      </c>
      <c r="W15" s="2">
        <f t="shared" si="9"/>
        <v>0</v>
      </c>
      <c r="X15" s="19">
        <v>3.7</v>
      </c>
      <c r="Y15" s="20">
        <f t="shared" si="11"/>
        <v>0</v>
      </c>
      <c r="Z15" s="2">
        <f t="shared" si="10"/>
        <v>0</v>
      </c>
    </row>
    <row r="16" spans="1:26" ht="11.1" customHeight="1" outlineLevel="1" x14ac:dyDescent="0.2">
      <c r="A16" s="8" t="s">
        <v>24</v>
      </c>
      <c r="B16" s="8" t="s">
        <v>14</v>
      </c>
      <c r="C16" s="9">
        <v>29.6</v>
      </c>
      <c r="D16" s="9"/>
      <c r="E16" s="9"/>
      <c r="F16" s="9">
        <v>29.6</v>
      </c>
      <c r="G16" s="19">
        <v>1</v>
      </c>
      <c r="I16" s="2">
        <f t="shared" si="3"/>
        <v>0</v>
      </c>
      <c r="L16" s="2">
        <f t="shared" si="4"/>
        <v>0</v>
      </c>
      <c r="M16" s="39"/>
      <c r="N16" s="49">
        <f t="shared" si="6"/>
        <v>0</v>
      </c>
      <c r="O16" s="42"/>
      <c r="Q16" s="2" t="e">
        <f t="shared" si="7"/>
        <v>#DIV/0!</v>
      </c>
      <c r="R16" s="2" t="e">
        <f t="shared" si="8"/>
        <v>#DIV/0!</v>
      </c>
      <c r="S16" s="2">
        <v>0</v>
      </c>
      <c r="T16" s="2">
        <v>0</v>
      </c>
      <c r="U16" s="2">
        <v>0</v>
      </c>
      <c r="W16" s="2">
        <f t="shared" si="9"/>
        <v>0</v>
      </c>
      <c r="X16" s="19">
        <v>3.7</v>
      </c>
      <c r="Y16" s="20">
        <f t="shared" si="11"/>
        <v>0</v>
      </c>
      <c r="Z16" s="2">
        <f t="shared" si="10"/>
        <v>0</v>
      </c>
    </row>
    <row r="17" spans="1:27" ht="11.1" customHeight="1" outlineLevel="1" x14ac:dyDescent="0.2">
      <c r="A17" s="24" t="s">
        <v>25</v>
      </c>
      <c r="B17" s="24" t="s">
        <v>14</v>
      </c>
      <c r="C17" s="25">
        <v>-16.5</v>
      </c>
      <c r="D17" s="25"/>
      <c r="E17" s="25"/>
      <c r="F17" s="29">
        <v>-16.5</v>
      </c>
      <c r="G17" s="26">
        <v>0</v>
      </c>
      <c r="I17" s="2">
        <f t="shared" si="3"/>
        <v>0</v>
      </c>
      <c r="L17" s="2">
        <f t="shared" si="4"/>
        <v>0</v>
      </c>
      <c r="M17" s="39"/>
      <c r="N17" s="49">
        <f t="shared" si="6"/>
        <v>0</v>
      </c>
      <c r="O17" s="42"/>
      <c r="Q17" s="2" t="e">
        <f t="shared" si="7"/>
        <v>#DIV/0!</v>
      </c>
      <c r="R17" s="2" t="e">
        <f t="shared" si="8"/>
        <v>#DIV/0!</v>
      </c>
      <c r="S17" s="2">
        <f>VLOOKUP(A17,[2]TDSheet!$A:$S,19,0)</f>
        <v>0</v>
      </c>
      <c r="T17" s="2">
        <f>VLOOKUP(A17,[2]TDSheet!$A:$T,20,0)</f>
        <v>0</v>
      </c>
      <c r="U17" s="2">
        <f>VLOOKUP(A17,[2]TDSheet!$A:$L,12,0)</f>
        <v>2.2000000000000002</v>
      </c>
      <c r="V17" s="23" t="s">
        <v>84</v>
      </c>
      <c r="W17" s="2">
        <f t="shared" si="9"/>
        <v>0</v>
      </c>
      <c r="X17" s="19">
        <f>VLOOKUP(A17,[2]TDSheet!$A:$Y,25,0)</f>
        <v>5.5</v>
      </c>
      <c r="Y17" s="20">
        <f t="shared" si="11"/>
        <v>0</v>
      </c>
      <c r="Z17" s="2">
        <f t="shared" si="10"/>
        <v>0</v>
      </c>
    </row>
    <row r="18" spans="1:27" ht="11.1" customHeight="1" outlineLevel="1" x14ac:dyDescent="0.2">
      <c r="A18" s="8" t="s">
        <v>26</v>
      </c>
      <c r="B18" s="8" t="s">
        <v>10</v>
      </c>
      <c r="C18" s="9">
        <v>469</v>
      </c>
      <c r="D18" s="9">
        <v>1</v>
      </c>
      <c r="E18" s="9">
        <v>112</v>
      </c>
      <c r="F18" s="9">
        <v>311</v>
      </c>
      <c r="G18" s="19">
        <f>VLOOKUP(A18,[2]TDSheet!$A:$G,7,0)</f>
        <v>0.25</v>
      </c>
      <c r="H18" s="2">
        <f>VLOOKUP(A18,[1]TDSheet!$A:$Q,4,0)</f>
        <v>108</v>
      </c>
      <c r="I18" s="2">
        <f t="shared" si="3"/>
        <v>4</v>
      </c>
      <c r="L18" s="2">
        <f t="shared" si="4"/>
        <v>22.4</v>
      </c>
      <c r="M18" s="39">
        <f t="shared" ref="M18:M46" si="12">25*L18-F18</f>
        <v>249</v>
      </c>
      <c r="N18" s="49">
        <f t="shared" si="6"/>
        <v>249</v>
      </c>
      <c r="O18" s="42"/>
      <c r="Q18" s="2">
        <f t="shared" si="7"/>
        <v>25</v>
      </c>
      <c r="R18" s="2">
        <f t="shared" si="8"/>
        <v>13.883928571428573</v>
      </c>
      <c r="S18" s="2">
        <f>VLOOKUP(A18,[2]TDSheet!$A:$S,19,0)</f>
        <v>43.4</v>
      </c>
      <c r="T18" s="2">
        <f>VLOOKUP(A18,[2]TDSheet!$A:$T,20,0)</f>
        <v>16.600000000000001</v>
      </c>
      <c r="U18" s="2">
        <f>VLOOKUP(A18,[2]TDSheet!$A:$L,12,0)</f>
        <v>43.2</v>
      </c>
      <c r="W18" s="2">
        <f t="shared" si="9"/>
        <v>62.25</v>
      </c>
      <c r="X18" s="19">
        <f>VLOOKUP(A18,[2]TDSheet!$A:$Y,25,0)</f>
        <v>12</v>
      </c>
      <c r="Y18" s="20">
        <v>21</v>
      </c>
      <c r="Z18" s="2">
        <f t="shared" si="10"/>
        <v>63</v>
      </c>
    </row>
    <row r="19" spans="1:27" ht="11.1" customHeight="1" outlineLevel="1" x14ac:dyDescent="0.2">
      <c r="A19" s="8" t="s">
        <v>27</v>
      </c>
      <c r="B19" s="8" t="s">
        <v>10</v>
      </c>
      <c r="C19" s="9">
        <v>339</v>
      </c>
      <c r="D19" s="9">
        <v>1</v>
      </c>
      <c r="E19" s="9">
        <v>111</v>
      </c>
      <c r="F19" s="9">
        <v>173</v>
      </c>
      <c r="G19" s="19">
        <f>VLOOKUP(A19,[2]TDSheet!$A:$G,7,0)</f>
        <v>0.25</v>
      </c>
      <c r="H19" s="2">
        <f>VLOOKUP(A19,[1]TDSheet!$A:$Q,4,0)</f>
        <v>107</v>
      </c>
      <c r="I19" s="2">
        <f t="shared" si="3"/>
        <v>4</v>
      </c>
      <c r="L19" s="2">
        <f t="shared" si="4"/>
        <v>22.2</v>
      </c>
      <c r="M19" s="39">
        <f t="shared" si="12"/>
        <v>382</v>
      </c>
      <c r="N19" s="51">
        <v>400</v>
      </c>
      <c r="O19" s="42">
        <v>400</v>
      </c>
      <c r="P19" s="2" t="s">
        <v>91</v>
      </c>
      <c r="Q19" s="2">
        <f t="shared" si="7"/>
        <v>25.810810810810811</v>
      </c>
      <c r="R19" s="2">
        <f t="shared" si="8"/>
        <v>7.7927927927927927</v>
      </c>
      <c r="S19" s="2">
        <f>VLOOKUP(A19,[2]TDSheet!$A:$S,19,0)</f>
        <v>39.200000000000003</v>
      </c>
      <c r="T19" s="2">
        <f>VLOOKUP(A19,[2]TDSheet!$A:$T,20,0)</f>
        <v>12</v>
      </c>
      <c r="U19" s="2">
        <f>VLOOKUP(A19,[2]TDSheet!$A:$L,12,0)</f>
        <v>32.799999999999997</v>
      </c>
      <c r="W19" s="2">
        <f t="shared" si="9"/>
        <v>100</v>
      </c>
      <c r="X19" s="19">
        <f>VLOOKUP(A19,[2]TDSheet!$A:$Y,25,0)</f>
        <v>12</v>
      </c>
      <c r="Y19" s="20">
        <v>34</v>
      </c>
      <c r="Z19" s="2">
        <f t="shared" si="10"/>
        <v>102</v>
      </c>
    </row>
    <row r="20" spans="1:27" ht="11.1" customHeight="1" outlineLevel="1" x14ac:dyDescent="0.2">
      <c r="A20" s="8" t="s">
        <v>28</v>
      </c>
      <c r="B20" s="8" t="s">
        <v>14</v>
      </c>
      <c r="C20" s="9">
        <v>118.4</v>
      </c>
      <c r="D20" s="9"/>
      <c r="E20" s="9">
        <v>3.7</v>
      </c>
      <c r="F20" s="9">
        <v>111</v>
      </c>
      <c r="G20" s="19">
        <v>1</v>
      </c>
      <c r="H20" s="2">
        <f>VLOOKUP(A20,[1]TDSheet!$A:$Q,4,0)</f>
        <v>3.7</v>
      </c>
      <c r="I20" s="2">
        <f t="shared" si="3"/>
        <v>0</v>
      </c>
      <c r="L20" s="2">
        <f t="shared" si="4"/>
        <v>0.74</v>
      </c>
      <c r="M20" s="39"/>
      <c r="N20" s="49">
        <f t="shared" si="6"/>
        <v>0</v>
      </c>
      <c r="O20" s="42"/>
      <c r="Q20" s="2">
        <f t="shared" si="7"/>
        <v>150</v>
      </c>
      <c r="R20" s="2">
        <f t="shared" si="8"/>
        <v>150</v>
      </c>
      <c r="S20" s="2">
        <v>0</v>
      </c>
      <c r="T20" s="2">
        <v>0</v>
      </c>
      <c r="U20" s="2">
        <v>0</v>
      </c>
      <c r="W20" s="2">
        <f t="shared" si="9"/>
        <v>0</v>
      </c>
      <c r="X20" s="19">
        <v>3.7</v>
      </c>
      <c r="Y20" s="20">
        <f t="shared" si="11"/>
        <v>0</v>
      </c>
      <c r="Z20" s="2">
        <f t="shared" si="10"/>
        <v>0</v>
      </c>
    </row>
    <row r="21" spans="1:27" ht="33.75" outlineLevel="1" x14ac:dyDescent="0.2">
      <c r="A21" s="8" t="s">
        <v>29</v>
      </c>
      <c r="B21" s="8" t="s">
        <v>10</v>
      </c>
      <c r="C21" s="9">
        <v>135</v>
      </c>
      <c r="D21" s="9">
        <v>1</v>
      </c>
      <c r="E21" s="9">
        <v>14</v>
      </c>
      <c r="F21" s="33">
        <f>122+AA21</f>
        <v>0</v>
      </c>
      <c r="G21" s="19">
        <f>VLOOKUP(A21,[2]TDSheet!$A:$G,7,0)</f>
        <v>0.25</v>
      </c>
      <c r="H21" s="2">
        <f>VLOOKUP(A21,[1]TDSheet!$A:$Q,4,0)</f>
        <v>65</v>
      </c>
      <c r="I21" s="2">
        <f t="shared" si="3"/>
        <v>-51</v>
      </c>
      <c r="L21" s="2">
        <f t="shared" si="4"/>
        <v>2.8</v>
      </c>
      <c r="M21" s="39"/>
      <c r="N21" s="50">
        <v>240</v>
      </c>
      <c r="O21" s="43">
        <v>240</v>
      </c>
      <c r="P21" s="34" t="s">
        <v>89</v>
      </c>
      <c r="Q21" s="2">
        <f t="shared" si="7"/>
        <v>85.714285714285722</v>
      </c>
      <c r="R21" s="2">
        <f t="shared" si="8"/>
        <v>0</v>
      </c>
      <c r="S21" s="2">
        <f>VLOOKUP(A21,[2]TDSheet!$A:$S,19,0)</f>
        <v>11.6</v>
      </c>
      <c r="T21" s="2">
        <f>VLOOKUP(A21,[2]TDSheet!$A:$T,20,0)</f>
        <v>7.8</v>
      </c>
      <c r="U21" s="2">
        <f>VLOOKUP(A21,[2]TDSheet!$A:$L,12,0)</f>
        <v>14.6</v>
      </c>
      <c r="V21" s="35" t="s">
        <v>96</v>
      </c>
      <c r="W21" s="2">
        <f t="shared" si="9"/>
        <v>60</v>
      </c>
      <c r="X21" s="19">
        <f>VLOOKUP(A21,[2]TDSheet!$A:$Y,25,0)</f>
        <v>12</v>
      </c>
      <c r="Y21" s="20">
        <v>20</v>
      </c>
      <c r="Z21" s="2">
        <f t="shared" si="10"/>
        <v>60</v>
      </c>
      <c r="AA21" s="34">
        <v>-122</v>
      </c>
    </row>
    <row r="22" spans="1:27" ht="21.95" customHeight="1" outlineLevel="1" x14ac:dyDescent="0.2">
      <c r="A22" s="27" t="s">
        <v>30</v>
      </c>
      <c r="B22" s="8" t="s">
        <v>10</v>
      </c>
      <c r="C22" s="9">
        <v>286</v>
      </c>
      <c r="D22" s="9">
        <v>1</v>
      </c>
      <c r="E22" s="9">
        <v>141</v>
      </c>
      <c r="F22" s="33">
        <f>136+AA22</f>
        <v>258</v>
      </c>
      <c r="G22" s="19">
        <f>VLOOKUP(A22,[2]TDSheet!$A:$G,7,0)</f>
        <v>0.25</v>
      </c>
      <c r="H22" s="2">
        <f>VLOOKUP(A22,[1]TDSheet!$A:$Q,4,0)</f>
        <v>147</v>
      </c>
      <c r="I22" s="2">
        <f t="shared" si="3"/>
        <v>-6</v>
      </c>
      <c r="L22" s="2">
        <f t="shared" si="4"/>
        <v>28.2</v>
      </c>
      <c r="M22" s="39">
        <f t="shared" si="12"/>
        <v>447</v>
      </c>
      <c r="N22" s="52">
        <v>600</v>
      </c>
      <c r="O22" s="44"/>
      <c r="P22" s="36"/>
      <c r="Q22" s="36">
        <f t="shared" si="7"/>
        <v>30.425531914893618</v>
      </c>
      <c r="R22" s="36">
        <f t="shared" si="8"/>
        <v>9.1489361702127656</v>
      </c>
      <c r="S22" s="36">
        <f>VLOOKUP(A22,[2]TDSheet!$A:$S,19,0)</f>
        <v>22.4</v>
      </c>
      <c r="T22" s="36">
        <f>VLOOKUP(A22,[2]TDSheet!$A:$T,20,0)</f>
        <v>3.8</v>
      </c>
      <c r="U22" s="36">
        <f>VLOOKUP(A22,[2]TDSheet!$A:$L,12,0)</f>
        <v>44.8</v>
      </c>
      <c r="V22" s="36"/>
      <c r="W22" s="36">
        <f t="shared" si="9"/>
        <v>150</v>
      </c>
      <c r="X22" s="37">
        <f>VLOOKUP(A22,[2]TDSheet!$A:$Y,25,0)</f>
        <v>6</v>
      </c>
      <c r="Y22" s="20">
        <v>100</v>
      </c>
      <c r="Z22" s="2">
        <f t="shared" si="10"/>
        <v>150</v>
      </c>
      <c r="AA22" s="34">
        <v>122</v>
      </c>
    </row>
    <row r="23" spans="1:27" ht="11.1" customHeight="1" outlineLevel="1" x14ac:dyDescent="0.2">
      <c r="A23" s="8" t="s">
        <v>31</v>
      </c>
      <c r="B23" s="8" t="s">
        <v>10</v>
      </c>
      <c r="C23" s="9">
        <v>263</v>
      </c>
      <c r="D23" s="9">
        <v>1</v>
      </c>
      <c r="E23" s="9">
        <v>169</v>
      </c>
      <c r="F23" s="9">
        <v>79</v>
      </c>
      <c r="G23" s="19">
        <f>VLOOKUP(A23,[2]TDSheet!$A:$G,7,0)</f>
        <v>0.25</v>
      </c>
      <c r="H23" s="2">
        <f>VLOOKUP(A23,[1]TDSheet!$A:$Q,4,0)</f>
        <v>168</v>
      </c>
      <c r="I23" s="2">
        <f t="shared" si="3"/>
        <v>1</v>
      </c>
      <c r="L23" s="2">
        <f t="shared" si="4"/>
        <v>33.799999999999997</v>
      </c>
      <c r="M23" s="39">
        <f>22*L23-F23</f>
        <v>664.59999999999991</v>
      </c>
      <c r="N23" s="49">
        <f t="shared" si="6"/>
        <v>664.59999999999991</v>
      </c>
      <c r="O23" s="42"/>
      <c r="Q23" s="2">
        <f t="shared" si="7"/>
        <v>22</v>
      </c>
      <c r="R23" s="2">
        <f t="shared" si="8"/>
        <v>2.3372781065088759</v>
      </c>
      <c r="S23" s="2">
        <f>VLOOKUP(A23,[2]TDSheet!$A:$S,19,0)</f>
        <v>32</v>
      </c>
      <c r="T23" s="2">
        <f>VLOOKUP(A23,[2]TDSheet!$A:$T,20,0)</f>
        <v>4.8</v>
      </c>
      <c r="U23" s="2">
        <f>VLOOKUP(A23,[2]TDSheet!$A:$L,12,0)</f>
        <v>9.6</v>
      </c>
      <c r="W23" s="2">
        <f t="shared" si="9"/>
        <v>166.14999999999998</v>
      </c>
      <c r="X23" s="19">
        <f>VLOOKUP(A23,[2]TDSheet!$A:$Y,25,0)</f>
        <v>6</v>
      </c>
      <c r="Y23" s="20">
        <v>111</v>
      </c>
      <c r="Z23" s="2">
        <f t="shared" si="10"/>
        <v>166.5</v>
      </c>
    </row>
    <row r="24" spans="1:27" ht="11.1" customHeight="1" outlineLevel="1" x14ac:dyDescent="0.2">
      <c r="A24" s="8" t="s">
        <v>32</v>
      </c>
      <c r="B24" s="8" t="s">
        <v>10</v>
      </c>
      <c r="C24" s="9">
        <v>228</v>
      </c>
      <c r="D24" s="9">
        <v>1</v>
      </c>
      <c r="E24" s="9">
        <v>38</v>
      </c>
      <c r="F24" s="9">
        <v>184</v>
      </c>
      <c r="G24" s="19">
        <f>VLOOKUP(A24,[2]TDSheet!$A:$G,7,0)</f>
        <v>0.25</v>
      </c>
      <c r="H24" s="2">
        <f>VLOOKUP(A24,[1]TDSheet!$A:$Q,4,0)</f>
        <v>38</v>
      </c>
      <c r="I24" s="2">
        <f t="shared" si="3"/>
        <v>0</v>
      </c>
      <c r="L24" s="2">
        <f t="shared" si="4"/>
        <v>7.6</v>
      </c>
      <c r="M24" s="39">
        <f t="shared" si="12"/>
        <v>6</v>
      </c>
      <c r="N24" s="53">
        <v>6</v>
      </c>
      <c r="O24" s="42">
        <v>80</v>
      </c>
      <c r="P24" s="2" t="s">
        <v>91</v>
      </c>
      <c r="Q24" s="2">
        <f t="shared" si="7"/>
        <v>25</v>
      </c>
      <c r="R24" s="2">
        <f t="shared" si="8"/>
        <v>24.210526315789476</v>
      </c>
      <c r="S24" s="2">
        <f>VLOOKUP(A24,[2]TDSheet!$A:$S,19,0)</f>
        <v>8.1999999999999993</v>
      </c>
      <c r="T24" s="2">
        <f>VLOOKUP(A24,[2]TDSheet!$A:$T,20,0)</f>
        <v>5.4</v>
      </c>
      <c r="U24" s="2">
        <f>VLOOKUP(A24,[2]TDSheet!$A:$L,12,0)</f>
        <v>7.2</v>
      </c>
      <c r="W24" s="2">
        <f t="shared" si="9"/>
        <v>1.5</v>
      </c>
      <c r="X24" s="19">
        <f>VLOOKUP(A24,[2]TDSheet!$A:$Y,25,0)</f>
        <v>12</v>
      </c>
      <c r="Y24" s="20">
        <v>1</v>
      </c>
      <c r="Z24" s="2">
        <f t="shared" si="10"/>
        <v>3</v>
      </c>
    </row>
    <row r="25" spans="1:27" ht="11.1" customHeight="1" outlineLevel="1" x14ac:dyDescent="0.2">
      <c r="A25" s="8" t="s">
        <v>33</v>
      </c>
      <c r="B25" s="8" t="s">
        <v>14</v>
      </c>
      <c r="C25" s="9">
        <v>174</v>
      </c>
      <c r="D25" s="9"/>
      <c r="E25" s="9">
        <v>18</v>
      </c>
      <c r="F25" s="9">
        <v>144</v>
      </c>
      <c r="G25" s="19">
        <f>VLOOKUP(A25,[2]TDSheet!$A:$G,7,0)</f>
        <v>1</v>
      </c>
      <c r="H25" s="2">
        <f>VLOOKUP(A25,[1]TDSheet!$A:$Q,4,0)</f>
        <v>18</v>
      </c>
      <c r="I25" s="2">
        <f t="shared" si="3"/>
        <v>0</v>
      </c>
      <c r="L25" s="2">
        <f t="shared" si="4"/>
        <v>3.6</v>
      </c>
      <c r="M25" s="39"/>
      <c r="N25" s="49">
        <f t="shared" si="6"/>
        <v>0</v>
      </c>
      <c r="O25" s="42"/>
      <c r="Q25" s="2">
        <f t="shared" si="7"/>
        <v>40</v>
      </c>
      <c r="R25" s="2">
        <f t="shared" si="8"/>
        <v>40</v>
      </c>
      <c r="S25" s="2">
        <f>VLOOKUP(A25,[2]TDSheet!$A:$S,19,0)</f>
        <v>4.8</v>
      </c>
      <c r="T25" s="2">
        <f>VLOOKUP(A25,[2]TDSheet!$A:$T,20,0)</f>
        <v>2.4</v>
      </c>
      <c r="U25" s="2">
        <f>VLOOKUP(A25,[2]TDSheet!$A:$L,12,0)</f>
        <v>0</v>
      </c>
      <c r="W25" s="2">
        <f t="shared" si="9"/>
        <v>0</v>
      </c>
      <c r="X25" s="19">
        <f>VLOOKUP(A25,[2]TDSheet!$A:$Y,25,0)</f>
        <v>6</v>
      </c>
      <c r="Y25" s="20">
        <f t="shared" si="11"/>
        <v>0</v>
      </c>
      <c r="Z25" s="2">
        <f t="shared" si="10"/>
        <v>0</v>
      </c>
    </row>
    <row r="26" spans="1:27" ht="11.1" customHeight="1" outlineLevel="1" x14ac:dyDescent="0.2">
      <c r="A26" s="27" t="s">
        <v>34</v>
      </c>
      <c r="B26" s="8" t="s">
        <v>10</v>
      </c>
      <c r="C26" s="9">
        <v>96</v>
      </c>
      <c r="D26" s="9"/>
      <c r="E26" s="9">
        <v>1</v>
      </c>
      <c r="F26" s="9">
        <v>95</v>
      </c>
      <c r="G26" s="19">
        <v>0.75</v>
      </c>
      <c r="H26" s="2">
        <f>VLOOKUP(A26,[1]TDSheet!$A:$Q,4,0)</f>
        <v>1</v>
      </c>
      <c r="I26" s="2">
        <f t="shared" si="3"/>
        <v>0</v>
      </c>
      <c r="L26" s="2">
        <f t="shared" si="4"/>
        <v>0.2</v>
      </c>
      <c r="M26" s="39"/>
      <c r="N26" s="49">
        <f t="shared" si="6"/>
        <v>0</v>
      </c>
      <c r="O26" s="42"/>
      <c r="Q26" s="2">
        <f t="shared" si="7"/>
        <v>475</v>
      </c>
      <c r="R26" s="2">
        <f t="shared" si="8"/>
        <v>475</v>
      </c>
      <c r="S26" s="2">
        <v>0</v>
      </c>
      <c r="T26" s="2">
        <v>0</v>
      </c>
      <c r="U26" s="2">
        <v>0</v>
      </c>
      <c r="W26" s="2">
        <f t="shared" si="9"/>
        <v>0</v>
      </c>
      <c r="X26" s="19">
        <v>8</v>
      </c>
      <c r="Y26" s="20">
        <f t="shared" si="11"/>
        <v>0</v>
      </c>
      <c r="Z26" s="2">
        <f t="shared" si="10"/>
        <v>0</v>
      </c>
    </row>
    <row r="27" spans="1:27" ht="11.1" customHeight="1" outlineLevel="1" x14ac:dyDescent="0.2">
      <c r="A27" s="8" t="s">
        <v>35</v>
      </c>
      <c r="B27" s="8" t="s">
        <v>10</v>
      </c>
      <c r="C27" s="9">
        <v>318</v>
      </c>
      <c r="D27" s="9"/>
      <c r="E27" s="9">
        <v>30</v>
      </c>
      <c r="F27" s="9">
        <v>207</v>
      </c>
      <c r="G27" s="19">
        <f>VLOOKUP(A27,[2]TDSheet!$A:$G,7,0)</f>
        <v>0.43</v>
      </c>
      <c r="H27" s="2">
        <f>VLOOKUP(A27,[1]TDSheet!$A:$Q,4,0)</f>
        <v>34</v>
      </c>
      <c r="I27" s="2">
        <f t="shared" si="3"/>
        <v>-4</v>
      </c>
      <c r="L27" s="2">
        <f t="shared" si="4"/>
        <v>6</v>
      </c>
      <c r="M27" s="39"/>
      <c r="N27" s="53">
        <v>80</v>
      </c>
      <c r="O27" s="42">
        <v>160</v>
      </c>
      <c r="P27" s="2" t="s">
        <v>91</v>
      </c>
      <c r="Q27" s="2">
        <f t="shared" si="7"/>
        <v>47.833333333333336</v>
      </c>
      <c r="R27" s="2">
        <f t="shared" si="8"/>
        <v>34.5</v>
      </c>
      <c r="S27" s="2">
        <f>VLOOKUP(A27,[2]TDSheet!$A:$S,19,0)</f>
        <v>22</v>
      </c>
      <c r="T27" s="2">
        <f>VLOOKUP(A27,[2]TDSheet!$A:$T,20,0)</f>
        <v>10</v>
      </c>
      <c r="U27" s="2">
        <f>VLOOKUP(A27,[2]TDSheet!$A:$L,12,0)</f>
        <v>19.600000000000001</v>
      </c>
      <c r="W27" s="2">
        <f t="shared" si="9"/>
        <v>34.4</v>
      </c>
      <c r="X27" s="19">
        <f>VLOOKUP(A27,[2]TDSheet!$A:$Y,25,0)</f>
        <v>16</v>
      </c>
      <c r="Y27" s="20">
        <v>5</v>
      </c>
      <c r="Z27" s="2">
        <f t="shared" si="10"/>
        <v>34.4</v>
      </c>
    </row>
    <row r="28" spans="1:27" ht="11.1" customHeight="1" outlineLevel="1" x14ac:dyDescent="0.2">
      <c r="A28" s="8" t="s">
        <v>36</v>
      </c>
      <c r="B28" s="8" t="s">
        <v>10</v>
      </c>
      <c r="C28" s="9">
        <v>373</v>
      </c>
      <c r="D28" s="9"/>
      <c r="E28" s="9">
        <v>35</v>
      </c>
      <c r="F28" s="9">
        <v>285</v>
      </c>
      <c r="G28" s="19">
        <f>VLOOKUP(A28,[2]TDSheet!$A:$G,7,0)</f>
        <v>0.9</v>
      </c>
      <c r="H28" s="2">
        <f>VLOOKUP(A28,[1]TDSheet!$A:$Q,4,0)</f>
        <v>34</v>
      </c>
      <c r="I28" s="2">
        <f t="shared" si="3"/>
        <v>1</v>
      </c>
      <c r="L28" s="2">
        <f t="shared" si="4"/>
        <v>7</v>
      </c>
      <c r="M28" s="39"/>
      <c r="N28" s="53">
        <v>0</v>
      </c>
      <c r="O28" s="42">
        <v>180</v>
      </c>
      <c r="P28" s="2" t="s">
        <v>91</v>
      </c>
      <c r="Q28" s="2">
        <f t="shared" si="7"/>
        <v>40.714285714285715</v>
      </c>
      <c r="R28" s="2">
        <f t="shared" si="8"/>
        <v>40.714285714285715</v>
      </c>
      <c r="S28" s="2">
        <f>VLOOKUP(A28,[2]TDSheet!$A:$S,19,0)</f>
        <v>20</v>
      </c>
      <c r="T28" s="2">
        <f>VLOOKUP(A28,[2]TDSheet!$A:$T,20,0)</f>
        <v>15.8</v>
      </c>
      <c r="U28" s="2">
        <f>VLOOKUP(A28,[2]TDSheet!$A:$L,12,0)</f>
        <v>31.6</v>
      </c>
      <c r="W28" s="2">
        <f t="shared" si="9"/>
        <v>0</v>
      </c>
      <c r="X28" s="19">
        <f>VLOOKUP(A28,[2]TDSheet!$A:$Y,25,0)</f>
        <v>8</v>
      </c>
      <c r="Y28" s="20">
        <f t="shared" si="11"/>
        <v>0</v>
      </c>
      <c r="Z28" s="2">
        <f t="shared" si="10"/>
        <v>0</v>
      </c>
    </row>
    <row r="29" spans="1:27" ht="21.95" customHeight="1" outlineLevel="1" x14ac:dyDescent="0.2">
      <c r="A29" s="8" t="s">
        <v>37</v>
      </c>
      <c r="B29" s="8" t="s">
        <v>14</v>
      </c>
      <c r="C29" s="9">
        <v>91.8</v>
      </c>
      <c r="D29" s="9">
        <v>2.7</v>
      </c>
      <c r="E29" s="9">
        <v>5.4</v>
      </c>
      <c r="F29" s="9">
        <v>81</v>
      </c>
      <c r="G29" s="19">
        <f>VLOOKUP(A29,[2]TDSheet!$A:$G,7,0)</f>
        <v>1</v>
      </c>
      <c r="H29" s="2">
        <f>VLOOKUP(A29,[1]TDSheet!$A:$Q,4,0)</f>
        <v>8.1</v>
      </c>
      <c r="I29" s="2">
        <f t="shared" si="3"/>
        <v>-2.6999999999999993</v>
      </c>
      <c r="L29" s="2">
        <f t="shared" si="4"/>
        <v>1.08</v>
      </c>
      <c r="M29" s="39"/>
      <c r="N29" s="53">
        <v>0</v>
      </c>
      <c r="O29" s="42">
        <v>135</v>
      </c>
      <c r="P29" s="2" t="s">
        <v>91</v>
      </c>
      <c r="Q29" s="2">
        <f t="shared" si="7"/>
        <v>75</v>
      </c>
      <c r="R29" s="2">
        <f t="shared" si="8"/>
        <v>75</v>
      </c>
      <c r="S29" s="2">
        <f>VLOOKUP(A29,[2]TDSheet!$A:$S,19,0)</f>
        <v>0.54</v>
      </c>
      <c r="T29" s="2">
        <f>VLOOKUP(A29,[2]TDSheet!$A:$T,20,0)</f>
        <v>0</v>
      </c>
      <c r="U29" s="2">
        <f>VLOOKUP(A29,[2]TDSheet!$A:$L,12,0)</f>
        <v>0</v>
      </c>
      <c r="W29" s="2">
        <f t="shared" si="9"/>
        <v>0</v>
      </c>
      <c r="X29" s="19">
        <f>VLOOKUP(A29,[2]TDSheet!$A:$Y,25,0)</f>
        <v>2.7</v>
      </c>
      <c r="Y29" s="20">
        <f t="shared" si="11"/>
        <v>0</v>
      </c>
      <c r="Z29" s="2">
        <f t="shared" si="10"/>
        <v>0</v>
      </c>
    </row>
    <row r="30" spans="1:27" ht="21.95" customHeight="1" outlineLevel="1" x14ac:dyDescent="0.2">
      <c r="A30" s="8" t="s">
        <v>38</v>
      </c>
      <c r="B30" s="8" t="s">
        <v>14</v>
      </c>
      <c r="C30" s="9">
        <v>90</v>
      </c>
      <c r="D30" s="9"/>
      <c r="E30" s="9"/>
      <c r="F30" s="9">
        <v>90</v>
      </c>
      <c r="G30" s="19">
        <f>VLOOKUP(A30,[2]TDSheet!$A:$G,7,0)</f>
        <v>1</v>
      </c>
      <c r="I30" s="2">
        <f t="shared" si="3"/>
        <v>0</v>
      </c>
      <c r="L30" s="2">
        <f t="shared" si="4"/>
        <v>0</v>
      </c>
      <c r="M30" s="39"/>
      <c r="N30" s="49">
        <f t="shared" si="6"/>
        <v>0</v>
      </c>
      <c r="O30" s="42"/>
      <c r="Q30" s="2" t="e">
        <f t="shared" si="7"/>
        <v>#DIV/0!</v>
      </c>
      <c r="R30" s="2" t="e">
        <f t="shared" si="8"/>
        <v>#DIV/0!</v>
      </c>
      <c r="S30" s="2">
        <f>VLOOKUP(A30,[2]TDSheet!$A:$S,19,0)</f>
        <v>0</v>
      </c>
      <c r="T30" s="2">
        <f>VLOOKUP(A30,[2]TDSheet!$A:$T,20,0)</f>
        <v>1</v>
      </c>
      <c r="U30" s="2">
        <f>VLOOKUP(A30,[2]TDSheet!$A:$L,12,0)</f>
        <v>1</v>
      </c>
      <c r="W30" s="2">
        <f t="shared" si="9"/>
        <v>0</v>
      </c>
      <c r="X30" s="19">
        <f>VLOOKUP(A30,[2]TDSheet!$A:$Y,25,0)</f>
        <v>5</v>
      </c>
      <c r="Y30" s="20">
        <f t="shared" si="11"/>
        <v>0</v>
      </c>
      <c r="Z30" s="2">
        <f t="shared" si="10"/>
        <v>0</v>
      </c>
    </row>
    <row r="31" spans="1:27" ht="11.1" customHeight="1" outlineLevel="1" x14ac:dyDescent="0.2">
      <c r="A31" s="8" t="s">
        <v>39</v>
      </c>
      <c r="B31" s="8" t="s">
        <v>10</v>
      </c>
      <c r="C31" s="9">
        <v>301</v>
      </c>
      <c r="D31" s="9"/>
      <c r="E31" s="9">
        <v>91</v>
      </c>
      <c r="F31" s="9">
        <v>116</v>
      </c>
      <c r="G31" s="19">
        <f>VLOOKUP(A31,[2]TDSheet!$A:$G,7,0)</f>
        <v>0.9</v>
      </c>
      <c r="H31" s="2">
        <f>VLOOKUP(A31,[1]TDSheet!$A:$Q,4,0)</f>
        <v>90</v>
      </c>
      <c r="I31" s="2">
        <f t="shared" si="3"/>
        <v>1</v>
      </c>
      <c r="L31" s="2">
        <f t="shared" si="4"/>
        <v>18.2</v>
      </c>
      <c r="M31" s="39">
        <f t="shared" si="12"/>
        <v>339</v>
      </c>
      <c r="N31" s="50">
        <v>480</v>
      </c>
      <c r="O31" s="42">
        <v>480</v>
      </c>
      <c r="P31" s="2" t="s">
        <v>91</v>
      </c>
      <c r="Q31" s="2">
        <f t="shared" si="7"/>
        <v>32.747252747252752</v>
      </c>
      <c r="R31" s="2">
        <f t="shared" si="8"/>
        <v>6.3736263736263741</v>
      </c>
      <c r="S31" s="2">
        <f>VLOOKUP(A31,[2]TDSheet!$A:$S,19,0)</f>
        <v>46</v>
      </c>
      <c r="T31" s="2">
        <f>VLOOKUP(A31,[2]TDSheet!$A:$T,20,0)</f>
        <v>21</v>
      </c>
      <c r="U31" s="2">
        <f>VLOOKUP(A31,[2]TDSheet!$A:$L,12,0)</f>
        <v>43.8</v>
      </c>
      <c r="W31" s="2">
        <f t="shared" si="9"/>
        <v>432</v>
      </c>
      <c r="X31" s="19">
        <f>VLOOKUP(A31,[2]TDSheet!$A:$Y,25,0)</f>
        <v>8</v>
      </c>
      <c r="Y31" s="20">
        <v>60</v>
      </c>
      <c r="Z31" s="2">
        <f t="shared" si="10"/>
        <v>432</v>
      </c>
    </row>
    <row r="32" spans="1:27" ht="11.1" customHeight="1" outlineLevel="1" x14ac:dyDescent="0.2">
      <c r="A32" s="8" t="s">
        <v>40</v>
      </c>
      <c r="B32" s="8" t="s">
        <v>10</v>
      </c>
      <c r="C32" s="9">
        <v>468</v>
      </c>
      <c r="D32" s="9"/>
      <c r="E32" s="30">
        <f>87+E59</f>
        <v>104</v>
      </c>
      <c r="F32" s="30">
        <f>286+F59</f>
        <v>262</v>
      </c>
      <c r="G32" s="19">
        <f>VLOOKUP(A32,[2]TDSheet!$A:$G,7,0)</f>
        <v>0.43</v>
      </c>
      <c r="H32" s="2">
        <f>VLOOKUP(A32,[1]TDSheet!$A:$Q,4,0)</f>
        <v>90</v>
      </c>
      <c r="I32" s="2">
        <f t="shared" si="3"/>
        <v>14</v>
      </c>
      <c r="L32" s="2">
        <f t="shared" si="4"/>
        <v>20.8</v>
      </c>
      <c r="M32" s="39">
        <f t="shared" si="12"/>
        <v>258</v>
      </c>
      <c r="N32" s="53">
        <v>400</v>
      </c>
      <c r="O32" s="42">
        <v>480</v>
      </c>
      <c r="P32" s="2" t="s">
        <v>92</v>
      </c>
      <c r="Q32" s="2">
        <f t="shared" si="7"/>
        <v>31.826923076923077</v>
      </c>
      <c r="R32" s="2">
        <f t="shared" si="8"/>
        <v>12.596153846153845</v>
      </c>
      <c r="S32" s="2">
        <f>VLOOKUP(A32,[2]TDSheet!$A:$S,19,0)</f>
        <v>28.8</v>
      </c>
      <c r="T32" s="2">
        <f>VLOOKUP(A32,[2]TDSheet!$A:$T,20,0)</f>
        <v>21.2</v>
      </c>
      <c r="U32" s="2">
        <f>VLOOKUP(A32,[2]TDSheet!$A:$L,12,0)</f>
        <v>35.4</v>
      </c>
      <c r="W32" s="2">
        <f t="shared" si="9"/>
        <v>172</v>
      </c>
      <c r="X32" s="19">
        <f>VLOOKUP(A32,[2]TDSheet!$A:$Y,25,0)</f>
        <v>16</v>
      </c>
      <c r="Y32" s="20">
        <v>25</v>
      </c>
      <c r="Z32" s="2">
        <f t="shared" si="10"/>
        <v>172</v>
      </c>
    </row>
    <row r="33" spans="1:27" ht="11.1" customHeight="1" outlineLevel="1" x14ac:dyDescent="0.2">
      <c r="A33" s="8" t="s">
        <v>41</v>
      </c>
      <c r="B33" s="8" t="s">
        <v>10</v>
      </c>
      <c r="C33" s="9">
        <v>336</v>
      </c>
      <c r="D33" s="9"/>
      <c r="E33" s="9">
        <v>72</v>
      </c>
      <c r="F33" s="9">
        <v>191</v>
      </c>
      <c r="G33" s="19">
        <f>VLOOKUP(A33,[2]TDSheet!$A:$G,7,0)</f>
        <v>0.9</v>
      </c>
      <c r="H33" s="2">
        <f>VLOOKUP(A33,[1]TDSheet!$A:$Q,4,0)</f>
        <v>74</v>
      </c>
      <c r="I33" s="2">
        <f t="shared" si="3"/>
        <v>-2</v>
      </c>
      <c r="L33" s="2">
        <f t="shared" si="4"/>
        <v>14.4</v>
      </c>
      <c r="M33" s="39">
        <f t="shared" si="12"/>
        <v>169</v>
      </c>
      <c r="N33" s="53">
        <v>240</v>
      </c>
      <c r="O33" s="42">
        <v>240</v>
      </c>
      <c r="P33" s="2" t="s">
        <v>91</v>
      </c>
      <c r="Q33" s="2">
        <f t="shared" si="7"/>
        <v>29.930555555555554</v>
      </c>
      <c r="R33" s="2">
        <f t="shared" si="8"/>
        <v>13.263888888888889</v>
      </c>
      <c r="S33" s="2">
        <f>VLOOKUP(A33,[2]TDSheet!$A:$S,19,0)</f>
        <v>35.200000000000003</v>
      </c>
      <c r="T33" s="2">
        <f>VLOOKUP(A33,[2]TDSheet!$A:$T,20,0)</f>
        <v>18.2</v>
      </c>
      <c r="U33" s="2">
        <f>VLOOKUP(A33,[2]TDSheet!$A:$L,12,0)</f>
        <v>45.8</v>
      </c>
      <c r="W33" s="2">
        <f t="shared" si="9"/>
        <v>216</v>
      </c>
      <c r="X33" s="19">
        <f>VLOOKUP(A33,[2]TDSheet!$A:$Y,25,0)</f>
        <v>8</v>
      </c>
      <c r="Y33" s="20">
        <v>30</v>
      </c>
      <c r="Z33" s="2">
        <f t="shared" si="10"/>
        <v>216</v>
      </c>
    </row>
    <row r="34" spans="1:27" ht="11.1" customHeight="1" outlineLevel="1" x14ac:dyDescent="0.2">
      <c r="A34" s="8" t="s">
        <v>42</v>
      </c>
      <c r="B34" s="8" t="s">
        <v>10</v>
      </c>
      <c r="C34" s="9">
        <v>693</v>
      </c>
      <c r="D34" s="9">
        <v>2</v>
      </c>
      <c r="E34" s="9">
        <v>54</v>
      </c>
      <c r="F34" s="9">
        <v>589</v>
      </c>
      <c r="G34" s="19">
        <f>VLOOKUP(A34,[2]TDSheet!$A:$G,7,0)</f>
        <v>0.43</v>
      </c>
      <c r="H34" s="2">
        <f>VLOOKUP(A34,[1]TDSheet!$A:$Q,4,0)</f>
        <v>67</v>
      </c>
      <c r="I34" s="2">
        <f t="shared" si="3"/>
        <v>-13</v>
      </c>
      <c r="L34" s="2">
        <f t="shared" si="4"/>
        <v>10.8</v>
      </c>
      <c r="M34" s="39"/>
      <c r="N34" s="49">
        <f t="shared" si="6"/>
        <v>0</v>
      </c>
      <c r="O34" s="42"/>
      <c r="Q34" s="2">
        <f t="shared" si="7"/>
        <v>54.537037037037031</v>
      </c>
      <c r="R34" s="2">
        <f t="shared" si="8"/>
        <v>54.537037037037031</v>
      </c>
      <c r="S34" s="2">
        <f>VLOOKUP(A34,[2]TDSheet!$A:$S,19,0)</f>
        <v>21.4</v>
      </c>
      <c r="T34" s="2">
        <f>VLOOKUP(A34,[2]TDSheet!$A:$T,20,0)</f>
        <v>18</v>
      </c>
      <c r="U34" s="2">
        <f>VLOOKUP(A34,[2]TDSheet!$A:$L,12,0)</f>
        <v>27.4</v>
      </c>
      <c r="W34" s="2">
        <f t="shared" si="9"/>
        <v>0</v>
      </c>
      <c r="X34" s="19">
        <f>VLOOKUP(A34,[2]TDSheet!$A:$Y,25,0)</f>
        <v>16</v>
      </c>
      <c r="Y34" s="20">
        <f t="shared" si="11"/>
        <v>0</v>
      </c>
      <c r="Z34" s="2">
        <f t="shared" si="10"/>
        <v>0</v>
      </c>
    </row>
    <row r="35" spans="1:27" ht="11.1" customHeight="1" outlineLevel="1" x14ac:dyDescent="0.2">
      <c r="A35" s="27" t="s">
        <v>43</v>
      </c>
      <c r="B35" s="8" t="s">
        <v>14</v>
      </c>
      <c r="C35" s="9">
        <v>35</v>
      </c>
      <c r="D35" s="9"/>
      <c r="E35" s="9">
        <v>5</v>
      </c>
      <c r="F35" s="9">
        <v>20</v>
      </c>
      <c r="G35" s="19">
        <v>1</v>
      </c>
      <c r="H35" s="2">
        <f>VLOOKUP(A35,[1]TDSheet!$A:$Q,4,0)</f>
        <v>5</v>
      </c>
      <c r="I35" s="2">
        <f t="shared" si="3"/>
        <v>0</v>
      </c>
      <c r="L35" s="2">
        <f t="shared" si="4"/>
        <v>1</v>
      </c>
      <c r="M35" s="39">
        <f t="shared" si="12"/>
        <v>5</v>
      </c>
      <c r="N35" s="53">
        <v>10</v>
      </c>
      <c r="O35" s="42">
        <v>100</v>
      </c>
      <c r="P35" s="2" t="s">
        <v>91</v>
      </c>
      <c r="Q35" s="2">
        <f t="shared" si="7"/>
        <v>30</v>
      </c>
      <c r="R35" s="2">
        <f t="shared" si="8"/>
        <v>20</v>
      </c>
      <c r="S35" s="2">
        <v>0</v>
      </c>
      <c r="T35" s="2">
        <v>0</v>
      </c>
      <c r="U35" s="2">
        <v>0</v>
      </c>
      <c r="W35" s="2">
        <f t="shared" si="9"/>
        <v>10</v>
      </c>
      <c r="X35" s="19">
        <v>5</v>
      </c>
      <c r="Y35" s="20">
        <v>2</v>
      </c>
      <c r="Z35" s="2">
        <f t="shared" si="10"/>
        <v>10</v>
      </c>
    </row>
    <row r="36" spans="1:27" ht="11.1" customHeight="1" outlineLevel="1" x14ac:dyDescent="0.2">
      <c r="A36" s="8" t="s">
        <v>44</v>
      </c>
      <c r="B36" s="8" t="s">
        <v>10</v>
      </c>
      <c r="C36" s="9">
        <v>274</v>
      </c>
      <c r="D36" s="9">
        <v>2</v>
      </c>
      <c r="E36" s="9">
        <v>93</v>
      </c>
      <c r="F36" s="9">
        <v>90</v>
      </c>
      <c r="G36" s="19">
        <f>VLOOKUP(A36,[2]TDSheet!$A:$G,7,0)</f>
        <v>0.7</v>
      </c>
      <c r="H36" s="2">
        <f>VLOOKUP(A36,[1]TDSheet!$A:$Q,4,0)</f>
        <v>96</v>
      </c>
      <c r="I36" s="2">
        <f t="shared" si="3"/>
        <v>-3</v>
      </c>
      <c r="L36" s="2">
        <f t="shared" si="4"/>
        <v>18.600000000000001</v>
      </c>
      <c r="M36" s="39">
        <f t="shared" si="12"/>
        <v>375.00000000000006</v>
      </c>
      <c r="N36" s="53">
        <v>600</v>
      </c>
      <c r="O36" s="42">
        <v>800</v>
      </c>
      <c r="P36" s="2" t="s">
        <v>91</v>
      </c>
      <c r="Q36" s="2">
        <f t="shared" si="7"/>
        <v>37.096774193548384</v>
      </c>
      <c r="R36" s="2">
        <f t="shared" si="8"/>
        <v>4.8387096774193541</v>
      </c>
      <c r="S36" s="2">
        <f>VLOOKUP(A36,[2]TDSheet!$A:$S,19,0)</f>
        <v>29.2</v>
      </c>
      <c r="T36" s="2">
        <f>VLOOKUP(A36,[2]TDSheet!$A:$T,20,0)</f>
        <v>16.399999999999999</v>
      </c>
      <c r="U36" s="2">
        <f>VLOOKUP(A36,[2]TDSheet!$A:$L,12,0)</f>
        <v>37.200000000000003</v>
      </c>
      <c r="W36" s="2">
        <f t="shared" si="9"/>
        <v>420</v>
      </c>
      <c r="X36" s="19">
        <f>VLOOKUP(A36,[2]TDSheet!$A:$Y,25,0)</f>
        <v>8</v>
      </c>
      <c r="Y36" s="20">
        <v>75</v>
      </c>
      <c r="Z36" s="2">
        <f t="shared" si="10"/>
        <v>420</v>
      </c>
    </row>
    <row r="37" spans="1:27" ht="21.95" customHeight="1" outlineLevel="1" x14ac:dyDescent="0.2">
      <c r="A37" s="8" t="s">
        <v>45</v>
      </c>
      <c r="B37" s="8" t="s">
        <v>10</v>
      </c>
      <c r="C37" s="9">
        <v>375</v>
      </c>
      <c r="D37" s="9"/>
      <c r="E37" s="30">
        <f>13+E60</f>
        <v>65</v>
      </c>
      <c r="F37" s="30">
        <f>346+F60</f>
        <v>122</v>
      </c>
      <c r="G37" s="19">
        <f>VLOOKUP(A37,[2]TDSheet!$A:$G,7,0)</f>
        <v>0.9</v>
      </c>
      <c r="H37" s="2">
        <f>VLOOKUP(A37,[1]TDSheet!$A:$Q,4,0)</f>
        <v>15</v>
      </c>
      <c r="I37" s="2">
        <f t="shared" si="3"/>
        <v>50</v>
      </c>
      <c r="L37" s="2">
        <f t="shared" si="4"/>
        <v>13</v>
      </c>
      <c r="M37" s="39">
        <f t="shared" si="12"/>
        <v>203</v>
      </c>
      <c r="N37" s="50">
        <v>280</v>
      </c>
      <c r="O37" s="42">
        <v>280</v>
      </c>
      <c r="P37" s="2" t="s">
        <v>91</v>
      </c>
      <c r="Q37" s="2">
        <f t="shared" si="7"/>
        <v>30.923076923076923</v>
      </c>
      <c r="R37" s="2">
        <f t="shared" si="8"/>
        <v>9.384615384615385</v>
      </c>
      <c r="S37" s="2">
        <f>VLOOKUP(A37,[2]TDSheet!$A:$S,19,0)</f>
        <v>7.2</v>
      </c>
      <c r="T37" s="2">
        <f>VLOOKUP(A37,[2]TDSheet!$A:$T,20,0)</f>
        <v>2</v>
      </c>
      <c r="U37" s="2">
        <f>VLOOKUP(A37,[2]TDSheet!$A:$L,12,0)</f>
        <v>13.8</v>
      </c>
      <c r="W37" s="2">
        <f t="shared" si="9"/>
        <v>252</v>
      </c>
      <c r="X37" s="19">
        <f>VLOOKUP(A37,[2]TDSheet!$A:$Y,25,0)</f>
        <v>8</v>
      </c>
      <c r="Y37" s="20">
        <v>35</v>
      </c>
      <c r="Z37" s="2">
        <f t="shared" si="10"/>
        <v>252</v>
      </c>
    </row>
    <row r="38" spans="1:27" ht="11.1" customHeight="1" outlineLevel="1" x14ac:dyDescent="0.2">
      <c r="A38" s="8" t="s">
        <v>46</v>
      </c>
      <c r="B38" s="8" t="s">
        <v>10</v>
      </c>
      <c r="C38" s="9">
        <v>135</v>
      </c>
      <c r="D38" s="9"/>
      <c r="E38" s="9">
        <v>11</v>
      </c>
      <c r="F38" s="9">
        <v>121</v>
      </c>
      <c r="G38" s="19">
        <f>VLOOKUP(A38,[2]TDSheet!$A:$G,7,0)</f>
        <v>0.43</v>
      </c>
      <c r="H38" s="2">
        <f>VLOOKUP(A38,[1]TDSheet!$A:$Q,4,0)</f>
        <v>14</v>
      </c>
      <c r="I38" s="2">
        <f t="shared" si="3"/>
        <v>-3</v>
      </c>
      <c r="L38" s="2">
        <f t="shared" si="4"/>
        <v>2.2000000000000002</v>
      </c>
      <c r="M38" s="39"/>
      <c r="N38" s="49">
        <f t="shared" si="6"/>
        <v>0</v>
      </c>
      <c r="O38" s="42"/>
      <c r="Q38" s="2">
        <f t="shared" si="7"/>
        <v>54.999999999999993</v>
      </c>
      <c r="R38" s="2">
        <f t="shared" si="8"/>
        <v>54.999999999999993</v>
      </c>
      <c r="S38" s="2">
        <f>VLOOKUP(A38,[2]TDSheet!$A:$S,19,0)</f>
        <v>4</v>
      </c>
      <c r="T38" s="2">
        <f>VLOOKUP(A38,[2]TDSheet!$A:$T,20,0)</f>
        <v>2.8</v>
      </c>
      <c r="U38" s="2">
        <f>VLOOKUP(A38,[2]TDSheet!$A:$L,12,0)</f>
        <v>2.4</v>
      </c>
      <c r="W38" s="2">
        <f t="shared" si="9"/>
        <v>0</v>
      </c>
      <c r="X38" s="19">
        <f>VLOOKUP(A38,[2]TDSheet!$A:$Y,25,0)</f>
        <v>16</v>
      </c>
      <c r="Y38" s="20">
        <f t="shared" si="11"/>
        <v>0</v>
      </c>
      <c r="Z38" s="2">
        <f t="shared" si="10"/>
        <v>0</v>
      </c>
    </row>
    <row r="39" spans="1:27" ht="21.95" customHeight="1" outlineLevel="1" x14ac:dyDescent="0.2">
      <c r="A39" s="27" t="s">
        <v>47</v>
      </c>
      <c r="B39" s="8" t="s">
        <v>10</v>
      </c>
      <c r="C39" s="9">
        <v>198</v>
      </c>
      <c r="D39" s="9"/>
      <c r="E39" s="9">
        <v>14</v>
      </c>
      <c r="F39" s="33">
        <f>178+AA39</f>
        <v>307</v>
      </c>
      <c r="G39" s="19">
        <f>VLOOKUP(A39,[2]TDSheet!$A:$G,7,0)</f>
        <v>0.9</v>
      </c>
      <c r="H39" s="2">
        <f>VLOOKUP(A39,[1]TDSheet!$A:$Q,4,0)</f>
        <v>16</v>
      </c>
      <c r="I39" s="2">
        <f t="shared" si="3"/>
        <v>-2</v>
      </c>
      <c r="L39" s="2">
        <f t="shared" si="4"/>
        <v>2.8</v>
      </c>
      <c r="M39" s="39"/>
      <c r="N39" s="49">
        <f t="shared" si="6"/>
        <v>0</v>
      </c>
      <c r="O39" s="42"/>
      <c r="Q39" s="2">
        <f t="shared" si="7"/>
        <v>109.64285714285715</v>
      </c>
      <c r="R39" s="2">
        <f t="shared" si="8"/>
        <v>109.64285714285715</v>
      </c>
      <c r="S39" s="2">
        <f>VLOOKUP(A39,[2]TDSheet!$A:$S,19,0)</f>
        <v>0.8</v>
      </c>
      <c r="T39" s="2">
        <f>VLOOKUP(A39,[2]TDSheet!$A:$T,20,0)</f>
        <v>2.8</v>
      </c>
      <c r="U39" s="2">
        <f>VLOOKUP(A39,[2]TDSheet!$A:$L,12,0)</f>
        <v>1.6</v>
      </c>
      <c r="W39" s="2">
        <f t="shared" si="9"/>
        <v>0</v>
      </c>
      <c r="X39" s="19">
        <f>VLOOKUP(A39,[2]TDSheet!$A:$Y,25,0)</f>
        <v>8</v>
      </c>
      <c r="Y39" s="20">
        <f t="shared" si="11"/>
        <v>0</v>
      </c>
      <c r="Z39" s="2">
        <f t="shared" si="10"/>
        <v>0</v>
      </c>
      <c r="AA39" s="34">
        <v>129</v>
      </c>
    </row>
    <row r="40" spans="1:27" ht="21.95" customHeight="1" outlineLevel="1" x14ac:dyDescent="0.2">
      <c r="A40" s="27" t="s">
        <v>48</v>
      </c>
      <c r="B40" s="8" t="s">
        <v>10</v>
      </c>
      <c r="C40" s="9">
        <v>137</v>
      </c>
      <c r="D40" s="9"/>
      <c r="E40" s="9"/>
      <c r="F40" s="33">
        <f>129+AA40</f>
        <v>0</v>
      </c>
      <c r="G40" s="19">
        <f>VLOOKUP(A40,[2]TDSheet!$A:$G,7,0)</f>
        <v>0.43</v>
      </c>
      <c r="H40" s="2">
        <f>VLOOKUP(A40,[1]TDSheet!$A:$Q,4,0)</f>
        <v>20</v>
      </c>
      <c r="I40" s="2">
        <f t="shared" si="3"/>
        <v>-20</v>
      </c>
      <c r="L40" s="2">
        <f t="shared" si="4"/>
        <v>0</v>
      </c>
      <c r="M40" s="39"/>
      <c r="N40" s="49">
        <v>80</v>
      </c>
      <c r="O40" s="43">
        <v>80</v>
      </c>
      <c r="P40" s="34" t="s">
        <v>89</v>
      </c>
      <c r="Q40" s="2" t="e">
        <f t="shared" si="7"/>
        <v>#DIV/0!</v>
      </c>
      <c r="R40" s="2" t="e">
        <f t="shared" si="8"/>
        <v>#DIV/0!</v>
      </c>
      <c r="S40" s="2">
        <f>VLOOKUP(A40,[2]TDSheet!$A:$S,19,0)</f>
        <v>3</v>
      </c>
      <c r="T40" s="2">
        <f>VLOOKUP(A40,[2]TDSheet!$A:$T,20,0)</f>
        <v>2.8</v>
      </c>
      <c r="U40" s="2">
        <f>VLOOKUP(A40,[2]TDSheet!$A:$L,12,0)</f>
        <v>1.8</v>
      </c>
      <c r="V40" s="35" t="s">
        <v>95</v>
      </c>
      <c r="W40" s="2">
        <f t="shared" si="9"/>
        <v>34.4</v>
      </c>
      <c r="X40" s="19">
        <f>VLOOKUP(A40,[2]TDSheet!$A:$Y,25,0)</f>
        <v>16</v>
      </c>
      <c r="Y40" s="20">
        <v>5</v>
      </c>
      <c r="Z40" s="2">
        <f t="shared" si="10"/>
        <v>34.4</v>
      </c>
      <c r="AA40" s="34">
        <v>-129</v>
      </c>
    </row>
    <row r="41" spans="1:27" ht="11.1" customHeight="1" outlineLevel="1" x14ac:dyDescent="0.2">
      <c r="A41" s="8" t="s">
        <v>49</v>
      </c>
      <c r="B41" s="8" t="s">
        <v>10</v>
      </c>
      <c r="C41" s="9">
        <v>125</v>
      </c>
      <c r="D41" s="9"/>
      <c r="E41" s="9">
        <v>41</v>
      </c>
      <c r="F41" s="9">
        <v>56</v>
      </c>
      <c r="G41" s="19">
        <f>VLOOKUP(A41,[2]TDSheet!$A:$G,7,0)</f>
        <v>1</v>
      </c>
      <c r="H41" s="2">
        <f>VLOOKUP(A41,[1]TDSheet!$A:$Q,4,0)</f>
        <v>44</v>
      </c>
      <c r="I41" s="2">
        <f t="shared" si="3"/>
        <v>-3</v>
      </c>
      <c r="L41" s="2">
        <f t="shared" si="4"/>
        <v>8.1999999999999993</v>
      </c>
      <c r="M41" s="39">
        <f t="shared" si="12"/>
        <v>148.99999999999997</v>
      </c>
      <c r="N41" s="53">
        <v>300</v>
      </c>
      <c r="O41" s="42">
        <v>500</v>
      </c>
      <c r="P41" s="2" t="s">
        <v>91</v>
      </c>
      <c r="Q41" s="2">
        <f t="shared" si="7"/>
        <v>43.41463414634147</v>
      </c>
      <c r="R41" s="2">
        <f t="shared" si="8"/>
        <v>6.8292682926829276</v>
      </c>
      <c r="S41" s="2">
        <f>VLOOKUP(A41,[2]TDSheet!$A:$S,19,0)</f>
        <v>11.6</v>
      </c>
      <c r="T41" s="2">
        <f>VLOOKUP(A41,[2]TDSheet!$A:$T,20,0)</f>
        <v>1.4</v>
      </c>
      <c r="U41" s="2">
        <f>VLOOKUP(A41,[2]TDSheet!$A:$L,12,0)</f>
        <v>6.2</v>
      </c>
      <c r="W41" s="2">
        <f t="shared" si="9"/>
        <v>300</v>
      </c>
      <c r="X41" s="19">
        <f>VLOOKUP(A41,[2]TDSheet!$A:$Y,25,0)</f>
        <v>5</v>
      </c>
      <c r="Y41" s="20">
        <v>60</v>
      </c>
      <c r="Z41" s="2">
        <f t="shared" si="10"/>
        <v>300</v>
      </c>
    </row>
    <row r="42" spans="1:27" ht="11.1" customHeight="1" outlineLevel="1" x14ac:dyDescent="0.2">
      <c r="A42" s="28" t="s">
        <v>50</v>
      </c>
      <c r="B42" s="8" t="s">
        <v>14</v>
      </c>
      <c r="C42" s="9">
        <v>72</v>
      </c>
      <c r="D42" s="9"/>
      <c r="E42" s="9">
        <v>27.5</v>
      </c>
      <c r="F42" s="30">
        <f>44.5+F17</f>
        <v>28</v>
      </c>
      <c r="G42" s="19">
        <v>1</v>
      </c>
      <c r="H42" s="2">
        <f>VLOOKUP(A42,[1]TDSheet!$A:$Q,4,0)</f>
        <v>22.5</v>
      </c>
      <c r="I42" s="2">
        <f t="shared" si="3"/>
        <v>5</v>
      </c>
      <c r="L42" s="2">
        <f t="shared" si="4"/>
        <v>5.5</v>
      </c>
      <c r="M42" s="39">
        <f t="shared" si="12"/>
        <v>109.5</v>
      </c>
      <c r="N42" s="49">
        <v>140</v>
      </c>
      <c r="O42" s="42"/>
      <c r="Q42" s="2">
        <f t="shared" si="7"/>
        <v>30.545454545454547</v>
      </c>
      <c r="R42" s="2">
        <f t="shared" si="8"/>
        <v>5.0909090909090908</v>
      </c>
      <c r="S42" s="2">
        <v>0</v>
      </c>
      <c r="T42" s="2">
        <v>0</v>
      </c>
      <c r="U42" s="2">
        <v>0</v>
      </c>
      <c r="W42" s="2">
        <f t="shared" si="9"/>
        <v>140</v>
      </c>
      <c r="X42" s="19">
        <v>5.5</v>
      </c>
      <c r="Y42" s="20">
        <v>26</v>
      </c>
      <c r="Z42" s="2">
        <f t="shared" si="10"/>
        <v>143</v>
      </c>
    </row>
    <row r="43" spans="1:27" ht="11.1" customHeight="1" outlineLevel="1" x14ac:dyDescent="0.2">
      <c r="A43" s="8" t="s">
        <v>65</v>
      </c>
      <c r="B43" s="8" t="s">
        <v>10</v>
      </c>
      <c r="C43" s="9"/>
      <c r="D43" s="9"/>
      <c r="E43" s="9"/>
      <c r="F43" s="9"/>
      <c r="G43" s="19">
        <f>VLOOKUP(A43,[2]TDSheet!$A:$G,7,0)</f>
        <v>0.33</v>
      </c>
      <c r="I43" s="2">
        <f t="shared" si="3"/>
        <v>0</v>
      </c>
      <c r="L43" s="2">
        <f t="shared" si="4"/>
        <v>0</v>
      </c>
      <c r="M43" s="40">
        <v>60</v>
      </c>
      <c r="N43" s="49">
        <f t="shared" si="6"/>
        <v>60</v>
      </c>
      <c r="O43" s="42"/>
      <c r="Q43" s="2" t="e">
        <f t="shared" si="7"/>
        <v>#DIV/0!</v>
      </c>
      <c r="R43" s="2" t="e">
        <f t="shared" si="8"/>
        <v>#DIV/0!</v>
      </c>
      <c r="S43" s="2">
        <f>VLOOKUP(A43,[2]TDSheet!$A:$S,19,0)</f>
        <v>0</v>
      </c>
      <c r="T43" s="2">
        <f>VLOOKUP(A43,[2]TDSheet!$A:$T,20,0)</f>
        <v>0</v>
      </c>
      <c r="U43" s="2">
        <f>VLOOKUP(A43,[2]TDSheet!$A:$L,12,0)</f>
        <v>0</v>
      </c>
      <c r="W43" s="2">
        <f t="shared" si="9"/>
        <v>19.8</v>
      </c>
      <c r="X43" s="19">
        <f>VLOOKUP(A43,[2]TDSheet!$A:$Y,25,0)</f>
        <v>6</v>
      </c>
      <c r="Y43" s="20">
        <v>10</v>
      </c>
      <c r="Z43" s="2">
        <f t="shared" si="10"/>
        <v>19.8</v>
      </c>
    </row>
    <row r="44" spans="1:27" ht="11.1" customHeight="1" outlineLevel="1" x14ac:dyDescent="0.2">
      <c r="A44" s="8" t="s">
        <v>51</v>
      </c>
      <c r="B44" s="8" t="s">
        <v>14</v>
      </c>
      <c r="C44" s="9">
        <v>44.3</v>
      </c>
      <c r="D44" s="9"/>
      <c r="E44" s="9">
        <v>3</v>
      </c>
      <c r="F44" s="9">
        <v>38.299999999999997</v>
      </c>
      <c r="G44" s="19">
        <f>VLOOKUP(A44,[2]TDSheet!$A:$G,7,0)</f>
        <v>1</v>
      </c>
      <c r="H44" s="2">
        <f>VLOOKUP(A44,[1]TDSheet!$A:$Q,4,0)</f>
        <v>3</v>
      </c>
      <c r="I44" s="2">
        <f t="shared" si="3"/>
        <v>0</v>
      </c>
      <c r="L44" s="2">
        <f t="shared" si="4"/>
        <v>0.6</v>
      </c>
      <c r="M44" s="39"/>
      <c r="N44" s="49">
        <f t="shared" si="6"/>
        <v>0</v>
      </c>
      <c r="O44" s="42"/>
      <c r="Q44" s="2">
        <f t="shared" si="7"/>
        <v>63.833333333333329</v>
      </c>
      <c r="R44" s="2">
        <f t="shared" si="8"/>
        <v>63.833333333333329</v>
      </c>
      <c r="S44" s="2">
        <f>VLOOKUP(A44,[2]TDSheet!$A:$S,19,0)</f>
        <v>0</v>
      </c>
      <c r="T44" s="2">
        <f>VLOOKUP(A44,[2]TDSheet!$A:$T,20,0)</f>
        <v>0</v>
      </c>
      <c r="U44" s="2">
        <f>VLOOKUP(A44,[2]TDSheet!$A:$L,12,0)</f>
        <v>0</v>
      </c>
      <c r="W44" s="2">
        <f t="shared" si="9"/>
        <v>0</v>
      </c>
      <c r="X44" s="19">
        <f>VLOOKUP(A44,[2]TDSheet!$A:$Y,25,0)</f>
        <v>3</v>
      </c>
      <c r="Y44" s="20">
        <f t="shared" si="11"/>
        <v>0</v>
      </c>
      <c r="Z44" s="2">
        <f t="shared" si="10"/>
        <v>0</v>
      </c>
    </row>
    <row r="45" spans="1:27" ht="11.1" customHeight="1" outlineLevel="1" x14ac:dyDescent="0.2">
      <c r="A45" s="8" t="s">
        <v>52</v>
      </c>
      <c r="B45" s="8" t="s">
        <v>10</v>
      </c>
      <c r="C45" s="9">
        <v>539</v>
      </c>
      <c r="D45" s="9"/>
      <c r="E45" s="9">
        <v>109</v>
      </c>
      <c r="F45" s="9">
        <v>343</v>
      </c>
      <c r="G45" s="19">
        <f>VLOOKUP(A45,[2]TDSheet!$A:$G,7,0)</f>
        <v>0.25</v>
      </c>
      <c r="H45" s="2">
        <f>VLOOKUP(A45,[1]TDSheet!$A:$Q,4,0)</f>
        <v>106</v>
      </c>
      <c r="I45" s="2">
        <f t="shared" si="3"/>
        <v>3</v>
      </c>
      <c r="L45" s="2">
        <f t="shared" si="4"/>
        <v>21.8</v>
      </c>
      <c r="M45" s="39">
        <f t="shared" si="12"/>
        <v>202</v>
      </c>
      <c r="N45" s="49">
        <f t="shared" si="6"/>
        <v>202</v>
      </c>
      <c r="O45" s="42"/>
      <c r="Q45" s="2">
        <f t="shared" si="7"/>
        <v>25</v>
      </c>
      <c r="R45" s="2">
        <f t="shared" si="8"/>
        <v>15.73394495412844</v>
      </c>
      <c r="S45" s="2">
        <f>VLOOKUP(A45,[2]TDSheet!$A:$S,19,0)</f>
        <v>33</v>
      </c>
      <c r="T45" s="2">
        <f>VLOOKUP(A45,[2]TDSheet!$A:$T,20,0)</f>
        <v>22.4</v>
      </c>
      <c r="U45" s="2">
        <f>VLOOKUP(A45,[2]TDSheet!$A:$L,12,0)</f>
        <v>63.8</v>
      </c>
      <c r="W45" s="2">
        <f t="shared" si="9"/>
        <v>50.5</v>
      </c>
      <c r="X45" s="19">
        <f>VLOOKUP(A45,[2]TDSheet!$A:$Y,25,0)</f>
        <v>12</v>
      </c>
      <c r="Y45" s="20">
        <v>17</v>
      </c>
      <c r="Z45" s="2">
        <f t="shared" si="10"/>
        <v>51</v>
      </c>
    </row>
    <row r="46" spans="1:27" ht="11.1" customHeight="1" outlineLevel="1" x14ac:dyDescent="0.2">
      <c r="A46" s="8" t="s">
        <v>53</v>
      </c>
      <c r="B46" s="8" t="s">
        <v>10</v>
      </c>
      <c r="C46" s="9">
        <v>364</v>
      </c>
      <c r="D46" s="9">
        <v>1</v>
      </c>
      <c r="E46" s="9">
        <v>56</v>
      </c>
      <c r="F46" s="9">
        <v>260</v>
      </c>
      <c r="G46" s="19">
        <f>VLOOKUP(A46,[2]TDSheet!$A:$G,7,0)</f>
        <v>0.3</v>
      </c>
      <c r="H46" s="2">
        <f>VLOOKUP(A46,[1]TDSheet!$A:$Q,4,0)</f>
        <v>56</v>
      </c>
      <c r="I46" s="2">
        <f t="shared" si="3"/>
        <v>0</v>
      </c>
      <c r="L46" s="2">
        <f t="shared" si="4"/>
        <v>11.2</v>
      </c>
      <c r="M46" s="39">
        <f t="shared" si="12"/>
        <v>20</v>
      </c>
      <c r="N46" s="49">
        <f t="shared" si="6"/>
        <v>20</v>
      </c>
      <c r="O46" s="42"/>
      <c r="Q46" s="2">
        <f t="shared" si="7"/>
        <v>25</v>
      </c>
      <c r="R46" s="2">
        <f t="shared" si="8"/>
        <v>23.214285714285715</v>
      </c>
      <c r="S46" s="2">
        <f>VLOOKUP(A46,[2]TDSheet!$A:$S,19,0)</f>
        <v>25.6</v>
      </c>
      <c r="T46" s="2">
        <f>VLOOKUP(A46,[2]TDSheet!$A:$T,20,0)</f>
        <v>14.4</v>
      </c>
      <c r="U46" s="2">
        <f>VLOOKUP(A46,[2]TDSheet!$A:$L,12,0)</f>
        <v>30.4</v>
      </c>
      <c r="W46" s="2">
        <f t="shared" si="9"/>
        <v>6</v>
      </c>
      <c r="X46" s="19">
        <f>VLOOKUP(A46,[2]TDSheet!$A:$Y,25,0)</f>
        <v>12</v>
      </c>
      <c r="Y46" s="20">
        <v>2</v>
      </c>
      <c r="Z46" s="2">
        <f t="shared" si="10"/>
        <v>7.1999999999999993</v>
      </c>
    </row>
    <row r="47" spans="1:27" ht="11.1" customHeight="1" outlineLevel="1" x14ac:dyDescent="0.2">
      <c r="A47" s="8" t="s">
        <v>54</v>
      </c>
      <c r="B47" s="8" t="s">
        <v>10</v>
      </c>
      <c r="C47" s="9">
        <v>363</v>
      </c>
      <c r="D47" s="9">
        <v>1</v>
      </c>
      <c r="E47" s="9">
        <v>45</v>
      </c>
      <c r="F47" s="9">
        <v>278</v>
      </c>
      <c r="G47" s="19">
        <f>VLOOKUP(A47,[2]TDSheet!$A:$G,7,0)</f>
        <v>0.3</v>
      </c>
      <c r="H47" s="2">
        <f>VLOOKUP(A47,[1]TDSheet!$A:$Q,4,0)</f>
        <v>45</v>
      </c>
      <c r="I47" s="2">
        <f t="shared" si="3"/>
        <v>0</v>
      </c>
      <c r="L47" s="2">
        <f t="shared" si="4"/>
        <v>9</v>
      </c>
      <c r="M47" s="39"/>
      <c r="N47" s="49">
        <f t="shared" si="6"/>
        <v>0</v>
      </c>
      <c r="O47" s="42"/>
      <c r="Q47" s="2">
        <f t="shared" si="7"/>
        <v>30.888888888888889</v>
      </c>
      <c r="R47" s="2">
        <f t="shared" si="8"/>
        <v>30.888888888888889</v>
      </c>
      <c r="S47" s="2">
        <f>VLOOKUP(A47,[2]TDSheet!$A:$S,19,0)</f>
        <v>25</v>
      </c>
      <c r="T47" s="2">
        <f>VLOOKUP(A47,[2]TDSheet!$A:$T,20,0)</f>
        <v>18</v>
      </c>
      <c r="U47" s="2">
        <f>VLOOKUP(A47,[2]TDSheet!$A:$L,12,0)</f>
        <v>34.4</v>
      </c>
      <c r="W47" s="2">
        <f t="shared" si="9"/>
        <v>0</v>
      </c>
      <c r="X47" s="19">
        <f>VLOOKUP(A47,[2]TDSheet!$A:$Y,25,0)</f>
        <v>12</v>
      </c>
      <c r="Y47" s="20">
        <f t="shared" si="11"/>
        <v>0</v>
      </c>
      <c r="Z47" s="2">
        <f t="shared" si="10"/>
        <v>0</v>
      </c>
    </row>
    <row r="48" spans="1:27" ht="11.1" customHeight="1" outlineLevel="1" x14ac:dyDescent="0.2">
      <c r="A48" s="8" t="s">
        <v>55</v>
      </c>
      <c r="B48" s="8" t="s">
        <v>14</v>
      </c>
      <c r="C48" s="9">
        <v>95.4</v>
      </c>
      <c r="D48" s="9">
        <v>0.9</v>
      </c>
      <c r="E48" s="9">
        <v>7.2</v>
      </c>
      <c r="F48" s="9">
        <v>84.6</v>
      </c>
      <c r="G48" s="19">
        <f>VLOOKUP(A48,[2]TDSheet!$A:$G,7,0)</f>
        <v>1</v>
      </c>
      <c r="H48" s="2">
        <f>VLOOKUP(A48,[1]TDSheet!$A:$Q,4,0)</f>
        <v>9</v>
      </c>
      <c r="I48" s="2">
        <f t="shared" si="3"/>
        <v>-1.7999999999999998</v>
      </c>
      <c r="L48" s="2">
        <f t="shared" si="4"/>
        <v>1.44</v>
      </c>
      <c r="M48" s="39"/>
      <c r="N48" s="49">
        <f t="shared" si="6"/>
        <v>0</v>
      </c>
      <c r="O48" s="42"/>
      <c r="Q48" s="2">
        <f t="shared" si="7"/>
        <v>58.75</v>
      </c>
      <c r="R48" s="2">
        <f t="shared" si="8"/>
        <v>58.75</v>
      </c>
      <c r="S48" s="2">
        <f>VLOOKUP(A48,[2]TDSheet!$A:$S,19,0)</f>
        <v>0</v>
      </c>
      <c r="T48" s="2">
        <f>VLOOKUP(A48,[2]TDSheet!$A:$T,20,0)</f>
        <v>0</v>
      </c>
      <c r="U48" s="2">
        <f>VLOOKUP(A48,[2]TDSheet!$A:$L,12,0)</f>
        <v>0.72</v>
      </c>
      <c r="W48" s="2">
        <f t="shared" si="9"/>
        <v>0</v>
      </c>
      <c r="X48" s="19">
        <f>VLOOKUP(A48,[2]TDSheet!$A:$Y,25,0)</f>
        <v>1.8</v>
      </c>
      <c r="Y48" s="20">
        <f t="shared" si="11"/>
        <v>0</v>
      </c>
      <c r="Z48" s="2">
        <f t="shared" si="10"/>
        <v>0</v>
      </c>
    </row>
    <row r="49" spans="1:26" ht="11.1" customHeight="1" outlineLevel="1" x14ac:dyDescent="0.2">
      <c r="A49" s="24" t="s">
        <v>56</v>
      </c>
      <c r="B49" s="24" t="s">
        <v>14</v>
      </c>
      <c r="C49" s="25">
        <v>0.9</v>
      </c>
      <c r="D49" s="25"/>
      <c r="E49" s="25"/>
      <c r="F49" s="25">
        <v>0.9</v>
      </c>
      <c r="G49" s="26">
        <v>0</v>
      </c>
      <c r="I49" s="2">
        <f t="shared" si="3"/>
        <v>0</v>
      </c>
      <c r="L49" s="2">
        <f t="shared" si="4"/>
        <v>0</v>
      </c>
      <c r="M49" s="39"/>
      <c r="N49" s="49">
        <f t="shared" si="6"/>
        <v>0</v>
      </c>
      <c r="O49" s="45">
        <v>30</v>
      </c>
      <c r="P49" s="32" t="s">
        <v>91</v>
      </c>
      <c r="Q49" s="2" t="e">
        <f t="shared" si="7"/>
        <v>#DIV/0!</v>
      </c>
      <c r="R49" s="2" t="e">
        <f t="shared" si="8"/>
        <v>#DIV/0!</v>
      </c>
      <c r="S49" s="2">
        <f>VLOOKUP(A49,[2]TDSheet!$A:$S,19,0)</f>
        <v>0.72</v>
      </c>
      <c r="T49" s="2">
        <f>VLOOKUP(A49,[2]TDSheet!$A:$T,20,0)</f>
        <v>0</v>
      </c>
      <c r="U49" s="2">
        <f>VLOOKUP(A49,[2]TDSheet!$A:$L,12,0)</f>
        <v>0.54</v>
      </c>
      <c r="V49" s="23" t="s">
        <v>84</v>
      </c>
      <c r="W49" s="2">
        <f t="shared" si="9"/>
        <v>0</v>
      </c>
      <c r="X49" s="19">
        <f>VLOOKUP(A49,[2]TDSheet!$A:$Y,25,0)</f>
        <v>1.8</v>
      </c>
      <c r="Y49" s="20">
        <f t="shared" si="11"/>
        <v>0</v>
      </c>
      <c r="Z49" s="2">
        <f t="shared" si="10"/>
        <v>0</v>
      </c>
    </row>
    <row r="50" spans="1:26" ht="11.1" customHeight="1" outlineLevel="1" x14ac:dyDescent="0.2">
      <c r="A50" s="8" t="s">
        <v>57</v>
      </c>
      <c r="B50" s="8" t="s">
        <v>10</v>
      </c>
      <c r="C50" s="9">
        <v>38</v>
      </c>
      <c r="D50" s="9"/>
      <c r="E50" s="9">
        <v>5</v>
      </c>
      <c r="F50" s="9">
        <v>33</v>
      </c>
      <c r="G50" s="19">
        <f>VLOOKUP(A50,[2]TDSheet!$A:$G,7,0)</f>
        <v>0.2</v>
      </c>
      <c r="H50" s="2">
        <f>VLOOKUP(A50,[1]TDSheet!$A:$Q,4,0)</f>
        <v>5</v>
      </c>
      <c r="I50" s="2">
        <f t="shared" si="3"/>
        <v>0</v>
      </c>
      <c r="L50" s="2">
        <f t="shared" si="4"/>
        <v>1</v>
      </c>
      <c r="M50" s="39"/>
      <c r="N50" s="49">
        <f t="shared" si="6"/>
        <v>0</v>
      </c>
      <c r="O50" s="42"/>
      <c r="Q50" s="2">
        <f t="shared" si="7"/>
        <v>33</v>
      </c>
      <c r="R50" s="2">
        <f t="shared" si="8"/>
        <v>33</v>
      </c>
      <c r="S50" s="2">
        <f>VLOOKUP(A50,[2]TDSheet!$A:$S,19,0)</f>
        <v>0</v>
      </c>
      <c r="T50" s="2">
        <f>VLOOKUP(A50,[2]TDSheet!$A:$T,20,0)</f>
        <v>0</v>
      </c>
      <c r="U50" s="2">
        <f>VLOOKUP(A50,[2]TDSheet!$A:$L,12,0)</f>
        <v>0.8</v>
      </c>
      <c r="W50" s="2">
        <f t="shared" si="9"/>
        <v>0</v>
      </c>
      <c r="X50" s="19">
        <f>VLOOKUP(A50,[2]TDSheet!$A:$Y,25,0)</f>
        <v>6</v>
      </c>
      <c r="Y50" s="20">
        <f t="shared" si="11"/>
        <v>0</v>
      </c>
      <c r="Z50" s="2">
        <f t="shared" si="10"/>
        <v>0</v>
      </c>
    </row>
    <row r="51" spans="1:26" ht="11.1" customHeight="1" outlineLevel="1" x14ac:dyDescent="0.2">
      <c r="A51" s="8" t="s">
        <v>58</v>
      </c>
      <c r="B51" s="8" t="s">
        <v>10</v>
      </c>
      <c r="C51" s="9">
        <v>1</v>
      </c>
      <c r="D51" s="9"/>
      <c r="E51" s="9"/>
      <c r="F51" s="9">
        <v>1</v>
      </c>
      <c r="G51" s="19">
        <f>VLOOKUP(A51,[2]TDSheet!$A:$G,7,0)</f>
        <v>0.2</v>
      </c>
      <c r="H51" s="2">
        <f>VLOOKUP(A51,[1]TDSheet!$A:$Q,4,0)</f>
        <v>2</v>
      </c>
      <c r="I51" s="2">
        <f t="shared" si="3"/>
        <v>-2</v>
      </c>
      <c r="L51" s="2">
        <f t="shared" si="4"/>
        <v>0</v>
      </c>
      <c r="M51" s="39"/>
      <c r="N51" s="54">
        <v>30</v>
      </c>
      <c r="O51" s="42">
        <v>30</v>
      </c>
      <c r="P51" s="2" t="s">
        <v>91</v>
      </c>
      <c r="Q51" s="2" t="e">
        <f t="shared" si="7"/>
        <v>#DIV/0!</v>
      </c>
      <c r="R51" s="2" t="e">
        <f t="shared" si="8"/>
        <v>#DIV/0!</v>
      </c>
      <c r="S51" s="2">
        <f>VLOOKUP(A51,[2]TDSheet!$A:$S,19,0)</f>
        <v>0.4</v>
      </c>
      <c r="T51" s="2">
        <f>VLOOKUP(A51,[2]TDSheet!$A:$T,20,0)</f>
        <v>0.6</v>
      </c>
      <c r="U51" s="2">
        <f>VLOOKUP(A51,[2]TDSheet!$A:$L,12,0)</f>
        <v>0.8</v>
      </c>
      <c r="W51" s="2">
        <f t="shared" si="9"/>
        <v>6</v>
      </c>
      <c r="X51" s="19">
        <f>VLOOKUP(A51,[2]TDSheet!$A:$Y,25,0)</f>
        <v>6</v>
      </c>
      <c r="Y51" s="20">
        <v>5</v>
      </c>
      <c r="Z51" s="2">
        <f t="shared" si="10"/>
        <v>6</v>
      </c>
    </row>
    <row r="52" spans="1:26" ht="11.1" customHeight="1" outlineLevel="1" x14ac:dyDescent="0.2">
      <c r="A52" s="8" t="s">
        <v>59</v>
      </c>
      <c r="B52" s="8" t="s">
        <v>10</v>
      </c>
      <c r="C52" s="9">
        <v>805</v>
      </c>
      <c r="D52" s="9">
        <v>1</v>
      </c>
      <c r="E52" s="9">
        <v>447</v>
      </c>
      <c r="F52" s="9">
        <v>351</v>
      </c>
      <c r="G52" s="19">
        <f>VLOOKUP(A52,[2]TDSheet!$A:$G,7,0)</f>
        <v>0.3</v>
      </c>
      <c r="H52" s="2">
        <f>VLOOKUP(A52,[1]TDSheet!$A:$Q,4,0)</f>
        <v>447</v>
      </c>
      <c r="I52" s="2">
        <f t="shared" si="3"/>
        <v>0</v>
      </c>
      <c r="L52" s="2">
        <f t="shared" si="4"/>
        <v>89.4</v>
      </c>
      <c r="M52" s="39">
        <f>24*L52-F52</f>
        <v>1794.6000000000004</v>
      </c>
      <c r="N52" s="50">
        <v>2500</v>
      </c>
      <c r="O52" s="42">
        <v>2500</v>
      </c>
      <c r="P52" s="2" t="s">
        <v>90</v>
      </c>
      <c r="Q52" s="2">
        <f t="shared" si="7"/>
        <v>31.890380313199103</v>
      </c>
      <c r="R52" s="2">
        <f t="shared" si="8"/>
        <v>3.9261744966442951</v>
      </c>
      <c r="S52" s="2">
        <f>VLOOKUP(A52,[2]TDSheet!$A:$S,19,0)</f>
        <v>24.2</v>
      </c>
      <c r="T52" s="2">
        <f>VLOOKUP(A52,[2]TDSheet!$A:$T,20,0)</f>
        <v>0.4</v>
      </c>
      <c r="U52" s="2">
        <f>VLOOKUP(A52,[2]TDSheet!$A:$L,12,0)</f>
        <v>0</v>
      </c>
      <c r="W52" s="2">
        <f t="shared" si="9"/>
        <v>750</v>
      </c>
      <c r="X52" s="19">
        <f>VLOOKUP(A52,[2]TDSheet!$A:$Y,25,0)</f>
        <v>14</v>
      </c>
      <c r="Y52" s="20">
        <v>179</v>
      </c>
      <c r="Z52" s="2">
        <f t="shared" si="10"/>
        <v>751.8</v>
      </c>
    </row>
    <row r="53" spans="1:26" ht="11.1" customHeight="1" outlineLevel="1" x14ac:dyDescent="0.2">
      <c r="A53" s="8" t="s">
        <v>60</v>
      </c>
      <c r="B53" s="8" t="s">
        <v>10</v>
      </c>
      <c r="C53" s="9">
        <v>634</v>
      </c>
      <c r="D53" s="9">
        <v>1</v>
      </c>
      <c r="E53" s="9">
        <v>252</v>
      </c>
      <c r="F53" s="9">
        <v>295</v>
      </c>
      <c r="G53" s="19">
        <f>VLOOKUP(A53,[2]TDSheet!$A:$G,7,0)</f>
        <v>0.25</v>
      </c>
      <c r="H53" s="2">
        <f>VLOOKUP(A53,[1]TDSheet!$A:$Q,4,0)</f>
        <v>249</v>
      </c>
      <c r="I53" s="2">
        <f t="shared" si="3"/>
        <v>3</v>
      </c>
      <c r="L53" s="2">
        <f t="shared" si="4"/>
        <v>50.4</v>
      </c>
      <c r="M53" s="39">
        <f t="shared" ref="M53:M57" si="13">25*L53-F53</f>
        <v>965</v>
      </c>
      <c r="N53" s="51">
        <v>1000</v>
      </c>
      <c r="O53" s="42">
        <v>1000</v>
      </c>
      <c r="P53" s="2" t="s">
        <v>90</v>
      </c>
      <c r="Q53" s="2">
        <f t="shared" si="7"/>
        <v>25.694444444444446</v>
      </c>
      <c r="R53" s="2">
        <f t="shared" si="8"/>
        <v>5.8531746031746037</v>
      </c>
      <c r="S53" s="2">
        <f>VLOOKUP(A53,[2]TDSheet!$A:$S,19,0)</f>
        <v>52.4</v>
      </c>
      <c r="T53" s="2">
        <f>VLOOKUP(A53,[2]TDSheet!$A:$T,20,0)</f>
        <v>19.2</v>
      </c>
      <c r="U53" s="2">
        <f>VLOOKUP(A53,[2]TDSheet!$A:$L,12,0)</f>
        <v>79.2</v>
      </c>
      <c r="W53" s="2">
        <f t="shared" si="9"/>
        <v>250</v>
      </c>
      <c r="X53" s="19">
        <f>VLOOKUP(A53,[2]TDSheet!$A:$Y,25,0)</f>
        <v>12</v>
      </c>
      <c r="Y53" s="20">
        <v>84</v>
      </c>
      <c r="Z53" s="2">
        <f t="shared" si="10"/>
        <v>252</v>
      </c>
    </row>
    <row r="54" spans="1:26" ht="11.1" customHeight="1" outlineLevel="1" x14ac:dyDescent="0.2">
      <c r="A54" s="8" t="s">
        <v>61</v>
      </c>
      <c r="B54" s="8" t="s">
        <v>10</v>
      </c>
      <c r="C54" s="9">
        <v>474</v>
      </c>
      <c r="D54" s="9">
        <v>1</v>
      </c>
      <c r="E54" s="9">
        <v>470</v>
      </c>
      <c r="F54" s="9">
        <v>5</v>
      </c>
      <c r="G54" s="19">
        <f>VLOOKUP(A54,[2]TDSheet!$A:$G,7,0)</f>
        <v>0.25</v>
      </c>
      <c r="H54" s="2">
        <f>VLOOKUP(A54,[1]TDSheet!$A:$Q,4,0)</f>
        <v>495</v>
      </c>
      <c r="I54" s="2">
        <f t="shared" si="3"/>
        <v>-25</v>
      </c>
      <c r="L54" s="2">
        <f t="shared" si="4"/>
        <v>94</v>
      </c>
      <c r="M54" s="39">
        <f>20*L54-F54</f>
        <v>1875</v>
      </c>
      <c r="N54" s="51">
        <v>2000</v>
      </c>
      <c r="O54" s="42">
        <v>2000</v>
      </c>
      <c r="P54" s="2" t="s">
        <v>90</v>
      </c>
      <c r="Q54" s="2">
        <f t="shared" si="7"/>
        <v>21.329787234042552</v>
      </c>
      <c r="R54" s="2">
        <f t="shared" si="8"/>
        <v>5.3191489361702128E-2</v>
      </c>
      <c r="S54" s="2">
        <f>VLOOKUP(A54,[2]TDSheet!$A:$S,19,0)</f>
        <v>79.2</v>
      </c>
      <c r="T54" s="2">
        <f>VLOOKUP(A54,[2]TDSheet!$A:$T,20,0)</f>
        <v>22.4</v>
      </c>
      <c r="U54" s="2">
        <f>VLOOKUP(A54,[2]TDSheet!$A:$L,12,0)</f>
        <v>80.400000000000006</v>
      </c>
      <c r="W54" s="2">
        <f t="shared" si="9"/>
        <v>500</v>
      </c>
      <c r="X54" s="19">
        <f>VLOOKUP(A54,[2]TDSheet!$A:$Y,25,0)</f>
        <v>12</v>
      </c>
      <c r="Y54" s="20">
        <v>167</v>
      </c>
      <c r="Z54" s="2">
        <f t="shared" si="10"/>
        <v>501</v>
      </c>
    </row>
    <row r="55" spans="1:26" ht="11.1" customHeight="1" outlineLevel="1" x14ac:dyDescent="0.2">
      <c r="A55" s="8" t="s">
        <v>62</v>
      </c>
      <c r="B55" s="8" t="s">
        <v>14</v>
      </c>
      <c r="C55" s="9">
        <v>140.4</v>
      </c>
      <c r="D55" s="9"/>
      <c r="E55" s="9">
        <v>2.7</v>
      </c>
      <c r="F55" s="9">
        <v>135</v>
      </c>
      <c r="G55" s="19">
        <v>1</v>
      </c>
      <c r="H55" s="2">
        <f>VLOOKUP(A55,[1]TDSheet!$A:$Q,4,0)</f>
        <v>2.7</v>
      </c>
      <c r="I55" s="2">
        <f t="shared" si="3"/>
        <v>0</v>
      </c>
      <c r="L55" s="2">
        <f t="shared" si="4"/>
        <v>0.54</v>
      </c>
      <c r="M55" s="39"/>
      <c r="N55" s="49">
        <f t="shared" si="6"/>
        <v>0</v>
      </c>
      <c r="O55" s="42"/>
      <c r="Q55" s="2">
        <f t="shared" si="7"/>
        <v>249.99999999999997</v>
      </c>
      <c r="R55" s="2">
        <f t="shared" si="8"/>
        <v>249.99999999999997</v>
      </c>
      <c r="S55" s="2">
        <v>0</v>
      </c>
      <c r="T55" s="2">
        <v>0</v>
      </c>
      <c r="U55" s="2">
        <v>0</v>
      </c>
      <c r="W55" s="2">
        <f t="shared" si="9"/>
        <v>0</v>
      </c>
      <c r="X55" s="19">
        <v>2.7</v>
      </c>
      <c r="Y55" s="20">
        <f t="shared" si="11"/>
        <v>0</v>
      </c>
      <c r="Z55" s="2">
        <f t="shared" si="10"/>
        <v>0</v>
      </c>
    </row>
    <row r="56" spans="1:26" ht="11.1" customHeight="1" outlineLevel="1" x14ac:dyDescent="0.2">
      <c r="A56" s="8" t="s">
        <v>63</v>
      </c>
      <c r="B56" s="8" t="s">
        <v>14</v>
      </c>
      <c r="C56" s="9">
        <v>95</v>
      </c>
      <c r="D56" s="9"/>
      <c r="E56" s="9">
        <v>10</v>
      </c>
      <c r="F56" s="9">
        <v>80</v>
      </c>
      <c r="G56" s="19">
        <v>1</v>
      </c>
      <c r="H56" s="2">
        <f>VLOOKUP(A56,[1]TDSheet!$A:$Q,4,0)</f>
        <v>10</v>
      </c>
      <c r="I56" s="2">
        <f t="shared" si="3"/>
        <v>0</v>
      </c>
      <c r="L56" s="2">
        <f t="shared" si="4"/>
        <v>2</v>
      </c>
      <c r="M56" s="39"/>
      <c r="N56" s="49">
        <f t="shared" si="6"/>
        <v>0</v>
      </c>
      <c r="O56" s="42"/>
      <c r="Q56" s="2">
        <f t="shared" si="7"/>
        <v>40</v>
      </c>
      <c r="R56" s="2">
        <f t="shared" si="8"/>
        <v>40</v>
      </c>
      <c r="S56" s="2">
        <v>0</v>
      </c>
      <c r="T56" s="2">
        <v>0</v>
      </c>
      <c r="U56" s="2">
        <v>0</v>
      </c>
      <c r="W56" s="2">
        <f t="shared" si="9"/>
        <v>0</v>
      </c>
      <c r="X56" s="19">
        <v>5</v>
      </c>
      <c r="Y56" s="20">
        <f t="shared" si="11"/>
        <v>0</v>
      </c>
      <c r="Z56" s="2">
        <f t="shared" si="10"/>
        <v>0</v>
      </c>
    </row>
    <row r="57" spans="1:26" ht="11.1" customHeight="1" outlineLevel="1" x14ac:dyDescent="0.2">
      <c r="A57" s="8" t="s">
        <v>64</v>
      </c>
      <c r="B57" s="8" t="s">
        <v>10</v>
      </c>
      <c r="C57" s="9">
        <v>-15</v>
      </c>
      <c r="D57" s="9"/>
      <c r="E57" s="9"/>
      <c r="F57" s="9">
        <v>-15</v>
      </c>
      <c r="G57" s="19">
        <f>VLOOKUP(A57,[2]TDSheet!$A:$G,7,0)</f>
        <v>0.14000000000000001</v>
      </c>
      <c r="I57" s="2">
        <f t="shared" si="3"/>
        <v>0</v>
      </c>
      <c r="L57" s="2">
        <f t="shared" si="4"/>
        <v>0</v>
      </c>
      <c r="M57" s="39">
        <f t="shared" si="13"/>
        <v>15</v>
      </c>
      <c r="N57" s="49">
        <f t="shared" si="6"/>
        <v>15</v>
      </c>
      <c r="O57" s="42"/>
      <c r="Q57" s="2" t="e">
        <f t="shared" si="7"/>
        <v>#DIV/0!</v>
      </c>
      <c r="R57" s="2" t="e">
        <f t="shared" si="8"/>
        <v>#DIV/0!</v>
      </c>
      <c r="S57" s="2">
        <f>VLOOKUP(A57,[2]TDSheet!$A:$S,19,0)</f>
        <v>4.2</v>
      </c>
      <c r="T57" s="2">
        <f>VLOOKUP(A57,[2]TDSheet!$A:$T,20,0)</f>
        <v>17.2</v>
      </c>
      <c r="U57" s="2">
        <f>VLOOKUP(A57,[2]TDSheet!$A:$L,12,0)</f>
        <v>2</v>
      </c>
      <c r="W57" s="2">
        <f t="shared" si="9"/>
        <v>2.1</v>
      </c>
      <c r="X57" s="19">
        <f>VLOOKUP(A57,[2]TDSheet!$A:$Y,25,0)</f>
        <v>22</v>
      </c>
      <c r="Y57" s="20">
        <v>1</v>
      </c>
      <c r="Z57" s="2">
        <f t="shared" si="10"/>
        <v>3.08</v>
      </c>
    </row>
    <row r="58" spans="1:26" ht="11.1" customHeight="1" outlineLevel="1" x14ac:dyDescent="0.2">
      <c r="A58" s="27" t="s">
        <v>9</v>
      </c>
      <c r="B58" s="8" t="s">
        <v>10</v>
      </c>
      <c r="C58" s="9">
        <v>-507</v>
      </c>
      <c r="D58" s="9"/>
      <c r="E58" s="9"/>
      <c r="F58" s="30">
        <v>-507</v>
      </c>
      <c r="G58" s="19">
        <f>VLOOKUP(A58,[2]TDSheet!$A:$G,7,0)</f>
        <v>0</v>
      </c>
      <c r="I58" s="2">
        <f t="shared" si="3"/>
        <v>0</v>
      </c>
      <c r="L58" s="2">
        <f t="shared" si="4"/>
        <v>0</v>
      </c>
      <c r="M58" s="39"/>
      <c r="N58" s="49">
        <f t="shared" si="6"/>
        <v>0</v>
      </c>
      <c r="O58" s="42"/>
      <c r="Q58" s="2" t="e">
        <f t="shared" si="7"/>
        <v>#DIV/0!</v>
      </c>
      <c r="R58" s="2" t="e">
        <f t="shared" si="8"/>
        <v>#DIV/0!</v>
      </c>
      <c r="S58" s="2">
        <f>VLOOKUP(A58,[2]TDSheet!$A:$S,19,0)</f>
        <v>17.600000000000001</v>
      </c>
      <c r="T58" s="2">
        <f>VLOOKUP(A58,[2]TDSheet!$A:$T,20,0)</f>
        <v>0.8</v>
      </c>
      <c r="U58" s="2">
        <f>VLOOKUP(A58,[2]TDSheet!$A:$L,12,0)</f>
        <v>15.8</v>
      </c>
      <c r="W58" s="2">
        <f t="shared" si="9"/>
        <v>0</v>
      </c>
      <c r="X58" s="19">
        <f>VLOOKUP(A58,[2]TDSheet!$A:$Y,25,0)</f>
        <v>0</v>
      </c>
      <c r="Y58" s="20">
        <v>0</v>
      </c>
      <c r="Z58" s="2">
        <f t="shared" si="10"/>
        <v>0</v>
      </c>
    </row>
    <row r="59" spans="1:26" ht="11.1" customHeight="1" outlineLevel="1" x14ac:dyDescent="0.2">
      <c r="A59" s="27" t="s">
        <v>11</v>
      </c>
      <c r="B59" s="8" t="s">
        <v>10</v>
      </c>
      <c r="C59" s="10"/>
      <c r="D59" s="9"/>
      <c r="E59" s="30">
        <v>17</v>
      </c>
      <c r="F59" s="30">
        <v>-24</v>
      </c>
      <c r="G59" s="19">
        <v>0</v>
      </c>
      <c r="H59" s="2">
        <f>VLOOKUP(A59,[1]TDSheet!$A:$Q,4,0)</f>
        <v>20</v>
      </c>
      <c r="I59" s="2">
        <f t="shared" si="3"/>
        <v>-3</v>
      </c>
      <c r="L59" s="2">
        <f t="shared" si="4"/>
        <v>3.4</v>
      </c>
      <c r="M59" s="39"/>
      <c r="N59" s="49">
        <f t="shared" si="6"/>
        <v>0</v>
      </c>
      <c r="O59" s="42"/>
      <c r="Q59" s="2">
        <f t="shared" si="7"/>
        <v>-7.0588235294117645</v>
      </c>
      <c r="R59" s="2">
        <f t="shared" si="8"/>
        <v>-7.0588235294117645</v>
      </c>
      <c r="S59" s="2">
        <v>0</v>
      </c>
      <c r="T59" s="2">
        <v>0</v>
      </c>
      <c r="U59" s="2">
        <v>0</v>
      </c>
      <c r="W59" s="2">
        <f t="shared" si="9"/>
        <v>0</v>
      </c>
      <c r="X59" s="19">
        <v>0</v>
      </c>
      <c r="Y59" s="20">
        <v>0</v>
      </c>
      <c r="Z59" s="2">
        <f t="shared" si="10"/>
        <v>0</v>
      </c>
    </row>
    <row r="60" spans="1:26" ht="21.95" customHeight="1" outlineLevel="1" x14ac:dyDescent="0.2">
      <c r="A60" s="27" t="s">
        <v>12</v>
      </c>
      <c r="B60" s="8" t="s">
        <v>10</v>
      </c>
      <c r="C60" s="9">
        <v>-159</v>
      </c>
      <c r="D60" s="9"/>
      <c r="E60" s="30">
        <v>52</v>
      </c>
      <c r="F60" s="30">
        <v>-224</v>
      </c>
      <c r="G60" s="19">
        <f>VLOOKUP(A60,[2]TDSheet!$A:$G,7,0)</f>
        <v>0</v>
      </c>
      <c r="H60" s="2">
        <f>VLOOKUP(A60,[1]TDSheet!$A:$Q,4,0)</f>
        <v>53</v>
      </c>
      <c r="I60" s="2">
        <f t="shared" si="3"/>
        <v>-1</v>
      </c>
      <c r="L60" s="2">
        <f t="shared" si="4"/>
        <v>10.4</v>
      </c>
      <c r="M60" s="39"/>
      <c r="N60" s="49">
        <f t="shared" si="6"/>
        <v>0</v>
      </c>
      <c r="O60" s="42"/>
      <c r="Q60" s="2">
        <f t="shared" si="7"/>
        <v>-21.538461538461537</v>
      </c>
      <c r="R60" s="2">
        <f t="shared" si="8"/>
        <v>-21.538461538461537</v>
      </c>
      <c r="S60" s="2">
        <f>VLOOKUP(A60,[2]TDSheet!$A:$S,19,0)</f>
        <v>10.6</v>
      </c>
      <c r="T60" s="2">
        <f>VLOOKUP(A60,[2]TDSheet!$A:$T,20,0)</f>
        <v>0.6</v>
      </c>
      <c r="U60" s="2">
        <f>VLOOKUP(A60,[2]TDSheet!$A:$L,12,0)</f>
        <v>9</v>
      </c>
      <c r="W60" s="2">
        <f t="shared" si="9"/>
        <v>0</v>
      </c>
      <c r="X60" s="19">
        <f>VLOOKUP(A60,[2]TDSheet!$A:$Y,25,0)</f>
        <v>0</v>
      </c>
      <c r="Y60" s="20">
        <v>0</v>
      </c>
      <c r="Z60" s="2">
        <f t="shared" si="10"/>
        <v>0</v>
      </c>
    </row>
    <row r="61" spans="1:26" ht="11.45" customHeight="1" x14ac:dyDescent="0.2">
      <c r="A61" s="1" t="s">
        <v>85</v>
      </c>
      <c r="G61" s="19">
        <v>0.25</v>
      </c>
      <c r="N61" s="49">
        <v>200</v>
      </c>
      <c r="O61" s="31">
        <v>200</v>
      </c>
      <c r="P61" s="31" t="s">
        <v>86</v>
      </c>
      <c r="V61" s="31" t="s">
        <v>94</v>
      </c>
      <c r="W61" s="2">
        <f t="shared" si="9"/>
        <v>50</v>
      </c>
      <c r="X61" s="19">
        <v>12</v>
      </c>
      <c r="Y61" s="20">
        <v>17</v>
      </c>
      <c r="Z61" s="2">
        <f t="shared" si="10"/>
        <v>51</v>
      </c>
    </row>
    <row r="62" spans="1:26" ht="11.45" customHeight="1" x14ac:dyDescent="0.2">
      <c r="A62" s="1" t="s">
        <v>87</v>
      </c>
      <c r="G62" s="19">
        <v>0.36</v>
      </c>
      <c r="N62" s="49">
        <v>400</v>
      </c>
      <c r="O62" s="31">
        <v>400</v>
      </c>
      <c r="P62" s="31" t="s">
        <v>91</v>
      </c>
      <c r="V62" s="31" t="s">
        <v>94</v>
      </c>
      <c r="W62" s="2">
        <f t="shared" si="9"/>
        <v>144</v>
      </c>
      <c r="X62" s="19">
        <v>10</v>
      </c>
      <c r="Y62" s="20">
        <v>40</v>
      </c>
      <c r="Z62" s="2">
        <f t="shared" si="10"/>
        <v>144</v>
      </c>
    </row>
    <row r="63" spans="1:26" ht="11.45" customHeight="1" thickBot="1" x14ac:dyDescent="0.25">
      <c r="A63" s="1" t="s">
        <v>88</v>
      </c>
      <c r="G63" s="19">
        <v>0.25</v>
      </c>
      <c r="N63" s="55">
        <v>200</v>
      </c>
      <c r="O63" s="31">
        <v>200</v>
      </c>
      <c r="P63" s="31" t="s">
        <v>91</v>
      </c>
      <c r="V63" s="31" t="s">
        <v>94</v>
      </c>
      <c r="W63" s="2">
        <f t="shared" si="9"/>
        <v>50</v>
      </c>
      <c r="X63" s="19">
        <v>12</v>
      </c>
      <c r="Y63" s="20">
        <v>17</v>
      </c>
      <c r="Z63" s="2">
        <f t="shared" si="10"/>
        <v>51</v>
      </c>
    </row>
  </sheetData>
  <autoFilter ref="A3:Z63" xr:uid="{00000000-0009-0000-0000-000000000000}"/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Users</dc:creator>
  <cp:lastModifiedBy>Uaer4</cp:lastModifiedBy>
  <dcterms:created xsi:type="dcterms:W3CDTF">2023-12-13T12:01:03Z</dcterms:created>
  <dcterms:modified xsi:type="dcterms:W3CDTF">2023-12-15T10:42:28Z</dcterms:modified>
</cp:coreProperties>
</file>