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505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80"/>
  <sheetViews>
    <sheetView showGridLines="0" tabSelected="1" topLeftCell="F1" zoomScaleNormal="100" zoomScaleSheetLayoutView="100" workbookViewId="0">
      <selection activeCell="N8" sqref="N8:O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4">
      <c r="A1" s="48" t="n"/>
      <c r="B1" s="48" t="n"/>
      <c r="C1" s="48" t="n"/>
      <c r="D1" s="623" t="inlineStr">
        <is>
          <t xml:space="preserve">  БЛАНК ЗАКАЗА </t>
        </is>
      </c>
      <c r="G1" s="14" t="inlineStr">
        <is>
          <t>КИ</t>
        </is>
      </c>
      <c r="H1" s="623" t="inlineStr">
        <is>
          <t>на отгрузку продукции с ООО Трейд-Сервис с</t>
        </is>
      </c>
      <c r="O1" s="624" t="inlineStr">
        <is>
          <t>09.10.2023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4">
      <c r="A2" s="34" t="inlineStr">
        <is>
          <t>бланк создан</t>
        </is>
      </c>
      <c r="B2" s="35" t="inlineStr">
        <is>
          <t>05.10.2023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6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4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4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4">
      <c r="A5" s="605" t="inlineStr">
        <is>
          <t xml:space="preserve">Ваш контактный телефон и имя: </t>
        </is>
      </c>
      <c r="B5" s="633" t="n"/>
      <c r="C5" s="634" t="n"/>
      <c r="D5" s="627" t="n"/>
      <c r="E5" s="635" t="n"/>
      <c r="F5" s="628" t="inlineStr">
        <is>
          <t>Комментарий к заказу:</t>
        </is>
      </c>
      <c r="G5" s="634" t="n"/>
      <c r="H5" s="627" t="n"/>
      <c r="I5" s="636" t="n"/>
      <c r="J5" s="636" t="n"/>
      <c r="K5" s="635" t="n"/>
      <c r="M5" s="29" t="inlineStr">
        <is>
          <t>Дата загрузки</t>
        </is>
      </c>
      <c r="N5" s="637" t="n">
        <v>45208</v>
      </c>
      <c r="O5" s="638" t="n"/>
      <c r="Q5" s="630" t="inlineStr">
        <is>
          <t>Способ доставки (доставка/самовывоз)</t>
        </is>
      </c>
      <c r="R5" s="639" t="n"/>
      <c r="S5" s="640" t="inlineStr">
        <is>
          <t>Самовывоз</t>
        </is>
      </c>
      <c r="T5" s="638" t="n"/>
      <c r="Y5" s="60" t="n"/>
      <c r="Z5" s="60" t="n"/>
      <c r="AA5" s="60" t="n"/>
    </row>
    <row r="6" ht="24" customFormat="1" customHeight="1" s="604">
      <c r="A6" s="605" t="inlineStr">
        <is>
          <t>Адрес доставки:</t>
        </is>
      </c>
      <c r="B6" s="633" t="n"/>
      <c r="C6" s="634" t="n"/>
      <c r="D6" s="606" t="inlineStr">
        <is>
          <t>ЛП, ООО, Крым Респ, Симферополь г, Данилова ул, 43В, лит В, офис 4,</t>
        </is>
      </c>
      <c r="E6" s="641" t="n"/>
      <c r="F6" s="641" t="n"/>
      <c r="G6" s="641" t="n"/>
      <c r="H6" s="641" t="n"/>
      <c r="I6" s="641" t="n"/>
      <c r="J6" s="641" t="n"/>
      <c r="K6" s="638" t="n"/>
      <c r="M6" s="29" t="inlineStr">
        <is>
          <t>День недели</t>
        </is>
      </c>
      <c r="N6" s="607">
        <f>IF(N5=0," ",CHOOSE(WEEKDAY(N5,2),"Понедельник","Вторник","Среда","Четверг","Пятница","Суббота","Воскресенье"))</f>
        <v/>
      </c>
      <c r="O6" s="642" t="n"/>
      <c r="Q6" s="609" t="inlineStr">
        <is>
          <t>Наименование клиента</t>
        </is>
      </c>
      <c r="R6" s="639" t="n"/>
      <c r="S6" s="643" t="inlineStr">
        <is>
          <t>ОБЩЕСТВО С ОГРАНИЧЕННОЙ ОТВЕТСТВЕННОСТЬЮ "ЛОГИСТИЧЕСКИЙ ПАРТНЕР"</t>
        </is>
      </c>
      <c r="T6" s="644" t="n"/>
      <c r="Y6" s="60" t="n"/>
      <c r="Z6" s="60" t="n"/>
      <c r="AA6" s="60" t="n"/>
    </row>
    <row r="7" hidden="1" ht="21.75" customFormat="1" customHeight="1" s="604">
      <c r="A7" s="65" t="n"/>
      <c r="B7" s="65" t="n"/>
      <c r="C7" s="65" t="n"/>
      <c r="D7" s="645">
        <f>IFERROR(VLOOKUP(DeliveryAddress,Table,3,0),1)</f>
        <v/>
      </c>
      <c r="E7" s="646" t="n"/>
      <c r="F7" s="646" t="n"/>
      <c r="G7" s="646" t="n"/>
      <c r="H7" s="646" t="n"/>
      <c r="I7" s="646" t="n"/>
      <c r="J7" s="646" t="n"/>
      <c r="K7" s="647" t="n"/>
      <c r="M7" s="29" t="n"/>
      <c r="N7" s="49" t="n"/>
      <c r="O7" s="49" t="n"/>
      <c r="Q7" s="1" t="n"/>
      <c r="R7" s="639" t="n"/>
      <c r="S7" s="648" t="n"/>
      <c r="T7" s="649" t="n"/>
      <c r="Y7" s="60" t="n"/>
      <c r="Z7" s="60" t="n"/>
      <c r="AA7" s="60" t="n"/>
    </row>
    <row r="8" ht="25.5" customFormat="1" customHeight="1" s="604">
      <c r="A8" s="619" t="inlineStr">
        <is>
          <t>Адрес сдачи груза:</t>
        </is>
      </c>
      <c r="B8" s="650" t="n"/>
      <c r="C8" s="651" t="n"/>
      <c r="D8" s="620" t="n"/>
      <c r="E8" s="652" t="n"/>
      <c r="F8" s="652" t="n"/>
      <c r="G8" s="652" t="n"/>
      <c r="H8" s="652" t="n"/>
      <c r="I8" s="652" t="n"/>
      <c r="J8" s="652" t="n"/>
      <c r="K8" s="653" t="n"/>
      <c r="M8" s="29" t="inlineStr">
        <is>
          <t>Время загрузки</t>
        </is>
      </c>
      <c r="N8" s="600" t="n">
        <v>0.3333333333333333</v>
      </c>
      <c r="O8" s="638" t="n"/>
      <c r="Q8" s="1" t="n"/>
      <c r="R8" s="639" t="n"/>
      <c r="S8" s="648" t="n"/>
      <c r="T8" s="649" t="n"/>
      <c r="Y8" s="60" t="n"/>
      <c r="Z8" s="60" t="n"/>
      <c r="AA8" s="60" t="n"/>
    </row>
    <row r="9" ht="39.95" customFormat="1" customHeight="1" s="604">
      <c r="A9" s="59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7" t="inlineStr"/>
      <c r="E9" s="3" t="n"/>
      <c r="F9" s="59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2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7" t="n"/>
      <c r="O9" s="638" t="n"/>
      <c r="Q9" s="1" t="n"/>
      <c r="R9" s="639" t="n"/>
      <c r="S9" s="654" t="n"/>
      <c r="T9" s="65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4">
      <c r="A10" s="59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7" t="n"/>
      <c r="E10" s="3" t="n"/>
      <c r="F10" s="59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9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600" t="n"/>
      <c r="O10" s="638" t="n"/>
      <c r="R10" s="29" t="inlineStr">
        <is>
          <t>КОД Аксапты Клиента</t>
        </is>
      </c>
      <c r="S10" s="656" t="inlineStr">
        <is>
          <t>590704</t>
        </is>
      </c>
      <c r="T10" s="64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4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600" t="n"/>
      <c r="O11" s="638" t="n"/>
      <c r="R11" s="29" t="inlineStr">
        <is>
          <t>Тип заказа</t>
        </is>
      </c>
      <c r="S11" s="588" t="inlineStr">
        <is>
          <t>Основной заказ</t>
        </is>
      </c>
      <c r="T11" s="65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4">
      <c r="A12" s="587" t="inlineStr">
        <is>
          <t>Телефоны для заказов: 8(919)002-63-01  E-mail: kolbasa@abiproduct.ru  Телефон сотрудников склада: 8 (910) 775-52-91</t>
        </is>
      </c>
      <c r="B12" s="633" t="n"/>
      <c r="C12" s="633" t="n"/>
      <c r="D12" s="633" t="n"/>
      <c r="E12" s="633" t="n"/>
      <c r="F12" s="633" t="n"/>
      <c r="G12" s="633" t="n"/>
      <c r="H12" s="633" t="n"/>
      <c r="I12" s="633" t="n"/>
      <c r="J12" s="633" t="n"/>
      <c r="K12" s="634" t="n"/>
      <c r="M12" s="29" t="inlineStr">
        <is>
          <t>Время доставки 3 машины</t>
        </is>
      </c>
      <c r="N12" s="603" t="n"/>
      <c r="O12" s="647" t="n"/>
      <c r="P12" s="28" t="n"/>
      <c r="R12" s="29" t="inlineStr"/>
      <c r="S12" s="604" t="n"/>
      <c r="T12" s="1" t="n"/>
      <c r="Y12" s="60" t="n"/>
      <c r="Z12" s="60" t="n"/>
      <c r="AA12" s="60" t="n"/>
    </row>
    <row r="13" ht="23.25" customFormat="1" customHeight="1" s="604">
      <c r="A13" s="587" t="inlineStr">
        <is>
          <t>График приема заказов: Заказы принимаются за ДВА дня до отгрузки Пн-Пт: с 9:00 до 14:00, Суб., Вс. - до 12:00</t>
        </is>
      </c>
      <c r="B13" s="633" t="n"/>
      <c r="C13" s="633" t="n"/>
      <c r="D13" s="633" t="n"/>
      <c r="E13" s="633" t="n"/>
      <c r="F13" s="633" t="n"/>
      <c r="G13" s="633" t="n"/>
      <c r="H13" s="633" t="n"/>
      <c r="I13" s="633" t="n"/>
      <c r="J13" s="633" t="n"/>
      <c r="K13" s="634" t="n"/>
      <c r="L13" s="31" t="n"/>
      <c r="M13" s="31" t="inlineStr">
        <is>
          <t>Время доставки 4 машины</t>
        </is>
      </c>
      <c r="N13" s="588" t="n"/>
      <c r="O13" s="65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4">
      <c r="A14" s="587" t="inlineStr">
        <is>
          <t>Телефон менеджера по логистике: 8 (919) 012-30-55 - по вопросам доставки продукции</t>
        </is>
      </c>
      <c r="B14" s="633" t="n"/>
      <c r="C14" s="633" t="n"/>
      <c r="D14" s="633" t="n"/>
      <c r="E14" s="633" t="n"/>
      <c r="F14" s="633" t="n"/>
      <c r="G14" s="633" t="n"/>
      <c r="H14" s="633" t="n"/>
      <c r="I14" s="633" t="n"/>
      <c r="J14" s="633" t="n"/>
      <c r="K14" s="63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4">
      <c r="A15" s="589" t="inlineStr">
        <is>
          <t>Телефон по работе с претензиями/жалобами (WhatSapp): 8 (980) 757-69-93       E-mail: Claims@abiproduct.ru</t>
        </is>
      </c>
      <c r="B15" s="633" t="n"/>
      <c r="C15" s="633" t="n"/>
      <c r="D15" s="633" t="n"/>
      <c r="E15" s="633" t="n"/>
      <c r="F15" s="633" t="n"/>
      <c r="G15" s="633" t="n"/>
      <c r="H15" s="633" t="n"/>
      <c r="I15" s="633" t="n"/>
      <c r="J15" s="633" t="n"/>
      <c r="K15" s="634" t="n"/>
      <c r="M15" s="591" t="inlineStr">
        <is>
          <t>Кликните на продукт, чтобы просмотреть изображение</t>
        </is>
      </c>
      <c r="U15" s="604" t="n"/>
      <c r="V15" s="604" t="n"/>
      <c r="W15" s="604" t="n"/>
      <c r="X15" s="604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8" t="n"/>
      <c r="N16" s="658" t="n"/>
      <c r="O16" s="658" t="n"/>
      <c r="P16" s="658" t="n"/>
      <c r="Q16" s="65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5" t="inlineStr">
        <is>
          <t>Код единицы продаж</t>
        </is>
      </c>
      <c r="B17" s="575" t="inlineStr">
        <is>
          <t>Код продукта</t>
        </is>
      </c>
      <c r="C17" s="593" t="inlineStr">
        <is>
          <t>Номер варианта</t>
        </is>
      </c>
      <c r="D17" s="575" t="inlineStr">
        <is>
          <t xml:space="preserve">Штрих-код </t>
        </is>
      </c>
      <c r="E17" s="659" t="n"/>
      <c r="F17" s="575" t="inlineStr">
        <is>
          <t>Вес нетто штуки, кг</t>
        </is>
      </c>
      <c r="G17" s="575" t="inlineStr">
        <is>
          <t>Кол-во штук в коробе, шт</t>
        </is>
      </c>
      <c r="H17" s="575" t="inlineStr">
        <is>
          <t>Вес нетто короба, кг</t>
        </is>
      </c>
      <c r="I17" s="575" t="inlineStr">
        <is>
          <t>Вес брутто короба, кг</t>
        </is>
      </c>
      <c r="J17" s="575" t="inlineStr">
        <is>
          <t>Кол-во кор. на паллте, шт</t>
        </is>
      </c>
      <c r="K17" s="575" t="inlineStr">
        <is>
          <t>Завод</t>
        </is>
      </c>
      <c r="L17" s="575" t="inlineStr">
        <is>
          <t>Срок годности, сут.</t>
        </is>
      </c>
      <c r="M17" s="575" t="inlineStr">
        <is>
          <t>Наименование</t>
        </is>
      </c>
      <c r="N17" s="660" t="n"/>
      <c r="O17" s="660" t="n"/>
      <c r="P17" s="660" t="n"/>
      <c r="Q17" s="659" t="n"/>
      <c r="R17" s="592" t="inlineStr">
        <is>
          <t>Доступно к отгрузке</t>
        </is>
      </c>
      <c r="S17" s="634" t="n"/>
      <c r="T17" s="575" t="inlineStr">
        <is>
          <t>Ед. изм.</t>
        </is>
      </c>
      <c r="U17" s="575" t="inlineStr">
        <is>
          <t>Заказ</t>
        </is>
      </c>
      <c r="V17" s="576" t="inlineStr">
        <is>
          <t>Заказ с округлением до короба</t>
        </is>
      </c>
      <c r="W17" s="575" t="inlineStr">
        <is>
          <t>Объём заказа, м3</t>
        </is>
      </c>
      <c r="X17" s="578" t="inlineStr">
        <is>
          <t>Примечание по продуктку</t>
        </is>
      </c>
      <c r="Y17" s="578" t="inlineStr">
        <is>
          <t>Признак "НОВИНКА"</t>
        </is>
      </c>
      <c r="Z17" s="578" t="inlineStr">
        <is>
          <t>Для формул</t>
        </is>
      </c>
      <c r="AA17" s="661" t="n"/>
      <c r="AB17" s="662" t="n"/>
      <c r="AC17" s="585" t="n"/>
      <c r="AZ17" s="586" t="inlineStr">
        <is>
          <t>Вид продукции</t>
        </is>
      </c>
    </row>
    <row r="18" ht="14.25" customHeight="1">
      <c r="A18" s="663" t="n"/>
      <c r="B18" s="663" t="n"/>
      <c r="C18" s="663" t="n"/>
      <c r="D18" s="664" t="n"/>
      <c r="E18" s="665" t="n"/>
      <c r="F18" s="663" t="n"/>
      <c r="G18" s="663" t="n"/>
      <c r="H18" s="663" t="n"/>
      <c r="I18" s="663" t="n"/>
      <c r="J18" s="663" t="n"/>
      <c r="K18" s="663" t="n"/>
      <c r="L18" s="663" t="n"/>
      <c r="M18" s="664" t="n"/>
      <c r="N18" s="666" t="n"/>
      <c r="O18" s="666" t="n"/>
      <c r="P18" s="666" t="n"/>
      <c r="Q18" s="665" t="n"/>
      <c r="R18" s="592" t="inlineStr">
        <is>
          <t>начиная с</t>
        </is>
      </c>
      <c r="S18" s="592" t="inlineStr">
        <is>
          <t>до</t>
        </is>
      </c>
      <c r="T18" s="663" t="n"/>
      <c r="U18" s="663" t="n"/>
      <c r="V18" s="667" t="n"/>
      <c r="W18" s="663" t="n"/>
      <c r="X18" s="668" t="n"/>
      <c r="Y18" s="668" t="n"/>
      <c r="Z18" s="669" t="n"/>
      <c r="AA18" s="670" t="n"/>
      <c r="AB18" s="671" t="n"/>
      <c r="AC18" s="672" t="n"/>
      <c r="AZ18" s="1" t="n"/>
    </row>
    <row r="19" ht="27.75" customHeight="1">
      <c r="A19" s="341" t="inlineStr">
        <is>
          <t>Ядрена копоть</t>
        </is>
      </c>
      <c r="B19" s="673" t="n"/>
      <c r="C19" s="673" t="n"/>
      <c r="D19" s="673" t="n"/>
      <c r="E19" s="673" t="n"/>
      <c r="F19" s="673" t="n"/>
      <c r="G19" s="673" t="n"/>
      <c r="H19" s="673" t="n"/>
      <c r="I19" s="673" t="n"/>
      <c r="J19" s="673" t="n"/>
      <c r="K19" s="673" t="n"/>
      <c r="L19" s="673" t="n"/>
      <c r="M19" s="673" t="n"/>
      <c r="N19" s="673" t="n"/>
      <c r="O19" s="673" t="n"/>
      <c r="P19" s="673" t="n"/>
      <c r="Q19" s="673" t="n"/>
      <c r="R19" s="673" t="n"/>
      <c r="S19" s="673" t="n"/>
      <c r="T19" s="673" t="n"/>
      <c r="U19" s="673" t="n"/>
      <c r="V19" s="673" t="n"/>
      <c r="W19" s="673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27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7" t="n"/>
      <c r="Y21" s="327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8" t="n">
        <v>4607091389258</v>
      </c>
      <c r="E22" s="642" t="n"/>
      <c r="F22" s="674" t="n">
        <v>0.3</v>
      </c>
      <c r="G22" s="38" t="n">
        <v>6</v>
      </c>
      <c r="H22" s="674" t="n">
        <v>1.8</v>
      </c>
      <c r="I22" s="67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5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6" t="n"/>
      <c r="O22" s="676" t="n"/>
      <c r="P22" s="676" t="n"/>
      <c r="Q22" s="642" t="n"/>
      <c r="R22" s="40" t="inlineStr"/>
      <c r="S22" s="40" t="inlineStr"/>
      <c r="T22" s="41" t="inlineStr">
        <is>
          <t>кг</t>
        </is>
      </c>
      <c r="U22" s="677" t="n">
        <v>0</v>
      </c>
      <c r="V22" s="67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9" t="n"/>
      <c r="M23" s="680" t="inlineStr">
        <is>
          <t>Итого</t>
        </is>
      </c>
      <c r="N23" s="650" t="n"/>
      <c r="O23" s="650" t="n"/>
      <c r="P23" s="650" t="n"/>
      <c r="Q23" s="650" t="n"/>
      <c r="R23" s="650" t="n"/>
      <c r="S23" s="651" t="n"/>
      <c r="T23" s="43" t="inlineStr">
        <is>
          <t>кор</t>
        </is>
      </c>
      <c r="U23" s="681">
        <f>IFERROR(U22/H22,"0")</f>
        <v/>
      </c>
      <c r="V23" s="681">
        <f>IFERROR(V22/H22,"0")</f>
        <v/>
      </c>
      <c r="W23" s="681">
        <f>IFERROR(IF(W22="",0,W22),"0")</f>
        <v/>
      </c>
      <c r="X23" s="682" t="n"/>
      <c r="Y23" s="68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9" t="n"/>
      <c r="M24" s="680" t="inlineStr">
        <is>
          <t>Итого</t>
        </is>
      </c>
      <c r="N24" s="650" t="n"/>
      <c r="O24" s="650" t="n"/>
      <c r="P24" s="650" t="n"/>
      <c r="Q24" s="650" t="n"/>
      <c r="R24" s="650" t="n"/>
      <c r="S24" s="651" t="n"/>
      <c r="T24" s="43" t="inlineStr">
        <is>
          <t>кг</t>
        </is>
      </c>
      <c r="U24" s="681">
        <f>IFERROR(SUM(U22:U22),"0")</f>
        <v/>
      </c>
      <c r="V24" s="681">
        <f>IFERROR(SUM(V22:V22),"0")</f>
        <v/>
      </c>
      <c r="W24" s="43" t="n"/>
      <c r="X24" s="682" t="n"/>
      <c r="Y24" s="682" t="n"/>
    </row>
    <row r="25" ht="14.25" customHeight="1">
      <c r="A25" s="327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7" t="n"/>
      <c r="Y25" s="327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8" t="n">
        <v>4607091383881</v>
      </c>
      <c r="E26" s="642" t="n"/>
      <c r="F26" s="674" t="n">
        <v>0.33</v>
      </c>
      <c r="G26" s="38" t="n">
        <v>6</v>
      </c>
      <c r="H26" s="674" t="n">
        <v>1.98</v>
      </c>
      <c r="I26" s="67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8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6" t="n"/>
      <c r="O26" s="676" t="n"/>
      <c r="P26" s="676" t="n"/>
      <c r="Q26" s="642" t="n"/>
      <c r="R26" s="40" t="inlineStr"/>
      <c r="S26" s="40" t="inlineStr"/>
      <c r="T26" s="41" t="inlineStr">
        <is>
          <t>кг</t>
        </is>
      </c>
      <c r="U26" s="677" t="n">
        <v>0</v>
      </c>
      <c r="V26" s="67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8" t="n">
        <v>4607091388237</v>
      </c>
      <c r="E27" s="642" t="n"/>
      <c r="F27" s="674" t="n">
        <v>0.42</v>
      </c>
      <c r="G27" s="38" t="n">
        <v>6</v>
      </c>
      <c r="H27" s="674" t="n">
        <v>2.52</v>
      </c>
      <c r="I27" s="67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6" t="n"/>
      <c r="O27" s="676" t="n"/>
      <c r="P27" s="676" t="n"/>
      <c r="Q27" s="642" t="n"/>
      <c r="R27" s="40" t="inlineStr"/>
      <c r="S27" s="40" t="inlineStr"/>
      <c r="T27" s="41" t="inlineStr">
        <is>
          <t>кг</t>
        </is>
      </c>
      <c r="U27" s="677" t="n">
        <v>0</v>
      </c>
      <c r="V27" s="67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8" t="n">
        <v>4607091383935</v>
      </c>
      <c r="E28" s="642" t="n"/>
      <c r="F28" s="674" t="n">
        <v>0.33</v>
      </c>
      <c r="G28" s="38" t="n">
        <v>6</v>
      </c>
      <c r="H28" s="674" t="n">
        <v>1.98</v>
      </c>
      <c r="I28" s="67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6" t="n"/>
      <c r="O28" s="676" t="n"/>
      <c r="P28" s="676" t="n"/>
      <c r="Q28" s="642" t="n"/>
      <c r="R28" s="40" t="inlineStr"/>
      <c r="S28" s="40" t="inlineStr"/>
      <c r="T28" s="41" t="inlineStr">
        <is>
          <t>кг</t>
        </is>
      </c>
      <c r="U28" s="677" t="n">
        <v>0</v>
      </c>
      <c r="V28" s="67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8" t="n">
        <v>4680115881853</v>
      </c>
      <c r="E29" s="642" t="n"/>
      <c r="F29" s="674" t="n">
        <v>0.33</v>
      </c>
      <c r="G29" s="38" t="n">
        <v>6</v>
      </c>
      <c r="H29" s="674" t="n">
        <v>1.98</v>
      </c>
      <c r="I29" s="67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6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6" t="n"/>
      <c r="O29" s="676" t="n"/>
      <c r="P29" s="676" t="n"/>
      <c r="Q29" s="642" t="n"/>
      <c r="R29" s="40" t="inlineStr"/>
      <c r="S29" s="40" t="inlineStr"/>
      <c r="T29" s="41" t="inlineStr">
        <is>
          <t>кг</t>
        </is>
      </c>
      <c r="U29" s="677" t="n">
        <v>0</v>
      </c>
      <c r="V29" s="67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8" t="n">
        <v>4607091383911</v>
      </c>
      <c r="E30" s="642" t="n"/>
      <c r="F30" s="674" t="n">
        <v>0.33</v>
      </c>
      <c r="G30" s="38" t="n">
        <v>6</v>
      </c>
      <c r="H30" s="674" t="n">
        <v>1.98</v>
      </c>
      <c r="I30" s="67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6" t="n"/>
      <c r="O30" s="676" t="n"/>
      <c r="P30" s="676" t="n"/>
      <c r="Q30" s="642" t="n"/>
      <c r="R30" s="40" t="inlineStr"/>
      <c r="S30" s="40" t="inlineStr"/>
      <c r="T30" s="41" t="inlineStr">
        <is>
          <t>кг</t>
        </is>
      </c>
      <c r="U30" s="677" t="n">
        <v>0</v>
      </c>
      <c r="V30" s="67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8" t="n">
        <v>4607091388244</v>
      </c>
      <c r="E31" s="642" t="n"/>
      <c r="F31" s="674" t="n">
        <v>0.42</v>
      </c>
      <c r="G31" s="38" t="n">
        <v>6</v>
      </c>
      <c r="H31" s="674" t="n">
        <v>2.52</v>
      </c>
      <c r="I31" s="67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6" t="n"/>
      <c r="O31" s="676" t="n"/>
      <c r="P31" s="676" t="n"/>
      <c r="Q31" s="642" t="n"/>
      <c r="R31" s="40" t="inlineStr"/>
      <c r="S31" s="40" t="inlineStr"/>
      <c r="T31" s="41" t="inlineStr">
        <is>
          <t>кг</t>
        </is>
      </c>
      <c r="U31" s="677" t="n">
        <v>0</v>
      </c>
      <c r="V31" s="67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9" t="n"/>
      <c r="M32" s="680" t="inlineStr">
        <is>
          <t>Итого</t>
        </is>
      </c>
      <c r="N32" s="650" t="n"/>
      <c r="O32" s="650" t="n"/>
      <c r="P32" s="650" t="n"/>
      <c r="Q32" s="650" t="n"/>
      <c r="R32" s="650" t="n"/>
      <c r="S32" s="651" t="n"/>
      <c r="T32" s="43" t="inlineStr">
        <is>
          <t>кор</t>
        </is>
      </c>
      <c r="U32" s="681">
        <f>IFERROR(U26/H26,"0")+IFERROR(U27/H27,"0")+IFERROR(U28/H28,"0")+IFERROR(U29/H29,"0")+IFERROR(U30/H30,"0")+IFERROR(U31/H31,"0")</f>
        <v/>
      </c>
      <c r="V32" s="681">
        <f>IFERROR(V26/H26,"0")+IFERROR(V27/H27,"0")+IFERROR(V28/H28,"0")+IFERROR(V29/H29,"0")+IFERROR(V30/H30,"0")+IFERROR(V31/H31,"0")</f>
        <v/>
      </c>
      <c r="W32" s="681">
        <f>IFERROR(IF(W26="",0,W26),"0")+IFERROR(IF(W27="",0,W27),"0")+IFERROR(IF(W28="",0,W28),"0")+IFERROR(IF(W29="",0,W29),"0")+IFERROR(IF(W30="",0,W30),"0")+IFERROR(IF(W31="",0,W31),"0")</f>
        <v/>
      </c>
      <c r="X32" s="682" t="n"/>
      <c r="Y32" s="68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9" t="n"/>
      <c r="M33" s="680" t="inlineStr">
        <is>
          <t>Итого</t>
        </is>
      </c>
      <c r="N33" s="650" t="n"/>
      <c r="O33" s="650" t="n"/>
      <c r="P33" s="650" t="n"/>
      <c r="Q33" s="650" t="n"/>
      <c r="R33" s="650" t="n"/>
      <c r="S33" s="651" t="n"/>
      <c r="T33" s="43" t="inlineStr">
        <is>
          <t>кг</t>
        </is>
      </c>
      <c r="U33" s="681">
        <f>IFERROR(SUM(U26:U31),"0")</f>
        <v/>
      </c>
      <c r="V33" s="681">
        <f>IFERROR(SUM(V26:V31),"0")</f>
        <v/>
      </c>
      <c r="W33" s="43" t="n"/>
      <c r="X33" s="682" t="n"/>
      <c r="Y33" s="682" t="n"/>
    </row>
    <row r="34" ht="14.25" customHeight="1">
      <c r="A34" s="327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7" t="n"/>
      <c r="Y34" s="327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8" t="n">
        <v>4607091388503</v>
      </c>
      <c r="E35" s="642" t="n"/>
      <c r="F35" s="674" t="n">
        <v>0.05</v>
      </c>
      <c r="G35" s="38" t="n">
        <v>12</v>
      </c>
      <c r="H35" s="674" t="n">
        <v>0.6</v>
      </c>
      <c r="I35" s="67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6" t="n"/>
      <c r="O35" s="676" t="n"/>
      <c r="P35" s="676" t="n"/>
      <c r="Q35" s="642" t="n"/>
      <c r="R35" s="40" t="inlineStr"/>
      <c r="S35" s="40" t="inlineStr"/>
      <c r="T35" s="41" t="inlineStr">
        <is>
          <t>кг</t>
        </is>
      </c>
      <c r="U35" s="677" t="n">
        <v>0</v>
      </c>
      <c r="V35" s="67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>
      <c r="A36" s="322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679" t="n"/>
      <c r="M36" s="680" t="inlineStr">
        <is>
          <t>Итого</t>
        </is>
      </c>
      <c r="N36" s="650" t="n"/>
      <c r="O36" s="650" t="n"/>
      <c r="P36" s="650" t="n"/>
      <c r="Q36" s="650" t="n"/>
      <c r="R36" s="650" t="n"/>
      <c r="S36" s="651" t="n"/>
      <c r="T36" s="43" t="inlineStr">
        <is>
          <t>кор</t>
        </is>
      </c>
      <c r="U36" s="681">
        <f>IFERROR(U35/H35,"0")</f>
        <v/>
      </c>
      <c r="V36" s="681">
        <f>IFERROR(V35/H35,"0")</f>
        <v/>
      </c>
      <c r="W36" s="681">
        <f>IFERROR(IF(W35="",0,W35),"0")</f>
        <v/>
      </c>
      <c r="X36" s="682" t="n"/>
      <c r="Y36" s="682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9" t="n"/>
      <c r="M37" s="680" t="inlineStr">
        <is>
          <t>Итого</t>
        </is>
      </c>
      <c r="N37" s="650" t="n"/>
      <c r="O37" s="650" t="n"/>
      <c r="P37" s="650" t="n"/>
      <c r="Q37" s="650" t="n"/>
      <c r="R37" s="650" t="n"/>
      <c r="S37" s="651" t="n"/>
      <c r="T37" s="43" t="inlineStr">
        <is>
          <t>кг</t>
        </is>
      </c>
      <c r="U37" s="681">
        <f>IFERROR(SUM(U35:U35),"0")</f>
        <v/>
      </c>
      <c r="V37" s="681">
        <f>IFERROR(SUM(V35:V35),"0")</f>
        <v/>
      </c>
      <c r="W37" s="43" t="n"/>
      <c r="X37" s="682" t="n"/>
      <c r="Y37" s="682" t="n"/>
    </row>
    <row r="38" ht="14.25" customHeight="1">
      <c r="A38" s="327" t="inlineStr">
        <is>
          <t>Продукты из мяса птицы копчено-вареные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327" t="n"/>
      <c r="Y38" s="327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8" t="n">
        <v>4607091388282</v>
      </c>
      <c r="E39" s="642" t="n"/>
      <c r="F39" s="674" t="n">
        <v>0.3</v>
      </c>
      <c r="G39" s="38" t="n">
        <v>6</v>
      </c>
      <c r="H39" s="674" t="n">
        <v>1.8</v>
      </c>
      <c r="I39" s="674" t="n">
        <v>2.084</v>
      </c>
      <c r="J39" s="38" t="n">
        <v>156</v>
      </c>
      <c r="K39" s="39" t="inlineStr">
        <is>
          <t>АК</t>
        </is>
      </c>
      <c r="L39" s="38" t="n">
        <v>30</v>
      </c>
      <c r="M39" s="69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39" s="676" t="n"/>
      <c r="O39" s="676" t="n"/>
      <c r="P39" s="676" t="n"/>
      <c r="Q39" s="642" t="n"/>
      <c r="R39" s="40" t="inlineStr"/>
      <c r="S39" s="40" t="inlineStr"/>
      <c r="T39" s="41" t="inlineStr">
        <is>
          <t>кг</t>
        </is>
      </c>
      <c r="U39" s="677" t="n">
        <v>0</v>
      </c>
      <c r="V39" s="678">
        <f>IFERROR(IF(U39="",0,CEILING((U39/$H39),1)*$H39),"")</f>
        <v/>
      </c>
      <c r="W39" s="42">
        <f>IFERROR(IF(V39=0,"",ROUNDUP(V39/H39,0)*0.00753),"")</f>
        <v/>
      </c>
      <c r="X39" s="69" t="inlineStr">
        <is>
          <t>Предзаказ по четвергам до 12:00 на отгрузку со вторника следующей недели</t>
        </is>
      </c>
      <c r="Y39" s="70" t="inlineStr"/>
      <c r="AC39" s="71" t="n"/>
      <c r="AZ39" s="81" t="inlineStr">
        <is>
          <t>КИ</t>
        </is>
      </c>
    </row>
    <row r="40">
      <c r="A40" s="322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679" t="n"/>
      <c r="M40" s="680" t="inlineStr">
        <is>
          <t>Итого</t>
        </is>
      </c>
      <c r="N40" s="650" t="n"/>
      <c r="O40" s="650" t="n"/>
      <c r="P40" s="650" t="n"/>
      <c r="Q40" s="650" t="n"/>
      <c r="R40" s="650" t="n"/>
      <c r="S40" s="651" t="n"/>
      <c r="T40" s="43" t="inlineStr">
        <is>
          <t>кор</t>
        </is>
      </c>
      <c r="U40" s="681">
        <f>IFERROR(U39/H39,"0")</f>
        <v/>
      </c>
      <c r="V40" s="681">
        <f>IFERROR(V39/H39,"0")</f>
        <v/>
      </c>
      <c r="W40" s="681">
        <f>IFERROR(IF(W39="",0,W39),"0")</f>
        <v/>
      </c>
      <c r="X40" s="682" t="n"/>
      <c r="Y40" s="682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9" t="n"/>
      <c r="M41" s="680" t="inlineStr">
        <is>
          <t>Итого</t>
        </is>
      </c>
      <c r="N41" s="650" t="n"/>
      <c r="O41" s="650" t="n"/>
      <c r="P41" s="650" t="n"/>
      <c r="Q41" s="650" t="n"/>
      <c r="R41" s="650" t="n"/>
      <c r="S41" s="651" t="n"/>
      <c r="T41" s="43" t="inlineStr">
        <is>
          <t>кг</t>
        </is>
      </c>
      <c r="U41" s="681">
        <f>IFERROR(SUM(U39:U39),"0")</f>
        <v/>
      </c>
      <c r="V41" s="681">
        <f>IFERROR(SUM(V39:V39),"0")</f>
        <v/>
      </c>
      <c r="W41" s="43" t="n"/>
      <c r="X41" s="682" t="n"/>
      <c r="Y41" s="682" t="n"/>
    </row>
    <row r="42" ht="14.25" customHeight="1">
      <c r="A42" s="327" t="inlineStr">
        <is>
          <t>Сыровяленые колбасы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327" t="n"/>
      <c r="Y42" s="327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8" t="n">
        <v>4607091389111</v>
      </c>
      <c r="E43" s="642" t="n"/>
      <c r="F43" s="674" t="n">
        <v>0.025</v>
      </c>
      <c r="G43" s="38" t="n">
        <v>10</v>
      </c>
      <c r="H43" s="674" t="n">
        <v>0.25</v>
      </c>
      <c r="I43" s="674" t="n">
        <v>0.492</v>
      </c>
      <c r="J43" s="38" t="n">
        <v>156</v>
      </c>
      <c r="K43" s="39" t="inlineStr">
        <is>
          <t>АК</t>
        </is>
      </c>
      <c r="L43" s="38" t="n">
        <v>120</v>
      </c>
      <c r="M43" s="69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3" s="676" t="n"/>
      <c r="O43" s="676" t="n"/>
      <c r="P43" s="676" t="n"/>
      <c r="Q43" s="642" t="n"/>
      <c r="R43" s="40" t="inlineStr"/>
      <c r="S43" s="40" t="inlineStr"/>
      <c r="T43" s="41" t="inlineStr">
        <is>
          <t>кг</t>
        </is>
      </c>
      <c r="U43" s="677" t="n">
        <v>0</v>
      </c>
      <c r="V43" s="678">
        <f>IFERROR(IF(U43="",0,CEILING((U43/$H43),1)*$H43),"")</f>
        <v/>
      </c>
      <c r="W43" s="42">
        <f>IFERROR(IF(V43=0,"",ROUNDUP(V43/H43,0)*0.00753),"")</f>
        <v/>
      </c>
      <c r="X43" s="69" t="inlineStr"/>
      <c r="Y43" s="70" t="inlineStr"/>
      <c r="AC43" s="71" t="n"/>
      <c r="AZ43" s="82" t="inlineStr">
        <is>
          <t>СНК</t>
        </is>
      </c>
    </row>
    <row r="44">
      <c r="A44" s="322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679" t="n"/>
      <c r="M44" s="680" t="inlineStr">
        <is>
          <t>Итого</t>
        </is>
      </c>
      <c r="N44" s="650" t="n"/>
      <c r="O44" s="650" t="n"/>
      <c r="P44" s="650" t="n"/>
      <c r="Q44" s="650" t="n"/>
      <c r="R44" s="650" t="n"/>
      <c r="S44" s="651" t="n"/>
      <c r="T44" s="43" t="inlineStr">
        <is>
          <t>кор</t>
        </is>
      </c>
      <c r="U44" s="681">
        <f>IFERROR(U43/H43,"0")</f>
        <v/>
      </c>
      <c r="V44" s="681">
        <f>IFERROR(V43/H43,"0")</f>
        <v/>
      </c>
      <c r="W44" s="681">
        <f>IFERROR(IF(W43="",0,W43),"0")</f>
        <v/>
      </c>
      <c r="X44" s="682" t="n"/>
      <c r="Y44" s="682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9" t="n"/>
      <c r="M45" s="680" t="inlineStr">
        <is>
          <t>Итого</t>
        </is>
      </c>
      <c r="N45" s="650" t="n"/>
      <c r="O45" s="650" t="n"/>
      <c r="P45" s="650" t="n"/>
      <c r="Q45" s="650" t="n"/>
      <c r="R45" s="650" t="n"/>
      <c r="S45" s="651" t="n"/>
      <c r="T45" s="43" t="inlineStr">
        <is>
          <t>кг</t>
        </is>
      </c>
      <c r="U45" s="681">
        <f>IFERROR(SUM(U43:U43),"0")</f>
        <v/>
      </c>
      <c r="V45" s="681">
        <f>IFERROR(SUM(V43:V43),"0")</f>
        <v/>
      </c>
      <c r="W45" s="43" t="n"/>
      <c r="X45" s="682" t="n"/>
      <c r="Y45" s="682" t="n"/>
    </row>
    <row r="46" ht="27.75" customHeight="1">
      <c r="A46" s="341" t="inlineStr">
        <is>
          <t>Вязанка</t>
        </is>
      </c>
      <c r="B46" s="673" t="n"/>
      <c r="C46" s="673" t="n"/>
      <c r="D46" s="673" t="n"/>
      <c r="E46" s="673" t="n"/>
      <c r="F46" s="673" t="n"/>
      <c r="G46" s="673" t="n"/>
      <c r="H46" s="673" t="n"/>
      <c r="I46" s="673" t="n"/>
      <c r="J46" s="673" t="n"/>
      <c r="K46" s="673" t="n"/>
      <c r="L46" s="673" t="n"/>
      <c r="M46" s="673" t="n"/>
      <c r="N46" s="673" t="n"/>
      <c r="O46" s="673" t="n"/>
      <c r="P46" s="673" t="n"/>
      <c r="Q46" s="673" t="n"/>
      <c r="R46" s="673" t="n"/>
      <c r="S46" s="673" t="n"/>
      <c r="T46" s="673" t="n"/>
      <c r="U46" s="673" t="n"/>
      <c r="V46" s="673" t="n"/>
      <c r="W46" s="673" t="n"/>
      <c r="X46" s="55" t="n"/>
      <c r="Y46" s="55" t="n"/>
    </row>
    <row r="47" ht="16.5" customHeight="1">
      <c r="A47" s="335" t="inlineStr">
        <is>
          <t>Столичная</t>
        </is>
      </c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335" t="n"/>
      <c r="Y47" s="335" t="n"/>
    </row>
    <row r="48" ht="14.25" customHeight="1">
      <c r="A48" s="327" t="inlineStr">
        <is>
          <t>Ветчины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27" t="n"/>
      <c r="Y48" s="327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8" t="n">
        <v>4680115881440</v>
      </c>
      <c r="E49" s="642" t="n"/>
      <c r="F49" s="674" t="n">
        <v>1.35</v>
      </c>
      <c r="G49" s="38" t="n">
        <v>8</v>
      </c>
      <c r="H49" s="674" t="n">
        <v>10.8</v>
      </c>
      <c r="I49" s="674" t="n">
        <v>11.28</v>
      </c>
      <c r="J49" s="38" t="n">
        <v>56</v>
      </c>
      <c r="K49" s="39" t="inlineStr">
        <is>
          <t>СК1</t>
        </is>
      </c>
      <c r="L49" s="38" t="n">
        <v>50</v>
      </c>
      <c r="M49" s="692">
        <f>HYPERLINK("https://abi.ru/products/Охлажденные/Вязанка/Столичная/Ветчины/P003234/","Ветчины «Филейская» Весовые Вектор ТМ «Вязанка»")</f>
        <v/>
      </c>
      <c r="N49" s="676" t="n"/>
      <c r="O49" s="676" t="n"/>
      <c r="P49" s="676" t="n"/>
      <c r="Q49" s="642" t="n"/>
      <c r="R49" s="40" t="inlineStr"/>
      <c r="S49" s="40" t="inlineStr"/>
      <c r="T49" s="41" t="inlineStr">
        <is>
          <t>кг</t>
        </is>
      </c>
      <c r="U49" s="677" t="n">
        <v>0</v>
      </c>
      <c r="V49" s="678">
        <f>IFERROR(IF(U49="",0,CEILING((U49/$H49),1)*$H49),"")</f>
        <v/>
      </c>
      <c r="W49" s="42">
        <f>IFERROR(IF(V49=0,"",ROUNDUP(V49/H49,0)*0.02175),"")</f>
        <v/>
      </c>
      <c r="X49" s="69" t="inlineStr"/>
      <c r="Y49" s="70" t="inlineStr"/>
      <c r="AC49" s="71" t="n"/>
      <c r="AZ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8" t="n">
        <v>4680115881433</v>
      </c>
      <c r="E50" s="642" t="n"/>
      <c r="F50" s="674" t="n">
        <v>0.45</v>
      </c>
      <c r="G50" s="38" t="n">
        <v>6</v>
      </c>
      <c r="H50" s="674" t="n">
        <v>2.7</v>
      </c>
      <c r="I50" s="674" t="n">
        <v>2.9</v>
      </c>
      <c r="J50" s="38" t="n">
        <v>156</v>
      </c>
      <c r="K50" s="39" t="inlineStr">
        <is>
          <t>СК1</t>
        </is>
      </c>
      <c r="L50" s="38" t="n">
        <v>50</v>
      </c>
      <c r="M50" s="693">
        <f>HYPERLINK("https://abi.ru/products/Охлажденные/Вязанка/Столичная/Ветчины/P003226/","Ветчины «Филейская» Фикс.вес 0,45 Вектор ТМ «Вязанка»")</f>
        <v/>
      </c>
      <c r="N50" s="676" t="n"/>
      <c r="O50" s="676" t="n"/>
      <c r="P50" s="676" t="n"/>
      <c r="Q50" s="642" t="n"/>
      <c r="R50" s="40" t="inlineStr"/>
      <c r="S50" s="40" t="inlineStr"/>
      <c r="T50" s="41" t="inlineStr">
        <is>
          <t>кг</t>
        </is>
      </c>
      <c r="U50" s="677" t="n">
        <v>0</v>
      </c>
      <c r="V50" s="678">
        <f>IFERROR(IF(U50="",0,CEILING((U50/$H50),1)*$H50),"")</f>
        <v/>
      </c>
      <c r="W50" s="42">
        <f>IFERROR(IF(V50=0,"",ROUNDUP(V50/H50,0)*0.00753),"")</f>
        <v/>
      </c>
      <c r="X50" s="69" t="inlineStr"/>
      <c r="Y50" s="70" t="inlineStr"/>
      <c r="AC50" s="71" t="n"/>
      <c r="AZ50" s="84" t="inlineStr">
        <is>
          <t>КИ</t>
        </is>
      </c>
    </row>
    <row r="51">
      <c r="A51" s="322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679" t="n"/>
      <c r="M51" s="680" t="inlineStr">
        <is>
          <t>Итого</t>
        </is>
      </c>
      <c r="N51" s="650" t="n"/>
      <c r="O51" s="650" t="n"/>
      <c r="P51" s="650" t="n"/>
      <c r="Q51" s="650" t="n"/>
      <c r="R51" s="650" t="n"/>
      <c r="S51" s="651" t="n"/>
      <c r="T51" s="43" t="inlineStr">
        <is>
          <t>кор</t>
        </is>
      </c>
      <c r="U51" s="681">
        <f>IFERROR(U49/H49,"0")+IFERROR(U50/H50,"0")</f>
        <v/>
      </c>
      <c r="V51" s="681">
        <f>IFERROR(V49/H49,"0")+IFERROR(V50/H50,"0")</f>
        <v/>
      </c>
      <c r="W51" s="681">
        <f>IFERROR(IF(W49="",0,W49),"0")+IFERROR(IF(W50="",0,W50),"0")</f>
        <v/>
      </c>
      <c r="X51" s="682" t="n"/>
      <c r="Y51" s="682" t="n"/>
    </row>
    <row r="52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9" t="n"/>
      <c r="M52" s="680" t="inlineStr">
        <is>
          <t>Итого</t>
        </is>
      </c>
      <c r="N52" s="650" t="n"/>
      <c r="O52" s="650" t="n"/>
      <c r="P52" s="650" t="n"/>
      <c r="Q52" s="650" t="n"/>
      <c r="R52" s="650" t="n"/>
      <c r="S52" s="651" t="n"/>
      <c r="T52" s="43" t="inlineStr">
        <is>
          <t>кг</t>
        </is>
      </c>
      <c r="U52" s="681">
        <f>IFERROR(SUM(U49:U50),"0")</f>
        <v/>
      </c>
      <c r="V52" s="681">
        <f>IFERROR(SUM(V49:V50),"0")</f>
        <v/>
      </c>
      <c r="W52" s="43" t="n"/>
      <c r="X52" s="682" t="n"/>
      <c r="Y52" s="682" t="n"/>
    </row>
    <row r="53" ht="16.5" customHeight="1">
      <c r="A53" s="335" t="inlineStr">
        <is>
          <t>Классическая</t>
        </is>
      </c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335" t="n"/>
      <c r="Y53" s="335" t="n"/>
    </row>
    <row r="54" ht="14.25" customHeight="1">
      <c r="A54" s="327" t="inlineStr">
        <is>
          <t>Вареные колбасы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27" t="n"/>
      <c r="Y54" s="327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8" t="n">
        <v>4680115881426</v>
      </c>
      <c r="E55" s="642" t="n"/>
      <c r="F55" s="674" t="n">
        <v>1.35</v>
      </c>
      <c r="G55" s="38" t="n">
        <v>8</v>
      </c>
      <c r="H55" s="674" t="n">
        <v>10.8</v>
      </c>
      <c r="I55" s="674" t="n">
        <v>11.28</v>
      </c>
      <c r="J55" s="38" t="n">
        <v>48</v>
      </c>
      <c r="K55" s="39" t="inlineStr">
        <is>
          <t>ВЗ</t>
        </is>
      </c>
      <c r="L55" s="38" t="n">
        <v>55</v>
      </c>
      <c r="M55" s="694" t="inlineStr">
        <is>
          <t>Вареные колбасы «Филейская» Весовые Вектор ТМ «Вязанка»</t>
        </is>
      </c>
      <c r="N55" s="676" t="n"/>
      <c r="O55" s="676" t="n"/>
      <c r="P55" s="676" t="n"/>
      <c r="Q55" s="642" t="n"/>
      <c r="R55" s="40" t="inlineStr"/>
      <c r="S55" s="40" t="inlineStr"/>
      <c r="T55" s="41" t="inlineStr">
        <is>
          <t>кг</t>
        </is>
      </c>
      <c r="U55" s="677" t="n">
        <v>0</v>
      </c>
      <c r="V55" s="678">
        <f>IFERROR(IF(U55="",0,CEILING((U55/$H55),1)*$H55),"")</f>
        <v/>
      </c>
      <c r="W55" s="42">
        <f>IFERROR(IF(V55=0,"",ROUNDUP(V55/H55,0)*0.02039),"")</f>
        <v/>
      </c>
      <c r="X55" s="69" t="inlineStr"/>
      <c r="Y55" s="70" t="inlineStr"/>
      <c r="AC55" s="71" t="n"/>
      <c r="AZ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8" t="n">
        <v>4680115881426</v>
      </c>
      <c r="E56" s="642" t="n"/>
      <c r="F56" s="674" t="n">
        <v>1.35</v>
      </c>
      <c r="G56" s="38" t="n">
        <v>8</v>
      </c>
      <c r="H56" s="674" t="n">
        <v>10.8</v>
      </c>
      <c r="I56" s="67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6" t="n"/>
      <c r="O56" s="676" t="n"/>
      <c r="P56" s="676" t="n"/>
      <c r="Q56" s="642" t="n"/>
      <c r="R56" s="40" t="inlineStr"/>
      <c r="S56" s="40" t="inlineStr"/>
      <c r="T56" s="41" t="inlineStr">
        <is>
          <t>кг</t>
        </is>
      </c>
      <c r="U56" s="677" t="n">
        <v>300</v>
      </c>
      <c r="V56" s="67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8" t="n">
        <v>4680115881419</v>
      </c>
      <c r="E57" s="642" t="n"/>
      <c r="F57" s="674" t="n">
        <v>0.45</v>
      </c>
      <c r="G57" s="38" t="n">
        <v>10</v>
      </c>
      <c r="H57" s="674" t="n">
        <v>4.5</v>
      </c>
      <c r="I57" s="67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6" t="n"/>
      <c r="O57" s="676" t="n"/>
      <c r="P57" s="676" t="n"/>
      <c r="Q57" s="642" t="n"/>
      <c r="R57" s="40" t="inlineStr"/>
      <c r="S57" s="40" t="inlineStr"/>
      <c r="T57" s="41" t="inlineStr">
        <is>
          <t>кг</t>
        </is>
      </c>
      <c r="U57" s="677" t="n">
        <v>145.8</v>
      </c>
      <c r="V57" s="67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8" t="n">
        <v>4680115881525</v>
      </c>
      <c r="E58" s="642" t="n"/>
      <c r="F58" s="674" t="n">
        <v>0.4</v>
      </c>
      <c r="G58" s="38" t="n">
        <v>10</v>
      </c>
      <c r="H58" s="674" t="n">
        <v>4</v>
      </c>
      <c r="I58" s="67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7" t="inlineStr">
        <is>
          <t>Колбаса вареная Филейская ТМ Вязанка ТС Классическая полиамид ф/в 0,4 кг</t>
        </is>
      </c>
      <c r="N58" s="676" t="n"/>
      <c r="O58" s="676" t="n"/>
      <c r="P58" s="676" t="n"/>
      <c r="Q58" s="642" t="n"/>
      <c r="R58" s="40" t="inlineStr"/>
      <c r="S58" s="40" t="inlineStr"/>
      <c r="T58" s="41" t="inlineStr">
        <is>
          <t>кг</t>
        </is>
      </c>
      <c r="U58" s="677" t="n">
        <v>0</v>
      </c>
      <c r="V58" s="67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22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9" t="n"/>
      <c r="M59" s="680" t="inlineStr">
        <is>
          <t>Итого</t>
        </is>
      </c>
      <c r="N59" s="650" t="n"/>
      <c r="O59" s="650" t="n"/>
      <c r="P59" s="650" t="n"/>
      <c r="Q59" s="650" t="n"/>
      <c r="R59" s="650" t="n"/>
      <c r="S59" s="651" t="n"/>
      <c r="T59" s="43" t="inlineStr">
        <is>
          <t>кор</t>
        </is>
      </c>
      <c r="U59" s="681">
        <f>IFERROR(U55/H55,"0")+IFERROR(U56/H56,"0")+IFERROR(U57/H57,"0")+IFERROR(U58/H58,"0")</f>
        <v/>
      </c>
      <c r="V59" s="681">
        <f>IFERROR(V55/H55,"0")+IFERROR(V56/H56,"0")+IFERROR(V57/H57,"0")+IFERROR(V58/H58,"0")</f>
        <v/>
      </c>
      <c r="W59" s="681">
        <f>IFERROR(IF(W55="",0,W55),"0")+IFERROR(IF(W56="",0,W56),"0")+IFERROR(IF(W57="",0,W57),"0")+IFERROR(IF(W58="",0,W58),"0")</f>
        <v/>
      </c>
      <c r="X59" s="682" t="n"/>
      <c r="Y59" s="68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9" t="n"/>
      <c r="M60" s="680" t="inlineStr">
        <is>
          <t>Итого</t>
        </is>
      </c>
      <c r="N60" s="650" t="n"/>
      <c r="O60" s="650" t="n"/>
      <c r="P60" s="650" t="n"/>
      <c r="Q60" s="650" t="n"/>
      <c r="R60" s="650" t="n"/>
      <c r="S60" s="651" t="n"/>
      <c r="T60" s="43" t="inlineStr">
        <is>
          <t>кг</t>
        </is>
      </c>
      <c r="U60" s="681">
        <f>IFERROR(SUM(U55:U58),"0")</f>
        <v/>
      </c>
      <c r="V60" s="681">
        <f>IFERROR(SUM(V55:V58),"0")</f>
        <v/>
      </c>
      <c r="W60" s="43" t="n"/>
      <c r="X60" s="682" t="n"/>
      <c r="Y60" s="682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27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27" t="n"/>
      <c r="Y62" s="327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8" t="n">
        <v>4607091382945</v>
      </c>
      <c r="E63" s="642" t="n"/>
      <c r="F63" s="674" t="n">
        <v>1.4</v>
      </c>
      <c r="G63" s="38" t="n">
        <v>8</v>
      </c>
      <c r="H63" s="674" t="n">
        <v>11.2</v>
      </c>
      <c r="I63" s="674" t="n">
        <v>11.68</v>
      </c>
      <c r="J63" s="38" t="n">
        <v>56</v>
      </c>
      <c r="K63" s="39" t="inlineStr">
        <is>
          <t>СК1</t>
        </is>
      </c>
      <c r="L63" s="38" t="n">
        <v>50</v>
      </c>
      <c r="M63" s="698" t="inlineStr">
        <is>
          <t>Вареные колбасы «Вязанка со шпиком» Весовые Вектор УВВ ТМ «Вязанка»</t>
        </is>
      </c>
      <c r="N63" s="676" t="n"/>
      <c r="O63" s="676" t="n"/>
      <c r="P63" s="676" t="n"/>
      <c r="Q63" s="642" t="n"/>
      <c r="R63" s="40" t="inlineStr"/>
      <c r="S63" s="40" t="inlineStr"/>
      <c r="T63" s="41" t="inlineStr">
        <is>
          <t>кг</t>
        </is>
      </c>
      <c r="U63" s="677" t="n">
        <v>0</v>
      </c>
      <c r="V63" s="67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8" t="n">
        <v>4607091385670</v>
      </c>
      <c r="E64" s="642" t="n"/>
      <c r="F64" s="674" t="n">
        <v>1.35</v>
      </c>
      <c r="G64" s="38" t="n">
        <v>8</v>
      </c>
      <c r="H64" s="674" t="n">
        <v>10.8</v>
      </c>
      <c r="I64" s="67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6" t="n"/>
      <c r="O64" s="676" t="n"/>
      <c r="P64" s="676" t="n"/>
      <c r="Q64" s="642" t="n"/>
      <c r="R64" s="40" t="inlineStr"/>
      <c r="S64" s="40" t="inlineStr"/>
      <c r="T64" s="41" t="inlineStr">
        <is>
          <t>кг</t>
        </is>
      </c>
      <c r="U64" s="677" t="n">
        <v>0</v>
      </c>
      <c r="V64" s="67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8" t="n">
        <v>4680115881327</v>
      </c>
      <c r="E65" s="642" t="n"/>
      <c r="F65" s="674" t="n">
        <v>1.35</v>
      </c>
      <c r="G65" s="38" t="n">
        <v>8</v>
      </c>
      <c r="H65" s="674" t="n">
        <v>10.8</v>
      </c>
      <c r="I65" s="67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70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6" t="n"/>
      <c r="O65" s="676" t="n"/>
      <c r="P65" s="676" t="n"/>
      <c r="Q65" s="642" t="n"/>
      <c r="R65" s="40" t="inlineStr"/>
      <c r="S65" s="40" t="inlineStr"/>
      <c r="T65" s="41" t="inlineStr">
        <is>
          <t>кг</t>
        </is>
      </c>
      <c r="U65" s="677" t="n">
        <v>700</v>
      </c>
      <c r="V65" s="67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8" t="n">
        <v>4680115882133</v>
      </c>
      <c r="E66" s="642" t="n"/>
      <c r="F66" s="674" t="n">
        <v>1.35</v>
      </c>
      <c r="G66" s="38" t="n">
        <v>8</v>
      </c>
      <c r="H66" s="674" t="n">
        <v>10.8</v>
      </c>
      <c r="I66" s="674" t="n">
        <v>11.28</v>
      </c>
      <c r="J66" s="38" t="n">
        <v>56</v>
      </c>
      <c r="K66" s="39" t="inlineStr">
        <is>
          <t>СК1</t>
        </is>
      </c>
      <c r="L66" s="38" t="n">
        <v>50</v>
      </c>
      <c r="M66" s="701">
        <f>HYPERLINK("https://abi.ru/products/Охлажденные/Вязанка/Вязанка/Вареные колбасы/P003357/","Вареные колбасы «Сливушка» Вес П/а ТМ «Вязанка»")</f>
        <v/>
      </c>
      <c r="N66" s="676" t="n"/>
      <c r="O66" s="676" t="n"/>
      <c r="P66" s="676" t="n"/>
      <c r="Q66" s="642" t="n"/>
      <c r="R66" s="40" t="inlineStr"/>
      <c r="S66" s="40" t="inlineStr"/>
      <c r="T66" s="41" t="inlineStr">
        <is>
          <t>кг</t>
        </is>
      </c>
      <c r="U66" s="677" t="n">
        <v>0</v>
      </c>
      <c r="V66" s="67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8" t="n">
        <v>4607091382952</v>
      </c>
      <c r="E67" s="642" t="n"/>
      <c r="F67" s="674" t="n">
        <v>0.5</v>
      </c>
      <c r="G67" s="38" t="n">
        <v>6</v>
      </c>
      <c r="H67" s="674" t="n">
        <v>3</v>
      </c>
      <c r="I67" s="674" t="n">
        <v>3.2</v>
      </c>
      <c r="J67" s="38" t="n">
        <v>156</v>
      </c>
      <c r="K67" s="39" t="inlineStr">
        <is>
          <t>СК1</t>
        </is>
      </c>
      <c r="L67" s="38" t="n">
        <v>50</v>
      </c>
      <c r="M67" s="70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7" s="676" t="n"/>
      <c r="O67" s="676" t="n"/>
      <c r="P67" s="676" t="n"/>
      <c r="Q67" s="642" t="n"/>
      <c r="R67" s="40" t="inlineStr"/>
      <c r="S67" s="40" t="inlineStr"/>
      <c r="T67" s="41" t="inlineStr">
        <is>
          <t>кг</t>
        </is>
      </c>
      <c r="U67" s="677" t="n">
        <v>0</v>
      </c>
      <c r="V67" s="678">
        <f>IFERROR(IF(U67="",0,CEILING((U67/$H67),1)*$H67),"")</f>
        <v/>
      </c>
      <c r="W67" s="42">
        <f>IFERROR(IF(V67=0,"",ROUNDUP(V67/H67,0)*0.00753),"")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8" t="n">
        <v>4680115882539</v>
      </c>
      <c r="E68" s="642" t="n"/>
      <c r="F68" s="674" t="n">
        <v>0.37</v>
      </c>
      <c r="G68" s="38" t="n">
        <v>10</v>
      </c>
      <c r="H68" s="674" t="n">
        <v>3.7</v>
      </c>
      <c r="I68" s="674" t="n">
        <v>3.94</v>
      </c>
      <c r="J68" s="38" t="n">
        <v>120</v>
      </c>
      <c r="K68" s="39" t="inlineStr">
        <is>
          <t>СК3</t>
        </is>
      </c>
      <c r="L68" s="38" t="n">
        <v>50</v>
      </c>
      <c r="M68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8" s="676" t="n"/>
      <c r="O68" s="676" t="n"/>
      <c r="P68" s="676" t="n"/>
      <c r="Q68" s="642" t="n"/>
      <c r="R68" s="40" t="inlineStr"/>
      <c r="S68" s="40" t="inlineStr"/>
      <c r="T68" s="41" t="inlineStr">
        <is>
          <t>кг</t>
        </is>
      </c>
      <c r="U68" s="677" t="n">
        <v>0</v>
      </c>
      <c r="V68" s="678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8" t="n">
        <v>4607091385687</v>
      </c>
      <c r="E69" s="642" t="n"/>
      <c r="F69" s="674" t="n">
        <v>0.4</v>
      </c>
      <c r="G69" s="38" t="n">
        <v>10</v>
      </c>
      <c r="H69" s="674" t="n">
        <v>4</v>
      </c>
      <c r="I69" s="67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6" t="n"/>
      <c r="O69" s="676" t="n"/>
      <c r="P69" s="676" t="n"/>
      <c r="Q69" s="642" t="n"/>
      <c r="R69" s="40" t="inlineStr"/>
      <c r="S69" s="40" t="inlineStr"/>
      <c r="T69" s="41" t="inlineStr">
        <is>
          <t>кг</t>
        </is>
      </c>
      <c r="U69" s="677" t="n">
        <v>400</v>
      </c>
      <c r="V69" s="67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8" t="n">
        <v>4607091384604</v>
      </c>
      <c r="E70" s="642" t="n"/>
      <c r="F70" s="674" t="n">
        <v>0.4</v>
      </c>
      <c r="G70" s="38" t="n">
        <v>10</v>
      </c>
      <c r="H70" s="674" t="n">
        <v>4</v>
      </c>
      <c r="I70" s="67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70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76" t="n"/>
      <c r="O70" s="676" t="n"/>
      <c r="P70" s="676" t="n"/>
      <c r="Q70" s="642" t="n"/>
      <c r="R70" s="40" t="inlineStr"/>
      <c r="S70" s="40" t="inlineStr"/>
      <c r="T70" s="41" t="inlineStr">
        <is>
          <t>кг</t>
        </is>
      </c>
      <c r="U70" s="677" t="n">
        <v>0</v>
      </c>
      <c r="V70" s="67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8" t="n">
        <v>4680115880283</v>
      </c>
      <c r="E71" s="642" t="n"/>
      <c r="F71" s="674" t="n">
        <v>0.6</v>
      </c>
      <c r="G71" s="38" t="n">
        <v>8</v>
      </c>
      <c r="H71" s="674" t="n">
        <v>4.8</v>
      </c>
      <c r="I71" s="67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70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76" t="n"/>
      <c r="O71" s="676" t="n"/>
      <c r="P71" s="676" t="n"/>
      <c r="Q71" s="642" t="n"/>
      <c r="R71" s="40" t="inlineStr"/>
      <c r="S71" s="40" t="inlineStr"/>
      <c r="T71" s="41" t="inlineStr">
        <is>
          <t>кг</t>
        </is>
      </c>
      <c r="U71" s="677" t="n">
        <v>0</v>
      </c>
      <c r="V71" s="67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8" t="n">
        <v>4680115881518</v>
      </c>
      <c r="E72" s="642" t="n"/>
      <c r="F72" s="674" t="n">
        <v>0.4</v>
      </c>
      <c r="G72" s="38" t="n">
        <v>10</v>
      </c>
      <c r="H72" s="674" t="n">
        <v>4</v>
      </c>
      <c r="I72" s="67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70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76" t="n"/>
      <c r="O72" s="676" t="n"/>
      <c r="P72" s="676" t="n"/>
      <c r="Q72" s="642" t="n"/>
      <c r="R72" s="40" t="inlineStr"/>
      <c r="S72" s="40" t="inlineStr"/>
      <c r="T72" s="41" t="inlineStr">
        <is>
          <t>кг</t>
        </is>
      </c>
      <c r="U72" s="677" t="n">
        <v>0</v>
      </c>
      <c r="V72" s="67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8" t="n">
        <v>4680115881303</v>
      </c>
      <c r="E73" s="642" t="n"/>
      <c r="F73" s="674" t="n">
        <v>0.45</v>
      </c>
      <c r="G73" s="38" t="n">
        <v>10</v>
      </c>
      <c r="H73" s="674" t="n">
        <v>4.5</v>
      </c>
      <c r="I73" s="67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70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76" t="n"/>
      <c r="O73" s="676" t="n"/>
      <c r="P73" s="676" t="n"/>
      <c r="Q73" s="642" t="n"/>
      <c r="R73" s="40" t="inlineStr"/>
      <c r="S73" s="40" t="inlineStr"/>
      <c r="T73" s="41" t="inlineStr">
        <is>
          <t>кг</t>
        </is>
      </c>
      <c r="U73" s="677" t="n">
        <v>1876.5</v>
      </c>
      <c r="V73" s="67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8" t="n">
        <v>4680115882577</v>
      </c>
      <c r="E74" s="642" t="n"/>
      <c r="F74" s="674" t="n">
        <v>0.4</v>
      </c>
      <c r="G74" s="38" t="n">
        <v>8</v>
      </c>
      <c r="H74" s="674" t="n">
        <v>3.2</v>
      </c>
      <c r="I74" s="674" t="n">
        <v>3.4</v>
      </c>
      <c r="J74" s="38" t="n">
        <v>156</v>
      </c>
      <c r="K74" s="39" t="inlineStr">
        <is>
          <t>АК</t>
        </is>
      </c>
      <c r="L74" s="38" t="n">
        <v>90</v>
      </c>
      <c r="M74" s="709" t="inlineStr">
        <is>
          <t>Колбаса вареная Мусульманская ТМ Вязанка Халяль вектор ф/в 0,4 кг Казахстан АК</t>
        </is>
      </c>
      <c r="N74" s="676" t="n"/>
      <c r="O74" s="676" t="n"/>
      <c r="P74" s="676" t="n"/>
      <c r="Q74" s="642" t="n"/>
      <c r="R74" s="40" t="inlineStr"/>
      <c r="S74" s="40" t="inlineStr"/>
      <c r="T74" s="41" t="inlineStr">
        <is>
          <t>кг</t>
        </is>
      </c>
      <c r="U74" s="677" t="n">
        <v>0</v>
      </c>
      <c r="V74" s="678">
        <f>IFERROR(IF(U74="",0,CEILING((U74/$H74),1)*$H74),"")</f>
        <v/>
      </c>
      <c r="W74" s="42">
        <f>IFERROR(IF(V74=0,"",ROUNDUP(V74/H74,0)*0.00753),"")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8" t="n">
        <v>4607091388466</v>
      </c>
      <c r="E75" s="642" t="n"/>
      <c r="F75" s="674" t="n">
        <v>0.45</v>
      </c>
      <c r="G75" s="38" t="n">
        <v>6</v>
      </c>
      <c r="H75" s="674" t="n">
        <v>2.7</v>
      </c>
      <c r="I75" s="67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71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76" t="n"/>
      <c r="O75" s="676" t="n"/>
      <c r="P75" s="676" t="n"/>
      <c r="Q75" s="642" t="n"/>
      <c r="R75" s="40" t="inlineStr"/>
      <c r="S75" s="40" t="inlineStr"/>
      <c r="T75" s="41" t="inlineStr">
        <is>
          <t>кг</t>
        </is>
      </c>
      <c r="U75" s="677" t="n">
        <v>0</v>
      </c>
      <c r="V75" s="67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8" t="n">
        <v>4680115880269</v>
      </c>
      <c r="E76" s="642" t="n"/>
      <c r="F76" s="674" t="n">
        <v>0.375</v>
      </c>
      <c r="G76" s="38" t="n">
        <v>10</v>
      </c>
      <c r="H76" s="674" t="n">
        <v>3.75</v>
      </c>
      <c r="I76" s="67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71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76" t="n"/>
      <c r="O76" s="676" t="n"/>
      <c r="P76" s="676" t="n"/>
      <c r="Q76" s="642" t="n"/>
      <c r="R76" s="40" t="inlineStr"/>
      <c r="S76" s="40" t="inlineStr"/>
      <c r="T76" s="41" t="inlineStr">
        <is>
          <t>кг</t>
        </is>
      </c>
      <c r="U76" s="677" t="n">
        <v>0</v>
      </c>
      <c r="V76" s="67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71" t="n"/>
      <c r="AZ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8" t="n">
        <v>4680115880429</v>
      </c>
      <c r="E77" s="642" t="n"/>
      <c r="F77" s="674" t="n">
        <v>0.45</v>
      </c>
      <c r="G77" s="38" t="n">
        <v>10</v>
      </c>
      <c r="H77" s="674" t="n">
        <v>4.5</v>
      </c>
      <c r="I77" s="67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71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76" t="n"/>
      <c r="O77" s="676" t="n"/>
      <c r="P77" s="676" t="n"/>
      <c r="Q77" s="642" t="n"/>
      <c r="R77" s="40" t="inlineStr"/>
      <c r="S77" s="40" t="inlineStr"/>
      <c r="T77" s="41" t="inlineStr">
        <is>
          <t>кг</t>
        </is>
      </c>
      <c r="U77" s="677" t="n">
        <v>0</v>
      </c>
      <c r="V77" s="67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8" t="n">
        <v>4680115881457</v>
      </c>
      <c r="E78" s="642" t="n"/>
      <c r="F78" s="674" t="n">
        <v>0.75</v>
      </c>
      <c r="G78" s="38" t="n">
        <v>6</v>
      </c>
      <c r="H78" s="674" t="n">
        <v>4.5</v>
      </c>
      <c r="I78" s="67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1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76" t="n"/>
      <c r="O78" s="676" t="n"/>
      <c r="P78" s="676" t="n"/>
      <c r="Q78" s="642" t="n"/>
      <c r="R78" s="40" t="inlineStr"/>
      <c r="S78" s="40" t="inlineStr"/>
      <c r="T78" s="41" t="inlineStr">
        <is>
          <t>кг</t>
        </is>
      </c>
      <c r="U78" s="677" t="n">
        <v>0</v>
      </c>
      <c r="V78" s="67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>
      <c r="A79" s="322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79" t="n"/>
      <c r="M79" s="680" t="inlineStr">
        <is>
          <t>Итого</t>
        </is>
      </c>
      <c r="N79" s="650" t="n"/>
      <c r="O79" s="650" t="n"/>
      <c r="P79" s="650" t="n"/>
      <c r="Q79" s="650" t="n"/>
      <c r="R79" s="650" t="n"/>
      <c r="S79" s="651" t="n"/>
      <c r="T79" s="43" t="inlineStr">
        <is>
          <t>кор</t>
        </is>
      </c>
      <c r="U79" s="68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8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82" t="n"/>
      <c r="Y79" s="68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9" t="n"/>
      <c r="M80" s="680" t="inlineStr">
        <is>
          <t>Итого</t>
        </is>
      </c>
      <c r="N80" s="650" t="n"/>
      <c r="O80" s="650" t="n"/>
      <c r="P80" s="650" t="n"/>
      <c r="Q80" s="650" t="n"/>
      <c r="R80" s="650" t="n"/>
      <c r="S80" s="651" t="n"/>
      <c r="T80" s="43" t="inlineStr">
        <is>
          <t>кг</t>
        </is>
      </c>
      <c r="U80" s="681">
        <f>IFERROR(SUM(U63:U78),"0")</f>
        <v/>
      </c>
      <c r="V80" s="681">
        <f>IFERROR(SUM(V63:V78),"0")</f>
        <v/>
      </c>
      <c r="W80" s="43" t="n"/>
      <c r="X80" s="682" t="n"/>
      <c r="Y80" s="682" t="n"/>
    </row>
    <row r="81" ht="14.25" customHeight="1">
      <c r="A81" s="327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27" t="n"/>
      <c r="Y81" s="327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8" t="n">
        <v>4607091384789</v>
      </c>
      <c r="E82" s="642" t="n"/>
      <c r="F82" s="674" t="n">
        <v>1</v>
      </c>
      <c r="G82" s="38" t="n">
        <v>6</v>
      </c>
      <c r="H82" s="674" t="n">
        <v>6</v>
      </c>
      <c r="I82" s="674" t="n">
        <v>6.36</v>
      </c>
      <c r="J82" s="38" t="n">
        <v>104</v>
      </c>
      <c r="K82" s="39" t="inlineStr">
        <is>
          <t>СК1</t>
        </is>
      </c>
      <c r="L82" s="38" t="n">
        <v>45</v>
      </c>
      <c r="M82" s="714" t="inlineStr">
        <is>
          <t>Ветчины Запекуша с сочным окороком Вязанка Весовые П/а Вязанка</t>
        </is>
      </c>
      <c r="N82" s="676" t="n"/>
      <c r="O82" s="676" t="n"/>
      <c r="P82" s="676" t="n"/>
      <c r="Q82" s="642" t="n"/>
      <c r="R82" s="40" t="inlineStr"/>
      <c r="S82" s="40" t="inlineStr"/>
      <c r="T82" s="41" t="inlineStr">
        <is>
          <t>кг</t>
        </is>
      </c>
      <c r="U82" s="677" t="n">
        <v>0</v>
      </c>
      <c r="V82" s="678">
        <f>IFERROR(IF(U82="",0,CEILING((U82/$H82),1)*$H82),"")</f>
        <v/>
      </c>
      <c r="W82" s="42">
        <f>IFERROR(IF(V82=0,"",ROUNDUP(V82/H82,0)*0.01196),"")</f>
        <v/>
      </c>
      <c r="X82" s="69" t="inlineStr"/>
      <c r="Y82" s="70" t="inlineStr"/>
      <c r="AC82" s="71" t="n"/>
      <c r="AZ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8" t="n">
        <v>4680115881488</v>
      </c>
      <c r="E83" s="642" t="n"/>
      <c r="F83" s="674" t="n">
        <v>1.35</v>
      </c>
      <c r="G83" s="38" t="n">
        <v>8</v>
      </c>
      <c r="H83" s="674" t="n">
        <v>10.8</v>
      </c>
      <c r="I83" s="674" t="n">
        <v>11.28</v>
      </c>
      <c r="J83" s="38" t="n">
        <v>48</v>
      </c>
      <c r="K83" s="39" t="inlineStr">
        <is>
          <t>СК1</t>
        </is>
      </c>
      <c r="L83" s="38" t="n">
        <v>50</v>
      </c>
      <c r="M83" s="715">
        <f>HYPERLINK("https://abi.ru/products/Охлажденные/Вязанка/Вязанка/Ветчины/P003236/","Ветчины Сливушка с индейкой Вязанка вес П/а Вязанка")</f>
        <v/>
      </c>
      <c r="N83" s="676" t="n"/>
      <c r="O83" s="676" t="n"/>
      <c r="P83" s="676" t="n"/>
      <c r="Q83" s="642" t="n"/>
      <c r="R83" s="40" t="inlineStr"/>
      <c r="S83" s="40" t="inlineStr"/>
      <c r="T83" s="41" t="inlineStr">
        <is>
          <t>кг</t>
        </is>
      </c>
      <c r="U83" s="677" t="n">
        <v>0</v>
      </c>
      <c r="V83" s="678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8" t="n">
        <v>4607091384765</v>
      </c>
      <c r="E84" s="642" t="n"/>
      <c r="F84" s="674" t="n">
        <v>0.42</v>
      </c>
      <c r="G84" s="38" t="n">
        <v>6</v>
      </c>
      <c r="H84" s="674" t="n">
        <v>2.52</v>
      </c>
      <c r="I84" s="674" t="n">
        <v>2.72</v>
      </c>
      <c r="J84" s="38" t="n">
        <v>156</v>
      </c>
      <c r="K84" s="39" t="inlineStr">
        <is>
          <t>СК1</t>
        </is>
      </c>
      <c r="L84" s="38" t="n">
        <v>45</v>
      </c>
      <c r="M84" s="716" t="inlineStr">
        <is>
          <t>Ветчины Запекуша с сочным окороком Вязанка Фикс.вес 0,42 п/а Вязанка</t>
        </is>
      </c>
      <c r="N84" s="676" t="n"/>
      <c r="O84" s="676" t="n"/>
      <c r="P84" s="676" t="n"/>
      <c r="Q84" s="642" t="n"/>
      <c r="R84" s="40" t="inlineStr"/>
      <c r="S84" s="40" t="inlineStr"/>
      <c r="T84" s="41" t="inlineStr">
        <is>
          <t>кг</t>
        </is>
      </c>
      <c r="U84" s="677" t="n">
        <v>0</v>
      </c>
      <c r="V84" s="678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07" t="inlineStr">
        <is>
          <t>КИ</t>
        </is>
      </c>
    </row>
    <row r="85" ht="27" customHeight="1">
      <c r="A85" s="64" t="inlineStr">
        <is>
          <t>SU003037</t>
        </is>
      </c>
      <c r="B85" s="64" t="inlineStr">
        <is>
          <t>P003575</t>
        </is>
      </c>
      <c r="C85" s="37" t="n">
        <v>4301020258</v>
      </c>
      <c r="D85" s="328" t="n">
        <v>4680115882775</v>
      </c>
      <c r="E85" s="642" t="n"/>
      <c r="F85" s="674" t="n">
        <v>0.3</v>
      </c>
      <c r="G85" s="38" t="n">
        <v>8</v>
      </c>
      <c r="H85" s="674" t="n">
        <v>2.4</v>
      </c>
      <c r="I85" s="674" t="n">
        <v>2.5</v>
      </c>
      <c r="J85" s="38" t="n">
        <v>234</v>
      </c>
      <c r="K85" s="39" t="inlineStr">
        <is>
          <t>СК3</t>
        </is>
      </c>
      <c r="L85" s="38" t="n">
        <v>50</v>
      </c>
      <c r="M85" s="717" t="inlineStr">
        <is>
          <t>Ветчины «Сливушка с индейкой» Фикс.вес 0,3 П/а ТМ «Вязанка»</t>
        </is>
      </c>
      <c r="N85" s="676" t="n"/>
      <c r="O85" s="676" t="n"/>
      <c r="P85" s="676" t="n"/>
      <c r="Q85" s="642" t="n"/>
      <c r="R85" s="40" t="inlineStr"/>
      <c r="S85" s="40" t="inlineStr"/>
      <c r="T85" s="41" t="inlineStr">
        <is>
          <t>кг</t>
        </is>
      </c>
      <c r="U85" s="677" t="n">
        <v>0</v>
      </c>
      <c r="V85" s="678">
        <f>IFERROR(IF(U85="",0,CEILING((U85/$H85),1)*$H85),"")</f>
        <v/>
      </c>
      <c r="W85" s="42">
        <f>IFERROR(IF(V85=0,"",ROUNDUP(V85/H85,0)*0.00502),"")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28" t="n">
        <v>4680115880658</v>
      </c>
      <c r="E86" s="642" t="n"/>
      <c r="F86" s="674" t="n">
        <v>0.4</v>
      </c>
      <c r="G86" s="38" t="n">
        <v>6</v>
      </c>
      <c r="H86" s="674" t="n">
        <v>2.4</v>
      </c>
      <c r="I86" s="67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76" t="n"/>
      <c r="O86" s="676" t="n"/>
      <c r="P86" s="676" t="n"/>
      <c r="Q86" s="642" t="n"/>
      <c r="R86" s="40" t="inlineStr"/>
      <c r="S86" s="40" t="inlineStr"/>
      <c r="T86" s="41" t="inlineStr">
        <is>
          <t>кг</t>
        </is>
      </c>
      <c r="U86" s="677" t="n">
        <v>0</v>
      </c>
      <c r="V86" s="67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28" t="n">
        <v>4607091381962</v>
      </c>
      <c r="E87" s="642" t="n"/>
      <c r="F87" s="674" t="n">
        <v>0.5</v>
      </c>
      <c r="G87" s="38" t="n">
        <v>6</v>
      </c>
      <c r="H87" s="674" t="n">
        <v>3</v>
      </c>
      <c r="I87" s="67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719">
        <f>HYPERLINK("https://abi.ru/products/Охлажденные/Вязанка/Вязанка/Ветчины/P003164/","Ветчины Столичная Вязанка Фикс.вес 0,5 Вектор Вязанка")</f>
        <v/>
      </c>
      <c r="N87" s="676" t="n"/>
      <c r="O87" s="676" t="n"/>
      <c r="P87" s="676" t="n"/>
      <c r="Q87" s="642" t="n"/>
      <c r="R87" s="40" t="inlineStr"/>
      <c r="S87" s="40" t="inlineStr"/>
      <c r="T87" s="41" t="inlineStr">
        <is>
          <t>кг</t>
        </is>
      </c>
      <c r="U87" s="677" t="n">
        <v>0</v>
      </c>
      <c r="V87" s="67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>
      <c r="A88" s="322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79" t="n"/>
      <c r="M88" s="680" t="inlineStr">
        <is>
          <t>Итого</t>
        </is>
      </c>
      <c r="N88" s="650" t="n"/>
      <c r="O88" s="650" t="n"/>
      <c r="P88" s="650" t="n"/>
      <c r="Q88" s="650" t="n"/>
      <c r="R88" s="650" t="n"/>
      <c r="S88" s="651" t="n"/>
      <c r="T88" s="43" t="inlineStr">
        <is>
          <t>кор</t>
        </is>
      </c>
      <c r="U88" s="681">
        <f>IFERROR(U82/H82,"0")+IFERROR(U83/H83,"0")+IFERROR(U84/H84,"0")+IFERROR(U85/H85,"0")+IFERROR(U86/H86,"0")+IFERROR(U87/H87,"0")</f>
        <v/>
      </c>
      <c r="V88" s="681">
        <f>IFERROR(V82/H82,"0")+IFERROR(V83/H83,"0")+IFERROR(V84/H84,"0")+IFERROR(V85/H85,"0")+IFERROR(V86/H86,"0")+IFERROR(V87/H87,"0")</f>
        <v/>
      </c>
      <c r="W88" s="681">
        <f>IFERROR(IF(W82="",0,W82),"0")+IFERROR(IF(W83="",0,W83),"0")+IFERROR(IF(W84="",0,W84),"0")+IFERROR(IF(W85="",0,W85),"0")+IFERROR(IF(W86="",0,W86),"0")+IFERROR(IF(W87="",0,W87),"0")</f>
        <v/>
      </c>
      <c r="X88" s="682" t="n"/>
      <c r="Y88" s="68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9" t="n"/>
      <c r="M89" s="680" t="inlineStr">
        <is>
          <t>Итого</t>
        </is>
      </c>
      <c r="N89" s="650" t="n"/>
      <c r="O89" s="650" t="n"/>
      <c r="P89" s="650" t="n"/>
      <c r="Q89" s="650" t="n"/>
      <c r="R89" s="650" t="n"/>
      <c r="S89" s="651" t="n"/>
      <c r="T89" s="43" t="inlineStr">
        <is>
          <t>кг</t>
        </is>
      </c>
      <c r="U89" s="681">
        <f>IFERROR(SUM(U82:U87),"0")</f>
        <v/>
      </c>
      <c r="V89" s="681">
        <f>IFERROR(SUM(V82:V87),"0")</f>
        <v/>
      </c>
      <c r="W89" s="43" t="n"/>
      <c r="X89" s="682" t="n"/>
      <c r="Y89" s="682" t="n"/>
    </row>
    <row r="90" ht="14.25" customHeight="1">
      <c r="A90" s="327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27" t="n"/>
      <c r="Y90" s="327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28" t="n">
        <v>4607091387667</v>
      </c>
      <c r="E91" s="642" t="n"/>
      <c r="F91" s="674" t="n">
        <v>0.9</v>
      </c>
      <c r="G91" s="38" t="n">
        <v>10</v>
      </c>
      <c r="H91" s="674" t="n">
        <v>9</v>
      </c>
      <c r="I91" s="67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76" t="n"/>
      <c r="O91" s="676" t="n"/>
      <c r="P91" s="676" t="n"/>
      <c r="Q91" s="642" t="n"/>
      <c r="R91" s="40" t="inlineStr"/>
      <c r="S91" s="40" t="inlineStr"/>
      <c r="T91" s="41" t="inlineStr">
        <is>
          <t>кг</t>
        </is>
      </c>
      <c r="U91" s="677" t="n">
        <v>0</v>
      </c>
      <c r="V91" s="67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1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28" t="n">
        <v>4607091387636</v>
      </c>
      <c r="E92" s="642" t="n"/>
      <c r="F92" s="674" t="n">
        <v>0.7</v>
      </c>
      <c r="G92" s="38" t="n">
        <v>6</v>
      </c>
      <c r="H92" s="674" t="n">
        <v>4.2</v>
      </c>
      <c r="I92" s="67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76" t="n"/>
      <c r="O92" s="676" t="n"/>
      <c r="P92" s="676" t="n"/>
      <c r="Q92" s="642" t="n"/>
      <c r="R92" s="40" t="inlineStr"/>
      <c r="S92" s="40" t="inlineStr"/>
      <c r="T92" s="41" t="inlineStr">
        <is>
          <t>кг</t>
        </is>
      </c>
      <c r="U92" s="677" t="n">
        <v>0</v>
      </c>
      <c r="V92" s="67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28" t="n">
        <v>4607091384727</v>
      </c>
      <c r="E93" s="642" t="n"/>
      <c r="F93" s="674" t="n">
        <v>0.8</v>
      </c>
      <c r="G93" s="38" t="n">
        <v>6</v>
      </c>
      <c r="H93" s="674" t="n">
        <v>4.8</v>
      </c>
      <c r="I93" s="67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76" t="n"/>
      <c r="O93" s="676" t="n"/>
      <c r="P93" s="676" t="n"/>
      <c r="Q93" s="642" t="n"/>
      <c r="R93" s="40" t="inlineStr"/>
      <c r="S93" s="40" t="inlineStr"/>
      <c r="T93" s="41" t="inlineStr">
        <is>
          <t>кг</t>
        </is>
      </c>
      <c r="U93" s="677" t="n">
        <v>0</v>
      </c>
      <c r="V93" s="67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28" t="n">
        <v>4607091386745</v>
      </c>
      <c r="E94" s="642" t="n"/>
      <c r="F94" s="674" t="n">
        <v>0.8</v>
      </c>
      <c r="G94" s="38" t="n">
        <v>6</v>
      </c>
      <c r="H94" s="674" t="n">
        <v>4.8</v>
      </c>
      <c r="I94" s="67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76" t="n"/>
      <c r="O94" s="676" t="n"/>
      <c r="P94" s="676" t="n"/>
      <c r="Q94" s="642" t="n"/>
      <c r="R94" s="40" t="inlineStr"/>
      <c r="S94" s="40" t="inlineStr"/>
      <c r="T94" s="41" t="inlineStr">
        <is>
          <t>кг</t>
        </is>
      </c>
      <c r="U94" s="677" t="n">
        <v>0</v>
      </c>
      <c r="V94" s="67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28" t="n">
        <v>4607091382426</v>
      </c>
      <c r="E95" s="642" t="n"/>
      <c r="F95" s="674" t="n">
        <v>0.9</v>
      </c>
      <c r="G95" s="38" t="n">
        <v>10</v>
      </c>
      <c r="H95" s="674" t="n">
        <v>9</v>
      </c>
      <c r="I95" s="67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76" t="n"/>
      <c r="O95" s="676" t="n"/>
      <c r="P95" s="676" t="n"/>
      <c r="Q95" s="642" t="n"/>
      <c r="R95" s="40" t="inlineStr"/>
      <c r="S95" s="40" t="inlineStr"/>
      <c r="T95" s="41" t="inlineStr">
        <is>
          <t>кг</t>
        </is>
      </c>
      <c r="U95" s="677" t="n">
        <v>0</v>
      </c>
      <c r="V95" s="67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71" t="n"/>
      <c r="AZ95" s="115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28" t="n">
        <v>4607091386547</v>
      </c>
      <c r="E96" s="642" t="n"/>
      <c r="F96" s="674" t="n">
        <v>0.35</v>
      </c>
      <c r="G96" s="38" t="n">
        <v>8</v>
      </c>
      <c r="H96" s="674" t="n">
        <v>2.8</v>
      </c>
      <c r="I96" s="67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76" t="n"/>
      <c r="O96" s="676" t="n"/>
      <c r="P96" s="676" t="n"/>
      <c r="Q96" s="642" t="n"/>
      <c r="R96" s="40" t="inlineStr"/>
      <c r="S96" s="40" t="inlineStr"/>
      <c r="T96" s="41" t="inlineStr">
        <is>
          <t>кг</t>
        </is>
      </c>
      <c r="U96" s="677" t="n">
        <v>0</v>
      </c>
      <c r="V96" s="67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28" t="n">
        <v>4607091384703</v>
      </c>
      <c r="E97" s="642" t="n"/>
      <c r="F97" s="674" t="n">
        <v>0.35</v>
      </c>
      <c r="G97" s="38" t="n">
        <v>6</v>
      </c>
      <c r="H97" s="674" t="n">
        <v>2.1</v>
      </c>
      <c r="I97" s="67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72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76" t="n"/>
      <c r="O97" s="676" t="n"/>
      <c r="P97" s="676" t="n"/>
      <c r="Q97" s="642" t="n"/>
      <c r="R97" s="40" t="inlineStr"/>
      <c r="S97" s="40" t="inlineStr"/>
      <c r="T97" s="41" t="inlineStr">
        <is>
          <t>кг</t>
        </is>
      </c>
      <c r="U97" s="677" t="n">
        <v>0</v>
      </c>
      <c r="V97" s="67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8" t="n">
        <v>4607091384734</v>
      </c>
      <c r="E98" s="642" t="n"/>
      <c r="F98" s="674" t="n">
        <v>0.35</v>
      </c>
      <c r="G98" s="38" t="n">
        <v>6</v>
      </c>
      <c r="H98" s="674" t="n">
        <v>2.1</v>
      </c>
      <c r="I98" s="67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76" t="n"/>
      <c r="O98" s="676" t="n"/>
      <c r="P98" s="676" t="n"/>
      <c r="Q98" s="642" t="n"/>
      <c r="R98" s="40" t="inlineStr"/>
      <c r="S98" s="40" t="inlineStr"/>
      <c r="T98" s="41" t="inlineStr">
        <is>
          <t>кг</t>
        </is>
      </c>
      <c r="U98" s="677" t="n">
        <v>0</v>
      </c>
      <c r="V98" s="67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8" t="n">
        <v>4607091382464</v>
      </c>
      <c r="E99" s="642" t="n"/>
      <c r="F99" s="674" t="n">
        <v>0.35</v>
      </c>
      <c r="G99" s="38" t="n">
        <v>8</v>
      </c>
      <c r="H99" s="674" t="n">
        <v>2.8</v>
      </c>
      <c r="I99" s="67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72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76" t="n"/>
      <c r="O99" s="676" t="n"/>
      <c r="P99" s="676" t="n"/>
      <c r="Q99" s="642" t="n"/>
      <c r="R99" s="40" t="inlineStr"/>
      <c r="S99" s="40" t="inlineStr"/>
      <c r="T99" s="41" t="inlineStr">
        <is>
          <t>кг</t>
        </is>
      </c>
      <c r="U99" s="677" t="n">
        <v>0</v>
      </c>
      <c r="V99" s="67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>
      <c r="A100" s="322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79" t="n"/>
      <c r="M100" s="680" t="inlineStr">
        <is>
          <t>Итого</t>
        </is>
      </c>
      <c r="N100" s="650" t="n"/>
      <c r="O100" s="650" t="n"/>
      <c r="P100" s="650" t="n"/>
      <c r="Q100" s="650" t="n"/>
      <c r="R100" s="650" t="n"/>
      <c r="S100" s="651" t="n"/>
      <c r="T100" s="43" t="inlineStr">
        <is>
          <t>кор</t>
        </is>
      </c>
      <c r="U100" s="681">
        <f>IFERROR(U91/H91,"0")+IFERROR(U92/H92,"0")+IFERROR(U93/H93,"0")+IFERROR(U94/H94,"0")+IFERROR(U95/H95,"0")+IFERROR(U96/H96,"0")+IFERROR(U97/H97,"0")+IFERROR(U98/H98,"0")+IFERROR(U99/H99,"0")</f>
        <v/>
      </c>
      <c r="V100" s="681">
        <f>IFERROR(V91/H91,"0")+IFERROR(V92/H92,"0")+IFERROR(V93/H93,"0")+IFERROR(V94/H94,"0")+IFERROR(V95/H95,"0")+IFERROR(V96/H96,"0")+IFERROR(V97/H97,"0")+IFERROR(V98/H98,"0")+IFERROR(V99/H99,"0")</f>
        <v/>
      </c>
      <c r="W100" s="68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82" t="n"/>
      <c r="Y100" s="68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9" t="n"/>
      <c r="M101" s="680" t="inlineStr">
        <is>
          <t>Итого</t>
        </is>
      </c>
      <c r="N101" s="650" t="n"/>
      <c r="O101" s="650" t="n"/>
      <c r="P101" s="650" t="n"/>
      <c r="Q101" s="650" t="n"/>
      <c r="R101" s="650" t="n"/>
      <c r="S101" s="651" t="n"/>
      <c r="T101" s="43" t="inlineStr">
        <is>
          <t>кг</t>
        </is>
      </c>
      <c r="U101" s="681">
        <f>IFERROR(SUM(U91:U99),"0")</f>
        <v/>
      </c>
      <c r="V101" s="681">
        <f>IFERROR(SUM(V91:V99),"0")</f>
        <v/>
      </c>
      <c r="W101" s="43" t="n"/>
      <c r="X101" s="682" t="n"/>
      <c r="Y101" s="682" t="n"/>
    </row>
    <row r="102" ht="14.25" customHeight="1">
      <c r="A102" s="327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27" t="n"/>
      <c r="Y102" s="327" t="n"/>
    </row>
    <row r="103" ht="27" customHeight="1">
      <c r="A103" s="64" t="inlineStr">
        <is>
          <t>SU001523</t>
        </is>
      </c>
      <c r="B103" s="64" t="inlineStr">
        <is>
          <t>P003691</t>
        </is>
      </c>
      <c r="C103" s="37" t="n">
        <v>4301051543</v>
      </c>
      <c r="D103" s="328" t="n">
        <v>4607091386967</v>
      </c>
      <c r="E103" s="642" t="n"/>
      <c r="F103" s="674" t="n">
        <v>1.4</v>
      </c>
      <c r="G103" s="38" t="n">
        <v>6</v>
      </c>
      <c r="H103" s="674" t="n">
        <v>8.4</v>
      </c>
      <c r="I103" s="674" t="n">
        <v>8.964</v>
      </c>
      <c r="J103" s="38" t="n">
        <v>56</v>
      </c>
      <c r="K103" s="39" t="inlineStr">
        <is>
          <t>СК2</t>
        </is>
      </c>
      <c r="L103" s="38" t="n">
        <v>45</v>
      </c>
      <c r="M103" s="729" t="inlineStr">
        <is>
          <t>Сосиски «Молокуши (Вязанка Молочные)» Весовые П/а мгс УВВ ТМ «Вязанка»</t>
        </is>
      </c>
      <c r="N103" s="676" t="n"/>
      <c r="O103" s="676" t="n"/>
      <c r="P103" s="676" t="n"/>
      <c r="Q103" s="642" t="n"/>
      <c r="R103" s="40" t="inlineStr"/>
      <c r="S103" s="40" t="inlineStr"/>
      <c r="T103" s="41" t="inlineStr">
        <is>
          <t>кг</t>
        </is>
      </c>
      <c r="U103" s="677" t="n">
        <v>0</v>
      </c>
      <c r="V103" s="67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71" t="n"/>
      <c r="AZ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8" t="n">
        <v>4607091386967</v>
      </c>
      <c r="E104" s="642" t="n"/>
      <c r="F104" s="674" t="n">
        <v>1.35</v>
      </c>
      <c r="G104" s="38" t="n">
        <v>6</v>
      </c>
      <c r="H104" s="674" t="n">
        <v>8.1</v>
      </c>
      <c r="I104" s="674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30" t="inlineStr">
        <is>
          <t>Сосиски Молокуши (Вязанка Молочные) Вязанка Весовые П/а мгс Вязанка</t>
        </is>
      </c>
      <c r="N104" s="676" t="n"/>
      <c r="O104" s="676" t="n"/>
      <c r="P104" s="676" t="n"/>
      <c r="Q104" s="642" t="n"/>
      <c r="R104" s="40" t="inlineStr"/>
      <c r="S104" s="40" t="inlineStr"/>
      <c r="T104" s="41" t="inlineStr">
        <is>
          <t>кг</t>
        </is>
      </c>
      <c r="U104" s="677" t="n">
        <v>0</v>
      </c>
      <c r="V104" s="67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8" t="n">
        <v>4607091385304</v>
      </c>
      <c r="E105" s="642" t="n"/>
      <c r="F105" s="674" t="n">
        <v>1.35</v>
      </c>
      <c r="G105" s="38" t="n">
        <v>6</v>
      </c>
      <c r="H105" s="674" t="n">
        <v>8.1</v>
      </c>
      <c r="I105" s="674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31">
        <f>HYPERLINK("https://abi.ru/products/Охлажденные/Вязанка/Вязанка/Сосиски/P003025/","Сосиски Рубленые Вязанка Весовые п/а мгс Вязанка")</f>
        <v/>
      </c>
      <c r="N105" s="676" t="n"/>
      <c r="O105" s="676" t="n"/>
      <c r="P105" s="676" t="n"/>
      <c r="Q105" s="642" t="n"/>
      <c r="R105" s="40" t="inlineStr"/>
      <c r="S105" s="40" t="inlineStr"/>
      <c r="T105" s="41" t="inlineStr">
        <is>
          <t>кг</t>
        </is>
      </c>
      <c r="U105" s="677" t="n">
        <v>0</v>
      </c>
      <c r="V105" s="678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8" t="n">
        <v>4607091386264</v>
      </c>
      <c r="E106" s="642" t="n"/>
      <c r="F106" s="674" t="n">
        <v>0.5</v>
      </c>
      <c r="G106" s="38" t="n">
        <v>6</v>
      </c>
      <c r="H106" s="674" t="n">
        <v>3</v>
      </c>
      <c r="I106" s="674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32">
        <f>HYPERLINK("https://abi.ru/products/Охлажденные/Вязанка/Вязанка/Сосиски/P002217/","Сосиски Венские Вязанка Фикс.вес 0,5 NDX мгс Вязанка")</f>
        <v/>
      </c>
      <c r="N106" s="676" t="n"/>
      <c r="O106" s="676" t="n"/>
      <c r="P106" s="676" t="n"/>
      <c r="Q106" s="642" t="n"/>
      <c r="R106" s="40" t="inlineStr"/>
      <c r="S106" s="40" t="inlineStr"/>
      <c r="T106" s="41" t="inlineStr">
        <is>
          <t>кг</t>
        </is>
      </c>
      <c r="U106" s="677" t="n">
        <v>0</v>
      </c>
      <c r="V106" s="67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16.5" customHeight="1">
      <c r="A107" s="64" t="inlineStr">
        <is>
          <t>SU002984</t>
        </is>
      </c>
      <c r="B107" s="64" t="inlineStr">
        <is>
          <t>P003438</t>
        </is>
      </c>
      <c r="C107" s="37" t="n">
        <v>4301051476</v>
      </c>
      <c r="D107" s="328" t="n">
        <v>4680115882584</v>
      </c>
      <c r="E107" s="642" t="n"/>
      <c r="F107" s="674" t="n">
        <v>0.33</v>
      </c>
      <c r="G107" s="38" t="n">
        <v>8</v>
      </c>
      <c r="H107" s="674" t="n">
        <v>2.64</v>
      </c>
      <c r="I107" s="674" t="n">
        <v>2.928</v>
      </c>
      <c r="J107" s="38" t="n">
        <v>156</v>
      </c>
      <c r="K107" s="39" t="inlineStr">
        <is>
          <t>АК</t>
        </is>
      </c>
      <c r="L107" s="38" t="n">
        <v>60</v>
      </c>
      <c r="M107" s="733" t="inlineStr">
        <is>
          <t>Сосиски Восточные халяль ТМ Вязанка полиамид в/у ф/в 0,33 кг Казахстан АК</t>
        </is>
      </c>
      <c r="N107" s="676" t="n"/>
      <c r="O107" s="676" t="n"/>
      <c r="P107" s="676" t="n"/>
      <c r="Q107" s="642" t="n"/>
      <c r="R107" s="40" t="inlineStr"/>
      <c r="S107" s="40" t="inlineStr"/>
      <c r="T107" s="41" t="inlineStr">
        <is>
          <t>кг</t>
        </is>
      </c>
      <c r="U107" s="677" t="n">
        <v>0</v>
      </c>
      <c r="V107" s="678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SU001718</t>
        </is>
      </c>
      <c r="B108" s="64" t="inlineStr">
        <is>
          <t>P003327</t>
        </is>
      </c>
      <c r="C108" s="37" t="n">
        <v>4301051436</v>
      </c>
      <c r="D108" s="328" t="n">
        <v>4607091385731</v>
      </c>
      <c r="E108" s="642" t="n"/>
      <c r="F108" s="674" t="n">
        <v>0.45</v>
      </c>
      <c r="G108" s="38" t="n">
        <v>6</v>
      </c>
      <c r="H108" s="674" t="n">
        <v>2.7</v>
      </c>
      <c r="I108" s="674" t="n">
        <v>2.972</v>
      </c>
      <c r="J108" s="38" t="n">
        <v>156</v>
      </c>
      <c r="K108" s="39" t="inlineStr">
        <is>
          <t>СК3</t>
        </is>
      </c>
      <c r="L108" s="38" t="n">
        <v>45</v>
      </c>
      <c r="M108" s="734" t="inlineStr">
        <is>
          <t>Сосиски Молокуши (Вязанка Молочные) Вязанка Фикс.вес 0,45 П/а мгс Вязанка</t>
        </is>
      </c>
      <c r="N108" s="676" t="n"/>
      <c r="O108" s="676" t="n"/>
      <c r="P108" s="676" t="n"/>
      <c r="Q108" s="642" t="n"/>
      <c r="R108" s="40" t="inlineStr"/>
      <c r="S108" s="40" t="inlineStr"/>
      <c r="T108" s="41" t="inlineStr">
        <is>
          <t>кг</t>
        </is>
      </c>
      <c r="U108" s="677" t="n">
        <v>270</v>
      </c>
      <c r="V108" s="67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SU002658</t>
        </is>
      </c>
      <c r="B109" s="64" t="inlineStr">
        <is>
          <t>P003326</t>
        </is>
      </c>
      <c r="C109" s="37" t="n">
        <v>4301051439</v>
      </c>
      <c r="D109" s="328" t="n">
        <v>4680115880214</v>
      </c>
      <c r="E109" s="642" t="n"/>
      <c r="F109" s="674" t="n">
        <v>0.45</v>
      </c>
      <c r="G109" s="38" t="n">
        <v>6</v>
      </c>
      <c r="H109" s="674" t="n">
        <v>2.7</v>
      </c>
      <c r="I109" s="674" t="n">
        <v>2.988</v>
      </c>
      <c r="J109" s="38" t="n">
        <v>120</v>
      </c>
      <c r="K109" s="39" t="inlineStr">
        <is>
          <t>СК3</t>
        </is>
      </c>
      <c r="L109" s="38" t="n">
        <v>45</v>
      </c>
      <c r="M109" s="735" t="inlineStr">
        <is>
          <t>Сосиски Молокуши миникушай Вязанка Ф/в 0,45 амилюкс мгс Вязанка</t>
        </is>
      </c>
      <c r="N109" s="676" t="n"/>
      <c r="O109" s="676" t="n"/>
      <c r="P109" s="676" t="n"/>
      <c r="Q109" s="642" t="n"/>
      <c r="R109" s="40" t="inlineStr"/>
      <c r="S109" s="40" t="inlineStr"/>
      <c r="T109" s="41" t="inlineStr">
        <is>
          <t>кг</t>
        </is>
      </c>
      <c r="U109" s="677" t="n">
        <v>0</v>
      </c>
      <c r="V109" s="678">
        <f>IFERROR(IF(U109="",0,CEILING((U109/$H109),1)*$H109),"")</f>
        <v/>
      </c>
      <c r="W109" s="42">
        <f>IFERROR(IF(V109=0,"",ROUNDUP(V109/H109,0)*0.00937),"")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SU002769</t>
        </is>
      </c>
      <c r="B110" s="64" t="inlineStr">
        <is>
          <t>P003324</t>
        </is>
      </c>
      <c r="C110" s="37" t="n">
        <v>4301051438</v>
      </c>
      <c r="D110" s="328" t="n">
        <v>4680115880894</v>
      </c>
      <c r="E110" s="642" t="n"/>
      <c r="F110" s="674" t="n">
        <v>0.33</v>
      </c>
      <c r="G110" s="38" t="n">
        <v>6</v>
      </c>
      <c r="H110" s="674" t="n">
        <v>1.98</v>
      </c>
      <c r="I110" s="674" t="n">
        <v>2.258</v>
      </c>
      <c r="J110" s="38" t="n">
        <v>156</v>
      </c>
      <c r="K110" s="39" t="inlineStr">
        <is>
          <t>СК3</t>
        </is>
      </c>
      <c r="L110" s="38" t="n">
        <v>45</v>
      </c>
      <c r="M110" s="736" t="inlineStr">
        <is>
          <t>Сосиски Молокуши Миникушай Вязанка фикс.вес 0,33 п/а Вязанка</t>
        </is>
      </c>
      <c r="N110" s="676" t="n"/>
      <c r="O110" s="676" t="n"/>
      <c r="P110" s="676" t="n"/>
      <c r="Q110" s="642" t="n"/>
      <c r="R110" s="40" t="inlineStr"/>
      <c r="S110" s="40" t="inlineStr"/>
      <c r="T110" s="41" t="inlineStr">
        <is>
          <t>кг</t>
        </is>
      </c>
      <c r="U110" s="677" t="n">
        <v>0</v>
      </c>
      <c r="V110" s="678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16.5" customHeight="1">
      <c r="A111" s="64" t="inlineStr">
        <is>
          <t>SU001354</t>
        </is>
      </c>
      <c r="B111" s="64" t="inlineStr">
        <is>
          <t>P003030</t>
        </is>
      </c>
      <c r="C111" s="37" t="n">
        <v>4301051313</v>
      </c>
      <c r="D111" s="328" t="n">
        <v>4607091385427</v>
      </c>
      <c r="E111" s="642" t="n"/>
      <c r="F111" s="674" t="n">
        <v>0.5</v>
      </c>
      <c r="G111" s="38" t="n">
        <v>6</v>
      </c>
      <c r="H111" s="674" t="n">
        <v>3</v>
      </c>
      <c r="I111" s="674" t="n">
        <v>3.272</v>
      </c>
      <c r="J111" s="38" t="n">
        <v>156</v>
      </c>
      <c r="K111" s="39" t="inlineStr">
        <is>
          <t>СК2</t>
        </is>
      </c>
      <c r="L111" s="38" t="n">
        <v>40</v>
      </c>
      <c r="M111" s="737">
        <f>HYPERLINK("https://abi.ru/products/Охлажденные/Вязанка/Вязанка/Сосиски/P003030/","Сосиски Рубленые Вязанка Фикс.вес 0,5 п/а мгс Вязанка")</f>
        <v/>
      </c>
      <c r="N111" s="676" t="n"/>
      <c r="O111" s="676" t="n"/>
      <c r="P111" s="676" t="n"/>
      <c r="Q111" s="642" t="n"/>
      <c r="R111" s="40" t="inlineStr"/>
      <c r="S111" s="40" t="inlineStr"/>
      <c r="T111" s="41" t="inlineStr">
        <is>
          <t>кг</t>
        </is>
      </c>
      <c r="U111" s="677" t="n">
        <v>0</v>
      </c>
      <c r="V111" s="678">
        <f>IFERROR(IF(U111="",0,CEILING((U111/$H111),1)*$H111),"")</f>
        <v/>
      </c>
      <c r="W111" s="42">
        <f>IFERROR(IF(V111=0,"",ROUNDUP(V111/H111,0)*0.00753),"")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SU002996</t>
        </is>
      </c>
      <c r="B112" s="64" t="inlineStr">
        <is>
          <t>P003464</t>
        </is>
      </c>
      <c r="C112" s="37" t="n">
        <v>4301051480</v>
      </c>
      <c r="D112" s="328" t="n">
        <v>4680115882645</v>
      </c>
      <c r="E112" s="642" t="n"/>
      <c r="F112" s="674" t="n">
        <v>0.3</v>
      </c>
      <c r="G112" s="38" t="n">
        <v>6</v>
      </c>
      <c r="H112" s="674" t="n">
        <v>1.8</v>
      </c>
      <c r="I112" s="674" t="n">
        <v>2.66</v>
      </c>
      <c r="J112" s="38" t="n">
        <v>156</v>
      </c>
      <c r="K112" s="39" t="inlineStr">
        <is>
          <t>СК2</t>
        </is>
      </c>
      <c r="L112" s="38" t="n">
        <v>40</v>
      </c>
      <c r="M112" s="738" t="inlineStr">
        <is>
          <t>Сосиски «Сливушки с сыром» ф/в 0,3 п/а ТМ «Вязанка»</t>
        </is>
      </c>
      <c r="N112" s="676" t="n"/>
      <c r="O112" s="676" t="n"/>
      <c r="P112" s="676" t="n"/>
      <c r="Q112" s="642" t="n"/>
      <c r="R112" s="40" t="inlineStr"/>
      <c r="S112" s="40" t="inlineStr"/>
      <c r="T112" s="41" t="inlineStr">
        <is>
          <t>кг</t>
        </is>
      </c>
      <c r="U112" s="677" t="n">
        <v>0</v>
      </c>
      <c r="V112" s="678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>
      <c r="A113" s="322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679" t="n"/>
      <c r="M113" s="680" t="inlineStr">
        <is>
          <t>Итого</t>
        </is>
      </c>
      <c r="N113" s="650" t="n"/>
      <c r="O113" s="650" t="n"/>
      <c r="P113" s="650" t="n"/>
      <c r="Q113" s="650" t="n"/>
      <c r="R113" s="650" t="n"/>
      <c r="S113" s="651" t="n"/>
      <c r="T113" s="43" t="inlineStr">
        <is>
          <t>кор</t>
        </is>
      </c>
      <c r="U113" s="681">
        <f>IFERROR(U103/H103,"0")+IFERROR(U104/H104,"0")+IFERROR(U105/H105,"0")+IFERROR(U106/H106,"0")+IFERROR(U107/H107,"0")+IFERROR(U108/H108,"0")+IFERROR(U109/H109,"0")+IFERROR(U110/H110,"0")+IFERROR(U111/H111,"0")+IFERROR(U112/H112,"0")</f>
        <v/>
      </c>
      <c r="V113" s="681">
        <f>IFERROR(V103/H103,"0")+IFERROR(V104/H104,"0")+IFERROR(V105/H105,"0")+IFERROR(V106/H106,"0")+IFERROR(V107/H107,"0")+IFERROR(V108/H108,"0")+IFERROR(V109/H109,"0")+IFERROR(V110/H110,"0")+IFERROR(V111/H111,"0")+IFERROR(V112/H112,"0")</f>
        <v/>
      </c>
      <c r="W113" s="681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/>
      </c>
      <c r="X113" s="682" t="n"/>
      <c r="Y113" s="682" t="n"/>
    </row>
    <row r="114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9" t="n"/>
      <c r="M114" s="680" t="inlineStr">
        <is>
          <t>Итого</t>
        </is>
      </c>
      <c r="N114" s="650" t="n"/>
      <c r="O114" s="650" t="n"/>
      <c r="P114" s="650" t="n"/>
      <c r="Q114" s="650" t="n"/>
      <c r="R114" s="650" t="n"/>
      <c r="S114" s="651" t="n"/>
      <c r="T114" s="43" t="inlineStr">
        <is>
          <t>кг</t>
        </is>
      </c>
      <c r="U114" s="681">
        <f>IFERROR(SUM(U103:U112),"0")</f>
        <v/>
      </c>
      <c r="V114" s="681">
        <f>IFERROR(SUM(V103:V112),"0")</f>
        <v/>
      </c>
      <c r="W114" s="43" t="n"/>
      <c r="X114" s="682" t="n"/>
      <c r="Y114" s="682" t="n"/>
    </row>
    <row r="115" ht="14.25" customHeight="1">
      <c r="A115" s="327" t="inlineStr">
        <is>
          <t>Сардельки</t>
        </is>
      </c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327" t="n"/>
      <c r="Y115" s="327" t="n"/>
    </row>
    <row r="116" ht="27" customHeight="1">
      <c r="A116" s="64" t="inlineStr">
        <is>
          <t>SU002071</t>
        </is>
      </c>
      <c r="B116" s="64" t="inlineStr">
        <is>
          <t>P002233</t>
        </is>
      </c>
      <c r="C116" s="37" t="n">
        <v>4301060296</v>
      </c>
      <c r="D116" s="328" t="n">
        <v>4607091383065</v>
      </c>
      <c r="E116" s="642" t="n"/>
      <c r="F116" s="674" t="n">
        <v>0.83</v>
      </c>
      <c r="G116" s="38" t="n">
        <v>4</v>
      </c>
      <c r="H116" s="674" t="n">
        <v>3.32</v>
      </c>
      <c r="I116" s="674" t="n">
        <v>3.582</v>
      </c>
      <c r="J116" s="38" t="n">
        <v>120</v>
      </c>
      <c r="K116" s="39" t="inlineStr">
        <is>
          <t>СК2</t>
        </is>
      </c>
      <c r="L116" s="38" t="n">
        <v>30</v>
      </c>
      <c r="M116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6" s="676" t="n"/>
      <c r="O116" s="676" t="n"/>
      <c r="P116" s="676" t="n"/>
      <c r="Q116" s="642" t="n"/>
      <c r="R116" s="40" t="inlineStr"/>
      <c r="S116" s="40" t="inlineStr"/>
      <c r="T116" s="41" t="inlineStr">
        <is>
          <t>кг</t>
        </is>
      </c>
      <c r="U116" s="677" t="n">
        <v>0</v>
      </c>
      <c r="V116" s="678">
        <f>IFERROR(IF(U116="",0,CEILING((U116/$H116),1)*$H116),"")</f>
        <v/>
      </c>
      <c r="W116" s="42">
        <f>IFERROR(IF(V116=0,"",ROUNDUP(V116/H116,0)*0.00937),"")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P003237</t>
        </is>
      </c>
      <c r="C117" s="37" t="n">
        <v>4301060350</v>
      </c>
      <c r="D117" s="328" t="n">
        <v>4680115881532</v>
      </c>
      <c r="E117" s="642" t="n"/>
      <c r="F117" s="674" t="n">
        <v>1.35</v>
      </c>
      <c r="G117" s="38" t="n">
        <v>6</v>
      </c>
      <c r="H117" s="674" t="n">
        <v>8.1</v>
      </c>
      <c r="I117" s="674" t="n">
        <v>8.58</v>
      </c>
      <c r="J117" s="38" t="n">
        <v>56</v>
      </c>
      <c r="K117" s="39" t="inlineStr">
        <is>
          <t>СК3</t>
        </is>
      </c>
      <c r="L117" s="38" t="n">
        <v>30</v>
      </c>
      <c r="M117" s="740">
        <f>HYPERLINK("https://abi.ru/products/Охлажденные/Вязанка/Вязанка/Сардельки/P003237/","Сардельки «Филейские» Весовые NDX мгс ТМ «Вязанка»")</f>
        <v/>
      </c>
      <c r="N117" s="676" t="n"/>
      <c r="O117" s="676" t="n"/>
      <c r="P117" s="676" t="n"/>
      <c r="Q117" s="642" t="n"/>
      <c r="R117" s="40" t="inlineStr"/>
      <c r="S117" s="40" t="inlineStr"/>
      <c r="T117" s="41" t="inlineStr">
        <is>
          <t>кг</t>
        </is>
      </c>
      <c r="U117" s="677" t="n">
        <v>0</v>
      </c>
      <c r="V117" s="678">
        <f>IFERROR(IF(U117="",0,CEILING((U117/$H117),1)*$H117),"")</f>
        <v/>
      </c>
      <c r="W117" s="42">
        <f>IFERROR(IF(V117=0,"",ROUNDUP(V117/H117,0)*0.02175),"")</f>
        <v/>
      </c>
      <c r="X117" s="69" t="inlineStr"/>
      <c r="Y117" s="70" t="inlineStr"/>
      <c r="AC117" s="71" t="n"/>
      <c r="AZ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8" t="n">
        <v>4680115882652</v>
      </c>
      <c r="E118" s="642" t="n"/>
      <c r="F118" s="674" t="n">
        <v>0.33</v>
      </c>
      <c r="G118" s="38" t="n">
        <v>6</v>
      </c>
      <c r="H118" s="674" t="n">
        <v>1.98</v>
      </c>
      <c r="I118" s="674" t="n">
        <v>2.84</v>
      </c>
      <c r="J118" s="38" t="n">
        <v>156</v>
      </c>
      <c r="K118" s="39" t="inlineStr">
        <is>
          <t>СК2</t>
        </is>
      </c>
      <c r="L118" s="38" t="n">
        <v>40</v>
      </c>
      <c r="M118" s="741" t="inlineStr">
        <is>
          <t>Сардельки «Сливушки с сыром #минидельки» ф/в 0,33 айпил ТМ «Вязанка»</t>
        </is>
      </c>
      <c r="N118" s="676" t="n"/>
      <c r="O118" s="676" t="n"/>
      <c r="P118" s="676" t="n"/>
      <c r="Q118" s="642" t="n"/>
      <c r="R118" s="40" t="inlineStr"/>
      <c r="S118" s="40" t="inlineStr"/>
      <c r="T118" s="41" t="inlineStr">
        <is>
          <t>кг</t>
        </is>
      </c>
      <c r="U118" s="677" t="n">
        <v>0</v>
      </c>
      <c r="V118" s="678">
        <f>IFERROR(IF(U118="",0,CEILING((U118/$H118),1)*$H118),"")</f>
        <v/>
      </c>
      <c r="W118" s="42">
        <f>IFERROR(IF(V118=0,"",ROUNDUP(V118/H118,0)*0.00753),"")</f>
        <v/>
      </c>
      <c r="X118" s="69" t="inlineStr"/>
      <c r="Y118" s="70" t="inlineStr"/>
      <c r="AC118" s="71" t="n"/>
      <c r="AZ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8" t="n">
        <v>4680115880238</v>
      </c>
      <c r="E119" s="642" t="n"/>
      <c r="F119" s="674" t="n">
        <v>0.33</v>
      </c>
      <c r="G119" s="38" t="n">
        <v>6</v>
      </c>
      <c r="H119" s="674" t="n">
        <v>1.98</v>
      </c>
      <c r="I119" s="674" t="n">
        <v>2.258</v>
      </c>
      <c r="J119" s="38" t="n">
        <v>156</v>
      </c>
      <c r="K119" s="39" t="inlineStr">
        <is>
          <t>СК2</t>
        </is>
      </c>
      <c r="L119" s="38" t="n">
        <v>40</v>
      </c>
      <c r="M119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9" s="676" t="n"/>
      <c r="O119" s="676" t="n"/>
      <c r="P119" s="676" t="n"/>
      <c r="Q119" s="642" t="n"/>
      <c r="R119" s="40" t="inlineStr"/>
      <c r="S119" s="40" t="inlineStr"/>
      <c r="T119" s="41" t="inlineStr">
        <is>
          <t>кг</t>
        </is>
      </c>
      <c r="U119" s="677" t="n">
        <v>0</v>
      </c>
      <c r="V119" s="678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8" t="n">
        <v>4680115881464</v>
      </c>
      <c r="E120" s="642" t="n"/>
      <c r="F120" s="674" t="n">
        <v>0.4</v>
      </c>
      <c r="G120" s="38" t="n">
        <v>6</v>
      </c>
      <c r="H120" s="674" t="n">
        <v>2.4</v>
      </c>
      <c r="I120" s="674" t="n">
        <v>2.6</v>
      </c>
      <c r="J120" s="38" t="n">
        <v>156</v>
      </c>
      <c r="K120" s="39" t="inlineStr">
        <is>
          <t>СК3</t>
        </is>
      </c>
      <c r="L120" s="38" t="n">
        <v>30</v>
      </c>
      <c r="M120" s="743" t="inlineStr">
        <is>
          <t>Сардельки «Филейские» Фикс.вес 0,4 NDX мгс ТМ «Вязанка»</t>
        </is>
      </c>
      <c r="N120" s="676" t="n"/>
      <c r="O120" s="676" t="n"/>
      <c r="P120" s="676" t="n"/>
      <c r="Q120" s="642" t="n"/>
      <c r="R120" s="40" t="inlineStr"/>
      <c r="S120" s="40" t="inlineStr"/>
      <c r="T120" s="41" t="inlineStr">
        <is>
          <t>кг</t>
        </is>
      </c>
      <c r="U120" s="677" t="n">
        <v>0</v>
      </c>
      <c r="V120" s="678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4" t="inlineStr">
        <is>
          <t>КИ</t>
        </is>
      </c>
    </row>
    <row r="121">
      <c r="A121" s="322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679" t="n"/>
      <c r="M121" s="680" t="inlineStr">
        <is>
          <t>Итого</t>
        </is>
      </c>
      <c r="N121" s="650" t="n"/>
      <c r="O121" s="650" t="n"/>
      <c r="P121" s="650" t="n"/>
      <c r="Q121" s="650" t="n"/>
      <c r="R121" s="650" t="n"/>
      <c r="S121" s="651" t="n"/>
      <c r="T121" s="43" t="inlineStr">
        <is>
          <t>кор</t>
        </is>
      </c>
      <c r="U121" s="681">
        <f>IFERROR(U116/H116,"0")+IFERROR(U117/H117,"0")+IFERROR(U118/H118,"0")+IFERROR(U119/H119,"0")+IFERROR(U120/H120,"0")</f>
        <v/>
      </c>
      <c r="V121" s="681">
        <f>IFERROR(V116/H116,"0")+IFERROR(V117/H117,"0")+IFERROR(V118/H118,"0")+IFERROR(V119/H119,"0")+IFERROR(V120/H120,"0")</f>
        <v/>
      </c>
      <c r="W121" s="681">
        <f>IFERROR(IF(W116="",0,W116),"0")+IFERROR(IF(W117="",0,W117),"0")+IFERROR(IF(W118="",0,W118),"0")+IFERROR(IF(W119="",0,W119),"0")+IFERROR(IF(W120="",0,W120),"0")</f>
        <v/>
      </c>
      <c r="X121" s="682" t="n"/>
      <c r="Y121" s="682" t="n"/>
    </row>
    <row r="122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9" t="n"/>
      <c r="M122" s="680" t="inlineStr">
        <is>
          <t>Итого</t>
        </is>
      </c>
      <c r="N122" s="650" t="n"/>
      <c r="O122" s="650" t="n"/>
      <c r="P122" s="650" t="n"/>
      <c r="Q122" s="650" t="n"/>
      <c r="R122" s="650" t="n"/>
      <c r="S122" s="651" t="n"/>
      <c r="T122" s="43" t="inlineStr">
        <is>
          <t>кг</t>
        </is>
      </c>
      <c r="U122" s="681">
        <f>IFERROR(SUM(U116:U120),"0")</f>
        <v/>
      </c>
      <c r="V122" s="681">
        <f>IFERROR(SUM(V116:V120),"0")</f>
        <v/>
      </c>
      <c r="W122" s="43" t="n"/>
      <c r="X122" s="682" t="n"/>
      <c r="Y122" s="682" t="n"/>
    </row>
    <row r="123" ht="16.5" customHeight="1">
      <c r="A123" s="335" t="inlineStr">
        <is>
          <t>Сливушки</t>
        </is>
      </c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335" t="n"/>
      <c r="Y123" s="335" t="n"/>
    </row>
    <row r="124" ht="14.25" customHeight="1">
      <c r="A124" s="327" t="inlineStr">
        <is>
          <t>Сосиски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327" t="n"/>
      <c r="Y124" s="327" t="n"/>
    </row>
    <row r="125" ht="27" customHeight="1">
      <c r="A125" s="64" t="inlineStr">
        <is>
          <t>SU001721</t>
        </is>
      </c>
      <c r="B125" s="64" t="inlineStr">
        <is>
          <t>P003161</t>
        </is>
      </c>
      <c r="C125" s="37" t="n">
        <v>4301051360</v>
      </c>
      <c r="D125" s="328" t="n">
        <v>4607091385168</v>
      </c>
      <c r="E125" s="642" t="n"/>
      <c r="F125" s="674" t="n">
        <v>1.35</v>
      </c>
      <c r="G125" s="38" t="n">
        <v>6</v>
      </c>
      <c r="H125" s="674" t="n">
        <v>8.1</v>
      </c>
      <c r="I125" s="674" t="n">
        <v>8.657999999999999</v>
      </c>
      <c r="J125" s="38" t="n">
        <v>56</v>
      </c>
      <c r="K125" s="39" t="inlineStr">
        <is>
          <t>СК3</t>
        </is>
      </c>
      <c r="L125" s="38" t="n">
        <v>45</v>
      </c>
      <c r="M125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5" s="676" t="n"/>
      <c r="O125" s="676" t="n"/>
      <c r="P125" s="676" t="n"/>
      <c r="Q125" s="642" t="n"/>
      <c r="R125" s="40" t="inlineStr"/>
      <c r="S125" s="40" t="inlineStr"/>
      <c r="T125" s="41" t="inlineStr">
        <is>
          <t>кг</t>
        </is>
      </c>
      <c r="U125" s="677" t="n">
        <v>0</v>
      </c>
      <c r="V125" s="678">
        <f>IFERROR(IF(U125="",0,CEILING((U125/$H125),1)*$H125),"")</f>
        <v/>
      </c>
      <c r="W125" s="42">
        <f>IFERROR(IF(V125=0,"",ROUNDUP(V125/H125,0)*0.02175),"")</f>
        <v/>
      </c>
      <c r="X125" s="69" t="inlineStr"/>
      <c r="Y125" s="70" t="inlineStr"/>
      <c r="AC125" s="71" t="n"/>
      <c r="AZ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8" t="n">
        <v>4607091383256</v>
      </c>
      <c r="E126" s="642" t="n"/>
      <c r="F126" s="674" t="n">
        <v>0.33</v>
      </c>
      <c r="G126" s="38" t="n">
        <v>6</v>
      </c>
      <c r="H126" s="674" t="n">
        <v>1.98</v>
      </c>
      <c r="I126" s="674" t="n">
        <v>2.246</v>
      </c>
      <c r="J126" s="38" t="n">
        <v>156</v>
      </c>
      <c r="K126" s="39" t="inlineStr">
        <is>
          <t>СК3</t>
        </is>
      </c>
      <c r="L126" s="38" t="n">
        <v>45</v>
      </c>
      <c r="M126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N126" s="676" t="n"/>
      <c r="O126" s="676" t="n"/>
      <c r="P126" s="676" t="n"/>
      <c r="Q126" s="642" t="n"/>
      <c r="R126" s="40" t="inlineStr"/>
      <c r="S126" s="40" t="inlineStr"/>
      <c r="T126" s="41" t="inlineStr">
        <is>
          <t>кг</t>
        </is>
      </c>
      <c r="U126" s="677" t="n">
        <v>0</v>
      </c>
      <c r="V126" s="678">
        <f>IFERROR(IF(U126="",0,CEILING((U126/$H126),1)*$H126),"")</f>
        <v/>
      </c>
      <c r="W126" s="42">
        <f>IFERROR(IF(V126=0,"",ROUNDUP(V126/H126,0)*0.00753),"")</f>
        <v/>
      </c>
      <c r="X126" s="69" t="inlineStr"/>
      <c r="Y126" s="70" t="inlineStr"/>
      <c r="AC126" s="71" t="n"/>
      <c r="AZ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8" t="n">
        <v>4607091385748</v>
      </c>
      <c r="E127" s="642" t="n"/>
      <c r="F127" s="674" t="n">
        <v>0.45</v>
      </c>
      <c r="G127" s="38" t="n">
        <v>6</v>
      </c>
      <c r="H127" s="674" t="n">
        <v>2.7</v>
      </c>
      <c r="I127" s="674" t="n">
        <v>2.972</v>
      </c>
      <c r="J127" s="38" t="n">
        <v>156</v>
      </c>
      <c r="K127" s="39" t="inlineStr">
        <is>
          <t>СК3</t>
        </is>
      </c>
      <c r="L127" s="38" t="n">
        <v>45</v>
      </c>
      <c r="M127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N127" s="676" t="n"/>
      <c r="O127" s="676" t="n"/>
      <c r="P127" s="676" t="n"/>
      <c r="Q127" s="642" t="n"/>
      <c r="R127" s="40" t="inlineStr"/>
      <c r="S127" s="40" t="inlineStr"/>
      <c r="T127" s="41" t="inlineStr">
        <is>
          <t>кг</t>
        </is>
      </c>
      <c r="U127" s="677" t="n">
        <v>1390.5</v>
      </c>
      <c r="V127" s="678">
        <f>IFERROR(IF(U127="",0,CEILING((U127/$H127),1)*$H127),"")</f>
        <v/>
      </c>
      <c r="W127" s="42">
        <f>IFERROR(IF(V127=0,"",ROUNDUP(V127/H127,0)*0.00753),"")</f>
        <v/>
      </c>
      <c r="X127" s="69" t="inlineStr"/>
      <c r="Y127" s="70" t="inlineStr"/>
      <c r="AC127" s="71" t="n"/>
      <c r="AZ127" s="137" t="inlineStr">
        <is>
          <t>КИ</t>
        </is>
      </c>
    </row>
    <row r="128" ht="16.5" customHeight="1">
      <c r="A128" s="64" t="inlineStr">
        <is>
          <t>SU002438</t>
        </is>
      </c>
      <c r="B128" s="64" t="inlineStr">
        <is>
          <t>P003163</t>
        </is>
      </c>
      <c r="C128" s="37" t="n">
        <v>4301051364</v>
      </c>
      <c r="D128" s="328" t="n">
        <v>4607091384581</v>
      </c>
      <c r="E128" s="642" t="n"/>
      <c r="F128" s="674" t="n">
        <v>0.67</v>
      </c>
      <c r="G128" s="38" t="n">
        <v>4</v>
      </c>
      <c r="H128" s="674" t="n">
        <v>2.68</v>
      </c>
      <c r="I128" s="674" t="n">
        <v>2.942</v>
      </c>
      <c r="J128" s="38" t="n">
        <v>120</v>
      </c>
      <c r="K128" s="39" t="inlineStr">
        <is>
          <t>СК3</t>
        </is>
      </c>
      <c r="L128" s="38" t="n">
        <v>45</v>
      </c>
      <c r="M128" s="747">
        <f>HYPERLINK("https://abi.ru/products/Охлажденные/Вязанка/Сливушки/Сосиски/P003163/","Сосиски Сливочные Сливушки Фикс.вес 0,67 П/а мгс Вязанка")</f>
        <v/>
      </c>
      <c r="N128" s="676" t="n"/>
      <c r="O128" s="676" t="n"/>
      <c r="P128" s="676" t="n"/>
      <c r="Q128" s="642" t="n"/>
      <c r="R128" s="40" t="inlineStr"/>
      <c r="S128" s="40" t="inlineStr"/>
      <c r="T128" s="41" t="inlineStr">
        <is>
          <t>кг</t>
        </is>
      </c>
      <c r="U128" s="677" t="n">
        <v>0</v>
      </c>
      <c r="V128" s="678">
        <f>IFERROR(IF(U128="",0,CEILING((U128/$H128),1)*$H128),"")</f>
        <v/>
      </c>
      <c r="W128" s="42">
        <f>IFERROR(IF(V128=0,"",ROUNDUP(V128/H128,0)*0.00937),"")</f>
        <v/>
      </c>
      <c r="X128" s="69" t="inlineStr"/>
      <c r="Y128" s="70" t="inlineStr"/>
      <c r="AC128" s="71" t="n"/>
      <c r="AZ128" s="138" t="inlineStr">
        <is>
          <t>КИ</t>
        </is>
      </c>
    </row>
    <row r="129">
      <c r="A129" s="322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679" t="n"/>
      <c r="M129" s="680" t="inlineStr">
        <is>
          <t>Итого</t>
        </is>
      </c>
      <c r="N129" s="650" t="n"/>
      <c r="O129" s="650" t="n"/>
      <c r="P129" s="650" t="n"/>
      <c r="Q129" s="650" t="n"/>
      <c r="R129" s="650" t="n"/>
      <c r="S129" s="651" t="n"/>
      <c r="T129" s="43" t="inlineStr">
        <is>
          <t>кор</t>
        </is>
      </c>
      <c r="U129" s="681">
        <f>IFERROR(U125/H125,"0")+IFERROR(U126/H126,"0")+IFERROR(U127/H127,"0")+IFERROR(U128/H128,"0")</f>
        <v/>
      </c>
      <c r="V129" s="681">
        <f>IFERROR(V125/H125,"0")+IFERROR(V126/H126,"0")+IFERROR(V127/H127,"0")+IFERROR(V128/H128,"0")</f>
        <v/>
      </c>
      <c r="W129" s="681">
        <f>IFERROR(IF(W125="",0,W125),"0")+IFERROR(IF(W126="",0,W126),"0")+IFERROR(IF(W127="",0,W127),"0")+IFERROR(IF(W128="",0,W128),"0")</f>
        <v/>
      </c>
      <c r="X129" s="682" t="n"/>
      <c r="Y129" s="682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9" t="n"/>
      <c r="M130" s="680" t="inlineStr">
        <is>
          <t>Итого</t>
        </is>
      </c>
      <c r="N130" s="650" t="n"/>
      <c r="O130" s="650" t="n"/>
      <c r="P130" s="650" t="n"/>
      <c r="Q130" s="650" t="n"/>
      <c r="R130" s="650" t="n"/>
      <c r="S130" s="651" t="n"/>
      <c r="T130" s="43" t="inlineStr">
        <is>
          <t>кг</t>
        </is>
      </c>
      <c r="U130" s="681">
        <f>IFERROR(SUM(U125:U128),"0")</f>
        <v/>
      </c>
      <c r="V130" s="681">
        <f>IFERROR(SUM(V125:V128),"0")</f>
        <v/>
      </c>
      <c r="W130" s="43" t="n"/>
      <c r="X130" s="682" t="n"/>
      <c r="Y130" s="682" t="n"/>
    </row>
    <row r="131" ht="27.75" customHeight="1">
      <c r="A131" s="341" t="inlineStr">
        <is>
          <t>Стародворье</t>
        </is>
      </c>
      <c r="B131" s="673" t="n"/>
      <c r="C131" s="673" t="n"/>
      <c r="D131" s="673" t="n"/>
      <c r="E131" s="673" t="n"/>
      <c r="F131" s="673" t="n"/>
      <c r="G131" s="673" t="n"/>
      <c r="H131" s="673" t="n"/>
      <c r="I131" s="673" t="n"/>
      <c r="J131" s="673" t="n"/>
      <c r="K131" s="673" t="n"/>
      <c r="L131" s="673" t="n"/>
      <c r="M131" s="673" t="n"/>
      <c r="N131" s="673" t="n"/>
      <c r="O131" s="673" t="n"/>
      <c r="P131" s="673" t="n"/>
      <c r="Q131" s="673" t="n"/>
      <c r="R131" s="673" t="n"/>
      <c r="S131" s="673" t="n"/>
      <c r="T131" s="673" t="n"/>
      <c r="U131" s="673" t="n"/>
      <c r="V131" s="673" t="n"/>
      <c r="W131" s="673" t="n"/>
      <c r="X131" s="55" t="n"/>
      <c r="Y131" s="55" t="n"/>
    </row>
    <row r="132" ht="16.5" customHeight="1">
      <c r="A132" s="335" t="inlineStr">
        <is>
          <t>Золоченная в печи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5" t="n"/>
      <c r="Y132" s="335" t="n"/>
    </row>
    <row r="133" ht="14.25" customHeight="1">
      <c r="A133" s="327" t="inlineStr">
        <is>
          <t>Вареные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7" t="n"/>
      <c r="Y133" s="327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28" t="n">
        <v>4607091383423</v>
      </c>
      <c r="E134" s="642" t="n"/>
      <c r="F134" s="674" t="n">
        <v>1.35</v>
      </c>
      <c r="G134" s="38" t="n">
        <v>8</v>
      </c>
      <c r="H134" s="674" t="n">
        <v>10.8</v>
      </c>
      <c r="I134" s="674" t="n">
        <v>11.376</v>
      </c>
      <c r="J134" s="38" t="n">
        <v>56</v>
      </c>
      <c r="K134" s="39" t="inlineStr">
        <is>
          <t>СК3</t>
        </is>
      </c>
      <c r="L134" s="38" t="n">
        <v>35</v>
      </c>
      <c r="M134" s="74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4" s="676" t="n"/>
      <c r="O134" s="676" t="n"/>
      <c r="P134" s="676" t="n"/>
      <c r="Q134" s="642" t="n"/>
      <c r="R134" s="40" t="inlineStr"/>
      <c r="S134" s="40" t="inlineStr"/>
      <c r="T134" s="41" t="inlineStr">
        <is>
          <t>кг</t>
        </is>
      </c>
      <c r="U134" s="677" t="n">
        <v>0</v>
      </c>
      <c r="V134" s="678">
        <f>IFERROR(IF(U134="",0,CEILING((U134/$H134),1)*$H134),"")</f>
        <v/>
      </c>
      <c r="W134" s="42">
        <f>IFERROR(IF(V134=0,"",ROUNDUP(V134/H134,0)*0.02175),"")</f>
        <v/>
      </c>
      <c r="X134" s="69" t="inlineStr"/>
      <c r="Y134" s="70" t="inlineStr"/>
      <c r="AC134" s="71" t="n"/>
      <c r="AZ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28" t="n">
        <v>4607091381405</v>
      </c>
      <c r="E135" s="642" t="n"/>
      <c r="F135" s="674" t="n">
        <v>1.35</v>
      </c>
      <c r="G135" s="38" t="n">
        <v>8</v>
      </c>
      <c r="H135" s="674" t="n">
        <v>10.8</v>
      </c>
      <c r="I135" s="674" t="n">
        <v>11.376</v>
      </c>
      <c r="J135" s="38" t="n">
        <v>56</v>
      </c>
      <c r="K135" s="39" t="inlineStr">
        <is>
          <t>СК2</t>
        </is>
      </c>
      <c r="L135" s="38" t="n">
        <v>35</v>
      </c>
      <c r="M135" s="74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5" s="676" t="n"/>
      <c r="O135" s="676" t="n"/>
      <c r="P135" s="676" t="n"/>
      <c r="Q135" s="642" t="n"/>
      <c r="R135" s="40" t="inlineStr"/>
      <c r="S135" s="40" t="inlineStr"/>
      <c r="T135" s="41" t="inlineStr">
        <is>
          <t>кг</t>
        </is>
      </c>
      <c r="U135" s="677" t="n">
        <v>0</v>
      </c>
      <c r="V135" s="678">
        <f>IFERROR(IF(U135="",0,CEILING((U135/$H135),1)*$H135),"")</f>
        <v/>
      </c>
      <c r="W135" s="42">
        <f>IFERROR(IF(V135=0,"",ROUNDUP(V135/H135,0)*0.02175),"")</f>
        <v/>
      </c>
      <c r="X135" s="69" t="inlineStr"/>
      <c r="Y135" s="70" t="inlineStr"/>
      <c r="AC135" s="71" t="n"/>
      <c r="AZ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28" t="n">
        <v>4607091386516</v>
      </c>
      <c r="E136" s="642" t="n"/>
      <c r="F136" s="674" t="n">
        <v>1.4</v>
      </c>
      <c r="G136" s="38" t="n">
        <v>8</v>
      </c>
      <c r="H136" s="674" t="n">
        <v>11.2</v>
      </c>
      <c r="I136" s="674" t="n">
        <v>11.776</v>
      </c>
      <c r="J136" s="38" t="n">
        <v>56</v>
      </c>
      <c r="K136" s="39" t="inlineStr">
        <is>
          <t>СК2</t>
        </is>
      </c>
      <c r="L136" s="38" t="n">
        <v>30</v>
      </c>
      <c r="M136" s="75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6" s="676" t="n"/>
      <c r="O136" s="676" t="n"/>
      <c r="P136" s="676" t="n"/>
      <c r="Q136" s="642" t="n"/>
      <c r="R136" s="40" t="inlineStr"/>
      <c r="S136" s="40" t="inlineStr"/>
      <c r="T136" s="41" t="inlineStr">
        <is>
          <t>кг</t>
        </is>
      </c>
      <c r="U136" s="677" t="n">
        <v>0</v>
      </c>
      <c r="V136" s="678">
        <f>IFERROR(IF(U136="",0,CEILING((U136/$H136),1)*$H136),"")</f>
        <v/>
      </c>
      <c r="W136" s="42">
        <f>IFERROR(IF(V136=0,"",ROUNDUP(V136/H136,0)*0.02175),"")</f>
        <v/>
      </c>
      <c r="X136" s="69" t="inlineStr"/>
      <c r="Y136" s="70" t="inlineStr"/>
      <c r="AC136" s="71" t="n"/>
      <c r="AZ136" s="141" t="inlineStr">
        <is>
          <t>КИ</t>
        </is>
      </c>
    </row>
    <row r="137">
      <c r="A137" s="322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679" t="n"/>
      <c r="M137" s="680" t="inlineStr">
        <is>
          <t>Итого</t>
        </is>
      </c>
      <c r="N137" s="650" t="n"/>
      <c r="O137" s="650" t="n"/>
      <c r="P137" s="650" t="n"/>
      <c r="Q137" s="650" t="n"/>
      <c r="R137" s="650" t="n"/>
      <c r="S137" s="651" t="n"/>
      <c r="T137" s="43" t="inlineStr">
        <is>
          <t>кор</t>
        </is>
      </c>
      <c r="U137" s="681">
        <f>IFERROR(U134/H134,"0")+IFERROR(U135/H135,"0")+IFERROR(U136/H136,"0")</f>
        <v/>
      </c>
      <c r="V137" s="681">
        <f>IFERROR(V134/H134,"0")+IFERROR(V135/H135,"0")+IFERROR(V136/H136,"0")</f>
        <v/>
      </c>
      <c r="W137" s="681">
        <f>IFERROR(IF(W134="",0,W134),"0")+IFERROR(IF(W135="",0,W135),"0")+IFERROR(IF(W136="",0,W136),"0")</f>
        <v/>
      </c>
      <c r="X137" s="682" t="n"/>
      <c r="Y137" s="682" t="n"/>
    </row>
    <row r="13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679" t="n"/>
      <c r="M138" s="680" t="inlineStr">
        <is>
          <t>Итого</t>
        </is>
      </c>
      <c r="N138" s="650" t="n"/>
      <c r="O138" s="650" t="n"/>
      <c r="P138" s="650" t="n"/>
      <c r="Q138" s="650" t="n"/>
      <c r="R138" s="650" t="n"/>
      <c r="S138" s="651" t="n"/>
      <c r="T138" s="43" t="inlineStr">
        <is>
          <t>кг</t>
        </is>
      </c>
      <c r="U138" s="681">
        <f>IFERROR(SUM(U134:U136),"0")</f>
        <v/>
      </c>
      <c r="V138" s="681">
        <f>IFERROR(SUM(V134:V136),"0")</f>
        <v/>
      </c>
      <c r="W138" s="43" t="n"/>
      <c r="X138" s="682" t="n"/>
      <c r="Y138" s="682" t="n"/>
    </row>
    <row r="139" ht="16.5" customHeight="1">
      <c r="A139" s="335" t="inlineStr">
        <is>
          <t>Мясорубская</t>
        </is>
      </c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335" t="n"/>
      <c r="Y139" s="335" t="n"/>
    </row>
    <row r="140" ht="14.25" customHeight="1">
      <c r="A140" s="327" t="inlineStr">
        <is>
          <t>Копченые колбасы</t>
        </is>
      </c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327" t="n"/>
      <c r="Y140" s="327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28" t="n">
        <v>4680115880993</v>
      </c>
      <c r="E141" s="642" t="n"/>
      <c r="F141" s="674" t="n">
        <v>0.7</v>
      </c>
      <c r="G141" s="38" t="n">
        <v>6</v>
      </c>
      <c r="H141" s="674" t="n">
        <v>4.2</v>
      </c>
      <c r="I141" s="674" t="n">
        <v>4.46</v>
      </c>
      <c r="J141" s="38" t="n">
        <v>156</v>
      </c>
      <c r="K141" s="39" t="inlineStr">
        <is>
          <t>СК2</t>
        </is>
      </c>
      <c r="L141" s="38" t="n">
        <v>40</v>
      </c>
      <c r="M141" s="75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41" s="676" t="n"/>
      <c r="O141" s="676" t="n"/>
      <c r="P141" s="676" t="n"/>
      <c r="Q141" s="642" t="n"/>
      <c r="R141" s="40" t="inlineStr"/>
      <c r="S141" s="40" t="inlineStr"/>
      <c r="T141" s="41" t="inlineStr">
        <is>
          <t>кг</t>
        </is>
      </c>
      <c r="U141" s="677" t="n">
        <v>0</v>
      </c>
      <c r="V141" s="678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28" t="n">
        <v>4680115881761</v>
      </c>
      <c r="E142" s="642" t="n"/>
      <c r="F142" s="674" t="n">
        <v>0.7</v>
      </c>
      <c r="G142" s="38" t="n">
        <v>6</v>
      </c>
      <c r="H142" s="674" t="n">
        <v>4.2</v>
      </c>
      <c r="I142" s="674" t="n">
        <v>4.46</v>
      </c>
      <c r="J142" s="38" t="n">
        <v>156</v>
      </c>
      <c r="K142" s="39" t="inlineStr">
        <is>
          <t>СК2</t>
        </is>
      </c>
      <c r="L142" s="38" t="n">
        <v>40</v>
      </c>
      <c r="M142" s="75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42" s="676" t="n"/>
      <c r="O142" s="676" t="n"/>
      <c r="P142" s="676" t="n"/>
      <c r="Q142" s="642" t="n"/>
      <c r="R142" s="40" t="inlineStr"/>
      <c r="S142" s="40" t="inlineStr"/>
      <c r="T142" s="41" t="inlineStr">
        <is>
          <t>кг</t>
        </is>
      </c>
      <c r="U142" s="677" t="n">
        <v>0</v>
      </c>
      <c r="V142" s="678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28" t="n">
        <v>4680115881563</v>
      </c>
      <c r="E143" s="642" t="n"/>
      <c r="F143" s="674" t="n">
        <v>0.7</v>
      </c>
      <c r="G143" s="38" t="n">
        <v>6</v>
      </c>
      <c r="H143" s="674" t="n">
        <v>4.2</v>
      </c>
      <c r="I143" s="674" t="n">
        <v>4.4</v>
      </c>
      <c r="J143" s="38" t="n">
        <v>156</v>
      </c>
      <c r="K143" s="39" t="inlineStr">
        <is>
          <t>СК2</t>
        </is>
      </c>
      <c r="L143" s="38" t="n">
        <v>40</v>
      </c>
      <c r="M143" s="75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3" s="676" t="n"/>
      <c r="O143" s="676" t="n"/>
      <c r="P143" s="676" t="n"/>
      <c r="Q143" s="642" t="n"/>
      <c r="R143" s="40" t="inlineStr"/>
      <c r="S143" s="40" t="inlineStr"/>
      <c r="T143" s="41" t="inlineStr">
        <is>
          <t>кг</t>
        </is>
      </c>
      <c r="U143" s="677" t="n">
        <v>0</v>
      </c>
      <c r="V143" s="678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28" t="n">
        <v>4680115880986</v>
      </c>
      <c r="E144" s="642" t="n"/>
      <c r="F144" s="674" t="n">
        <v>0.35</v>
      </c>
      <c r="G144" s="38" t="n">
        <v>6</v>
      </c>
      <c r="H144" s="674" t="n">
        <v>2.1</v>
      </c>
      <c r="I144" s="674" t="n">
        <v>2.23</v>
      </c>
      <c r="J144" s="38" t="n">
        <v>234</v>
      </c>
      <c r="K144" s="39" t="inlineStr">
        <is>
          <t>СК2</t>
        </is>
      </c>
      <c r="L144" s="38" t="n">
        <v>40</v>
      </c>
      <c r="M144" s="75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4" s="676" t="n"/>
      <c r="O144" s="676" t="n"/>
      <c r="P144" s="676" t="n"/>
      <c r="Q144" s="642" t="n"/>
      <c r="R144" s="40" t="inlineStr"/>
      <c r="S144" s="40" t="inlineStr"/>
      <c r="T144" s="41" t="inlineStr">
        <is>
          <t>кг</t>
        </is>
      </c>
      <c r="U144" s="677" t="n">
        <v>0</v>
      </c>
      <c r="V144" s="678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28" t="n">
        <v>4680115880207</v>
      </c>
      <c r="E145" s="642" t="n"/>
      <c r="F145" s="674" t="n">
        <v>0.4</v>
      </c>
      <c r="G145" s="38" t="n">
        <v>6</v>
      </c>
      <c r="H145" s="674" t="n">
        <v>2.4</v>
      </c>
      <c r="I145" s="674" t="n">
        <v>2.63</v>
      </c>
      <c r="J145" s="38" t="n">
        <v>156</v>
      </c>
      <c r="K145" s="39" t="inlineStr">
        <is>
          <t>СК2</t>
        </is>
      </c>
      <c r="L145" s="38" t="n">
        <v>40</v>
      </c>
      <c r="M145" s="75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5" s="676" t="n"/>
      <c r="O145" s="676" t="n"/>
      <c r="P145" s="676" t="n"/>
      <c r="Q145" s="642" t="n"/>
      <c r="R145" s="40" t="inlineStr"/>
      <c r="S145" s="40" t="inlineStr"/>
      <c r="T145" s="41" t="inlineStr">
        <is>
          <t>кг</t>
        </is>
      </c>
      <c r="U145" s="677" t="n">
        <v>0</v>
      </c>
      <c r="V145" s="678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28" t="n">
        <v>4680115881785</v>
      </c>
      <c r="E146" s="642" t="n"/>
      <c r="F146" s="674" t="n">
        <v>0.35</v>
      </c>
      <c r="G146" s="38" t="n">
        <v>6</v>
      </c>
      <c r="H146" s="674" t="n">
        <v>2.1</v>
      </c>
      <c r="I146" s="674" t="n">
        <v>2.23</v>
      </c>
      <c r="J146" s="38" t="n">
        <v>234</v>
      </c>
      <c r="K146" s="39" t="inlineStr">
        <is>
          <t>СК2</t>
        </is>
      </c>
      <c r="L146" s="38" t="n">
        <v>40</v>
      </c>
      <c r="M146" s="75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6" s="676" t="n"/>
      <c r="O146" s="676" t="n"/>
      <c r="P146" s="676" t="n"/>
      <c r="Q146" s="642" t="n"/>
      <c r="R146" s="40" t="inlineStr"/>
      <c r="S146" s="40" t="inlineStr"/>
      <c r="T146" s="41" t="inlineStr">
        <is>
          <t>кг</t>
        </is>
      </c>
      <c r="U146" s="677" t="n">
        <v>0</v>
      </c>
      <c r="V146" s="678">
        <f>IFERROR(IF(U146="",0,CEILING((U146/$H146),1)*$H146),"")</f>
        <v/>
      </c>
      <c r="W146" s="42">
        <f>IFERROR(IF(V146=0,"",ROUNDUP(V146/H146,0)*0.00502),"")</f>
        <v/>
      </c>
      <c r="X146" s="69" t="inlineStr"/>
      <c r="Y146" s="70" t="inlineStr"/>
      <c r="AC146" s="71" t="n"/>
      <c r="AZ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28" t="n">
        <v>4680115881679</v>
      </c>
      <c r="E147" s="642" t="n"/>
      <c r="F147" s="674" t="n">
        <v>0.35</v>
      </c>
      <c r="G147" s="38" t="n">
        <v>6</v>
      </c>
      <c r="H147" s="674" t="n">
        <v>2.1</v>
      </c>
      <c r="I147" s="674" t="n">
        <v>2.2</v>
      </c>
      <c r="J147" s="38" t="n">
        <v>234</v>
      </c>
      <c r="K147" s="39" t="inlineStr">
        <is>
          <t>СК2</t>
        </is>
      </c>
      <c r="L147" s="38" t="n">
        <v>40</v>
      </c>
      <c r="M147" s="75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7" s="676" t="n"/>
      <c r="O147" s="676" t="n"/>
      <c r="P147" s="676" t="n"/>
      <c r="Q147" s="642" t="n"/>
      <c r="R147" s="40" t="inlineStr"/>
      <c r="S147" s="40" t="inlineStr"/>
      <c r="T147" s="41" t="inlineStr">
        <is>
          <t>кг</t>
        </is>
      </c>
      <c r="U147" s="677" t="n">
        <v>0</v>
      </c>
      <c r="V147" s="678">
        <f>IFERROR(IF(U147="",0,CEILING((U147/$H147),1)*$H147),"")</f>
        <v/>
      </c>
      <c r="W147" s="42">
        <f>IFERROR(IF(V147=0,"",ROUNDUP(V147/H147,0)*0.00502),"")</f>
        <v/>
      </c>
      <c r="X147" s="69" t="inlineStr"/>
      <c r="Y147" s="70" t="inlineStr"/>
      <c r="AC147" s="71" t="n"/>
      <c r="AZ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28" t="n">
        <v>4680115880191</v>
      </c>
      <c r="E148" s="642" t="n"/>
      <c r="F148" s="674" t="n">
        <v>0.4</v>
      </c>
      <c r="G148" s="38" t="n">
        <v>6</v>
      </c>
      <c r="H148" s="674" t="n">
        <v>2.4</v>
      </c>
      <c r="I148" s="674" t="n">
        <v>2.6</v>
      </c>
      <c r="J148" s="38" t="n">
        <v>156</v>
      </c>
      <c r="K148" s="39" t="inlineStr">
        <is>
          <t>СК2</t>
        </is>
      </c>
      <c r="L148" s="38" t="n">
        <v>40</v>
      </c>
      <c r="M148" s="75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8" s="676" t="n"/>
      <c r="O148" s="676" t="n"/>
      <c r="P148" s="676" t="n"/>
      <c r="Q148" s="642" t="n"/>
      <c r="R148" s="40" t="inlineStr"/>
      <c r="S148" s="40" t="inlineStr"/>
      <c r="T148" s="41" t="inlineStr">
        <is>
          <t>кг</t>
        </is>
      </c>
      <c r="U148" s="677" t="n">
        <v>0</v>
      </c>
      <c r="V148" s="678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9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9" t="n"/>
      <c r="M149" s="680" t="inlineStr">
        <is>
          <t>Итого</t>
        </is>
      </c>
      <c r="N149" s="650" t="n"/>
      <c r="O149" s="650" t="n"/>
      <c r="P149" s="650" t="n"/>
      <c r="Q149" s="650" t="n"/>
      <c r="R149" s="650" t="n"/>
      <c r="S149" s="651" t="n"/>
      <c r="T149" s="43" t="inlineStr">
        <is>
          <t>кор</t>
        </is>
      </c>
      <c r="U149" s="681">
        <f>IFERROR(U141/H141,"0")+IFERROR(U142/H142,"0")+IFERROR(U143/H143,"0")+IFERROR(U144/H144,"0")+IFERROR(U145/H145,"0")+IFERROR(U146/H146,"0")+IFERROR(U147/H147,"0")+IFERROR(U148/H148,"0")</f>
        <v/>
      </c>
      <c r="V149" s="681">
        <f>IFERROR(V141/H141,"0")+IFERROR(V142/H142,"0")+IFERROR(V143/H143,"0")+IFERROR(V144/H144,"0")+IFERROR(V145/H145,"0")+IFERROR(V146/H146,"0")+IFERROR(V147/H147,"0")+IFERROR(V148/H148,"0")</f>
        <v/>
      </c>
      <c r="W149" s="68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/>
      </c>
      <c r="X149" s="682" t="n"/>
      <c r="Y149" s="682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9" t="n"/>
      <c r="M150" s="680" t="inlineStr">
        <is>
          <t>Итого</t>
        </is>
      </c>
      <c r="N150" s="650" t="n"/>
      <c r="O150" s="650" t="n"/>
      <c r="P150" s="650" t="n"/>
      <c r="Q150" s="650" t="n"/>
      <c r="R150" s="650" t="n"/>
      <c r="S150" s="651" t="n"/>
      <c r="T150" s="43" t="inlineStr">
        <is>
          <t>кг</t>
        </is>
      </c>
      <c r="U150" s="681">
        <f>IFERROR(SUM(U141:U148),"0")</f>
        <v/>
      </c>
      <c r="V150" s="681">
        <f>IFERROR(SUM(V141:V148),"0")</f>
        <v/>
      </c>
      <c r="W150" s="43" t="n"/>
      <c r="X150" s="682" t="n"/>
      <c r="Y150" s="682" t="n"/>
    </row>
    <row r="151" ht="16.5" customHeight="1">
      <c r="A151" s="335" t="inlineStr">
        <is>
          <t>Сочинка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5" t="n"/>
      <c r="Y151" s="335" t="n"/>
    </row>
    <row r="152" ht="14.25" customHeight="1">
      <c r="A152" s="327" t="inlineStr">
        <is>
          <t>Вареные колбасы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27" t="n"/>
      <c r="Y152" s="327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8" t="n">
        <v>4680115881402</v>
      </c>
      <c r="E153" s="642" t="n"/>
      <c r="F153" s="674" t="n">
        <v>1.35</v>
      </c>
      <c r="G153" s="38" t="n">
        <v>8</v>
      </c>
      <c r="H153" s="674" t="n">
        <v>10.8</v>
      </c>
      <c r="I153" s="674" t="n">
        <v>11.28</v>
      </c>
      <c r="J153" s="38" t="n">
        <v>56</v>
      </c>
      <c r="K153" s="39" t="inlineStr">
        <is>
          <t>СК1</t>
        </is>
      </c>
      <c r="L153" s="38" t="n">
        <v>55</v>
      </c>
      <c r="M153" s="75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3" s="676" t="n"/>
      <c r="O153" s="676" t="n"/>
      <c r="P153" s="676" t="n"/>
      <c r="Q153" s="642" t="n"/>
      <c r="R153" s="40" t="inlineStr"/>
      <c r="S153" s="40" t="inlineStr"/>
      <c r="T153" s="41" t="inlineStr">
        <is>
          <t>кг</t>
        </is>
      </c>
      <c r="U153" s="677" t="n">
        <v>0</v>
      </c>
      <c r="V153" s="678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8" t="n">
        <v>4680115881396</v>
      </c>
      <c r="E154" s="642" t="n"/>
      <c r="F154" s="674" t="n">
        <v>0.45</v>
      </c>
      <c r="G154" s="38" t="n">
        <v>6</v>
      </c>
      <c r="H154" s="674" t="n">
        <v>2.7</v>
      </c>
      <c r="I154" s="674" t="n">
        <v>2.9</v>
      </c>
      <c r="J154" s="38" t="n">
        <v>156</v>
      </c>
      <c r="K154" s="39" t="inlineStr">
        <is>
          <t>СК2</t>
        </is>
      </c>
      <c r="L154" s="38" t="n">
        <v>55</v>
      </c>
      <c r="M154" s="76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4" s="676" t="n"/>
      <c r="O154" s="676" t="n"/>
      <c r="P154" s="676" t="n"/>
      <c r="Q154" s="642" t="n"/>
      <c r="R154" s="40" t="inlineStr"/>
      <c r="S154" s="40" t="inlineStr"/>
      <c r="T154" s="41" t="inlineStr">
        <is>
          <t>кг</t>
        </is>
      </c>
      <c r="U154" s="677" t="n">
        <v>0</v>
      </c>
      <c r="V154" s="678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2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9" t="n"/>
      <c r="M155" s="680" t="inlineStr">
        <is>
          <t>Итого</t>
        </is>
      </c>
      <c r="N155" s="650" t="n"/>
      <c r="O155" s="650" t="n"/>
      <c r="P155" s="650" t="n"/>
      <c r="Q155" s="650" t="n"/>
      <c r="R155" s="650" t="n"/>
      <c r="S155" s="651" t="n"/>
      <c r="T155" s="43" t="inlineStr">
        <is>
          <t>кор</t>
        </is>
      </c>
      <c r="U155" s="681">
        <f>IFERROR(U153/H153,"0")+IFERROR(U154/H154,"0")</f>
        <v/>
      </c>
      <c r="V155" s="681">
        <f>IFERROR(V153/H153,"0")+IFERROR(V154/H154,"0")</f>
        <v/>
      </c>
      <c r="W155" s="681">
        <f>IFERROR(IF(W153="",0,W153),"0")+IFERROR(IF(W154="",0,W154),"0")</f>
        <v/>
      </c>
      <c r="X155" s="682" t="n"/>
      <c r="Y155" s="682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9" t="n"/>
      <c r="M156" s="680" t="inlineStr">
        <is>
          <t>Итого</t>
        </is>
      </c>
      <c r="N156" s="650" t="n"/>
      <c r="O156" s="650" t="n"/>
      <c r="P156" s="650" t="n"/>
      <c r="Q156" s="650" t="n"/>
      <c r="R156" s="650" t="n"/>
      <c r="S156" s="651" t="n"/>
      <c r="T156" s="43" t="inlineStr">
        <is>
          <t>кг</t>
        </is>
      </c>
      <c r="U156" s="681">
        <f>IFERROR(SUM(U153:U154),"0")</f>
        <v/>
      </c>
      <c r="V156" s="681">
        <f>IFERROR(SUM(V153:V154),"0")</f>
        <v/>
      </c>
      <c r="W156" s="43" t="n"/>
      <c r="X156" s="682" t="n"/>
      <c r="Y156" s="682" t="n"/>
    </row>
    <row r="157" ht="14.25" customHeight="1">
      <c r="A157" s="327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27" t="n"/>
      <c r="Y157" s="327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8" t="n">
        <v>4680115882935</v>
      </c>
      <c r="E158" s="642" t="n"/>
      <c r="F158" s="674" t="n">
        <v>1.35</v>
      </c>
      <c r="G158" s="38" t="n">
        <v>8</v>
      </c>
      <c r="H158" s="674" t="n">
        <v>10.8</v>
      </c>
      <c r="I158" s="674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61" t="inlineStr">
        <is>
          <t>Ветчина «Сочинка с сочным окороком» Весовой п/а ТМ «Стародворье»</t>
        </is>
      </c>
      <c r="N158" s="676" t="n"/>
      <c r="O158" s="676" t="n"/>
      <c r="P158" s="676" t="n"/>
      <c r="Q158" s="642" t="n"/>
      <c r="R158" s="40" t="inlineStr"/>
      <c r="S158" s="40" t="inlineStr"/>
      <c r="T158" s="41" t="inlineStr">
        <is>
          <t>кг</t>
        </is>
      </c>
      <c r="U158" s="677" t="n">
        <v>0</v>
      </c>
      <c r="V158" s="678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8" t="n">
        <v>4680115880764</v>
      </c>
      <c r="E159" s="642" t="n"/>
      <c r="F159" s="674" t="n">
        <v>0.35</v>
      </c>
      <c r="G159" s="38" t="n">
        <v>6</v>
      </c>
      <c r="H159" s="674" t="n">
        <v>2.1</v>
      </c>
      <c r="I159" s="674" t="n">
        <v>2.3</v>
      </c>
      <c r="J159" s="38" t="n">
        <v>156</v>
      </c>
      <c r="K159" s="39" t="inlineStr">
        <is>
          <t>СК1</t>
        </is>
      </c>
      <c r="L159" s="38" t="n">
        <v>50</v>
      </c>
      <c r="M159" s="76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9" s="676" t="n"/>
      <c r="O159" s="676" t="n"/>
      <c r="P159" s="676" t="n"/>
      <c r="Q159" s="642" t="n"/>
      <c r="R159" s="40" t="inlineStr"/>
      <c r="S159" s="40" t="inlineStr"/>
      <c r="T159" s="41" t="inlineStr">
        <is>
          <t>кг</t>
        </is>
      </c>
      <c r="U159" s="677" t="n">
        <v>0</v>
      </c>
      <c r="V159" s="678">
        <f>IFERROR(IF(U159="",0,CEILING((U159/$H159),1)*$H159),"")</f>
        <v/>
      </c>
      <c r="W159" s="42">
        <f>IFERROR(IF(V159=0,"",ROUNDUP(V159/H159,0)*0.00753),"")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2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9" t="n"/>
      <c r="M160" s="680" t="inlineStr">
        <is>
          <t>Итого</t>
        </is>
      </c>
      <c r="N160" s="650" t="n"/>
      <c r="O160" s="650" t="n"/>
      <c r="P160" s="650" t="n"/>
      <c r="Q160" s="650" t="n"/>
      <c r="R160" s="650" t="n"/>
      <c r="S160" s="651" t="n"/>
      <c r="T160" s="43" t="inlineStr">
        <is>
          <t>кор</t>
        </is>
      </c>
      <c r="U160" s="681">
        <f>IFERROR(U158/H158,"0")+IFERROR(U159/H159,"0")</f>
        <v/>
      </c>
      <c r="V160" s="681">
        <f>IFERROR(V158/H158,"0")+IFERROR(V159/H159,"0")</f>
        <v/>
      </c>
      <c r="W160" s="681">
        <f>IFERROR(IF(W158="",0,W158),"0")+IFERROR(IF(W159="",0,W159),"0")</f>
        <v/>
      </c>
      <c r="X160" s="682" t="n"/>
      <c r="Y160" s="682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9" t="n"/>
      <c r="M161" s="680" t="inlineStr">
        <is>
          <t>Итого</t>
        </is>
      </c>
      <c r="N161" s="650" t="n"/>
      <c r="O161" s="650" t="n"/>
      <c r="P161" s="650" t="n"/>
      <c r="Q161" s="650" t="n"/>
      <c r="R161" s="650" t="n"/>
      <c r="S161" s="651" t="n"/>
      <c r="T161" s="43" t="inlineStr">
        <is>
          <t>кг</t>
        </is>
      </c>
      <c r="U161" s="681">
        <f>IFERROR(SUM(U158:U159),"0")</f>
        <v/>
      </c>
      <c r="V161" s="681">
        <f>IFERROR(SUM(V158:V159),"0")</f>
        <v/>
      </c>
      <c r="W161" s="43" t="n"/>
      <c r="X161" s="682" t="n"/>
      <c r="Y161" s="682" t="n"/>
    </row>
    <row r="162" ht="14.25" customHeight="1">
      <c r="A162" s="327" t="inlineStr">
        <is>
          <t>Копченые колбасы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27" t="n"/>
      <c r="Y162" s="327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8" t="n">
        <v>4680115882683</v>
      </c>
      <c r="E163" s="642" t="n"/>
      <c r="F163" s="674" t="n">
        <v>0.9</v>
      </c>
      <c r="G163" s="38" t="n">
        <v>6</v>
      </c>
      <c r="H163" s="674" t="n">
        <v>5.4</v>
      </c>
      <c r="I163" s="674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6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3" s="676" t="n"/>
      <c r="O163" s="676" t="n"/>
      <c r="P163" s="676" t="n"/>
      <c r="Q163" s="642" t="n"/>
      <c r="R163" s="40" t="inlineStr"/>
      <c r="S163" s="40" t="inlineStr"/>
      <c r="T163" s="41" t="inlineStr">
        <is>
          <t>кг</t>
        </is>
      </c>
      <c r="U163" s="677" t="n">
        <v>0</v>
      </c>
      <c r="V163" s="678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8" t="n">
        <v>4680115882690</v>
      </c>
      <c r="E164" s="642" t="n"/>
      <c r="F164" s="674" t="n">
        <v>0.9</v>
      </c>
      <c r="G164" s="38" t="n">
        <v>6</v>
      </c>
      <c r="H164" s="674" t="n">
        <v>5.4</v>
      </c>
      <c r="I164" s="674" t="n">
        <v>5.61</v>
      </c>
      <c r="J164" s="38" t="n">
        <v>120</v>
      </c>
      <c r="K164" s="39" t="inlineStr">
        <is>
          <t>СК2</t>
        </is>
      </c>
      <c r="L164" s="38" t="n">
        <v>40</v>
      </c>
      <c r="M164" s="76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4" s="676" t="n"/>
      <c r="O164" s="676" t="n"/>
      <c r="P164" s="676" t="n"/>
      <c r="Q164" s="642" t="n"/>
      <c r="R164" s="40" t="inlineStr"/>
      <c r="S164" s="40" t="inlineStr"/>
      <c r="T164" s="41" t="inlineStr">
        <is>
          <t>кг</t>
        </is>
      </c>
      <c r="U164" s="677" t="n">
        <v>0</v>
      </c>
      <c r="V164" s="678">
        <f>IFERROR(IF(U164="",0,CEILING((U164/$H164),1)*$H164),"")</f>
        <v/>
      </c>
      <c r="W164" s="42">
        <f>IFERROR(IF(V164=0,"",ROUNDUP(V164/H164,0)*0.00937),"")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8" t="n">
        <v>4680115882669</v>
      </c>
      <c r="E165" s="642" t="n"/>
      <c r="F165" s="674" t="n">
        <v>0.9</v>
      </c>
      <c r="G165" s="38" t="n">
        <v>6</v>
      </c>
      <c r="H165" s="674" t="n">
        <v>5.4</v>
      </c>
      <c r="I165" s="674" t="n">
        <v>5.61</v>
      </c>
      <c r="J165" s="38" t="n">
        <v>120</v>
      </c>
      <c r="K165" s="39" t="inlineStr">
        <is>
          <t>СК2</t>
        </is>
      </c>
      <c r="L165" s="38" t="n">
        <v>40</v>
      </c>
      <c r="M165" s="76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5" s="676" t="n"/>
      <c r="O165" s="676" t="n"/>
      <c r="P165" s="676" t="n"/>
      <c r="Q165" s="642" t="n"/>
      <c r="R165" s="40" t="inlineStr"/>
      <c r="S165" s="40" t="inlineStr"/>
      <c r="T165" s="41" t="inlineStr">
        <is>
          <t>кг</t>
        </is>
      </c>
      <c r="U165" s="677" t="n">
        <v>0</v>
      </c>
      <c r="V165" s="678">
        <f>IFERROR(IF(U165="",0,CEILING((U165/$H165),1)*$H165),"")</f>
        <v/>
      </c>
      <c r="W165" s="42">
        <f>IFERROR(IF(V165=0,"",ROUNDUP(V165/H165,0)*0.00937),"")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8" t="n">
        <v>4680115882676</v>
      </c>
      <c r="E166" s="642" t="n"/>
      <c r="F166" s="674" t="n">
        <v>0.9</v>
      </c>
      <c r="G166" s="38" t="n">
        <v>6</v>
      </c>
      <c r="H166" s="674" t="n">
        <v>5.4</v>
      </c>
      <c r="I166" s="67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6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6" s="676" t="n"/>
      <c r="O166" s="676" t="n"/>
      <c r="P166" s="676" t="n"/>
      <c r="Q166" s="642" t="n"/>
      <c r="R166" s="40" t="inlineStr"/>
      <c r="S166" s="40" t="inlineStr"/>
      <c r="T166" s="41" t="inlineStr">
        <is>
          <t>кг</t>
        </is>
      </c>
      <c r="U166" s="677" t="n">
        <v>0</v>
      </c>
      <c r="V166" s="67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71" t="n"/>
      <c r="AZ166" s="157" t="inlineStr">
        <is>
          <t>КИ</t>
        </is>
      </c>
    </row>
    <row r="167">
      <c r="A167" s="322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679" t="n"/>
      <c r="M167" s="680" t="inlineStr">
        <is>
          <t>Итого</t>
        </is>
      </c>
      <c r="N167" s="650" t="n"/>
      <c r="O167" s="650" t="n"/>
      <c r="P167" s="650" t="n"/>
      <c r="Q167" s="650" t="n"/>
      <c r="R167" s="650" t="n"/>
      <c r="S167" s="651" t="n"/>
      <c r="T167" s="43" t="inlineStr">
        <is>
          <t>кор</t>
        </is>
      </c>
      <c r="U167" s="681">
        <f>IFERROR(U163/H163,"0")+IFERROR(U164/H164,"0")+IFERROR(U165/H165,"0")+IFERROR(U166/H166,"0")</f>
        <v/>
      </c>
      <c r="V167" s="681">
        <f>IFERROR(V163/H163,"0")+IFERROR(V164/H164,"0")+IFERROR(V165/H165,"0")+IFERROR(V166/H166,"0")</f>
        <v/>
      </c>
      <c r="W167" s="681">
        <f>IFERROR(IF(W163="",0,W163),"0")+IFERROR(IF(W164="",0,W164),"0")+IFERROR(IF(W165="",0,W165),"0")+IFERROR(IF(W166="",0,W166),"0")</f>
        <v/>
      </c>
      <c r="X167" s="682" t="n"/>
      <c r="Y167" s="682" t="n"/>
    </row>
    <row r="16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679" t="n"/>
      <c r="M168" s="680" t="inlineStr">
        <is>
          <t>Итого</t>
        </is>
      </c>
      <c r="N168" s="650" t="n"/>
      <c r="O168" s="650" t="n"/>
      <c r="P168" s="650" t="n"/>
      <c r="Q168" s="650" t="n"/>
      <c r="R168" s="650" t="n"/>
      <c r="S168" s="651" t="n"/>
      <c r="T168" s="43" t="inlineStr">
        <is>
          <t>кг</t>
        </is>
      </c>
      <c r="U168" s="681">
        <f>IFERROR(SUM(U163:U166),"0")</f>
        <v/>
      </c>
      <c r="V168" s="681">
        <f>IFERROR(SUM(V163:V166),"0")</f>
        <v/>
      </c>
      <c r="W168" s="43" t="n"/>
      <c r="X168" s="682" t="n"/>
      <c r="Y168" s="682" t="n"/>
    </row>
    <row r="169" ht="14.25" customHeight="1">
      <c r="A169" s="327" t="inlineStr">
        <is>
          <t>Сосиски</t>
        </is>
      </c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327" t="n"/>
      <c r="Y169" s="327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8" t="n">
        <v>4680115881556</v>
      </c>
      <c r="E170" s="642" t="n"/>
      <c r="F170" s="674" t="n">
        <v>1</v>
      </c>
      <c r="G170" s="38" t="n">
        <v>4</v>
      </c>
      <c r="H170" s="674" t="n">
        <v>4</v>
      </c>
      <c r="I170" s="674" t="n">
        <v>4.408</v>
      </c>
      <c r="J170" s="38" t="n">
        <v>104</v>
      </c>
      <c r="K170" s="39" t="inlineStr">
        <is>
          <t>СК3</t>
        </is>
      </c>
      <c r="L170" s="38" t="n">
        <v>45</v>
      </c>
      <c r="M170" s="76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70" s="676" t="n"/>
      <c r="O170" s="676" t="n"/>
      <c r="P170" s="676" t="n"/>
      <c r="Q170" s="642" t="n"/>
      <c r="R170" s="40" t="inlineStr"/>
      <c r="S170" s="40" t="inlineStr"/>
      <c r="T170" s="41" t="inlineStr">
        <is>
          <t>кг</t>
        </is>
      </c>
      <c r="U170" s="677" t="n">
        <v>0</v>
      </c>
      <c r="V170" s="678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8" t="n">
        <v>4680115880573</v>
      </c>
      <c r="E171" s="642" t="n"/>
      <c r="F171" s="674" t="n">
        <v>1.45</v>
      </c>
      <c r="G171" s="38" t="n">
        <v>6</v>
      </c>
      <c r="H171" s="674" t="n">
        <v>8.699999999999999</v>
      </c>
      <c r="I171" s="674" t="n">
        <v>9.263999999999999</v>
      </c>
      <c r="J171" s="38" t="n">
        <v>56</v>
      </c>
      <c r="K171" s="39" t="inlineStr">
        <is>
          <t>СК2</t>
        </is>
      </c>
      <c r="L171" s="38" t="n">
        <v>45</v>
      </c>
      <c r="M171" s="768" t="inlineStr">
        <is>
          <t>Сосиски «Сочинки» Весовой п/а ТМ «Стародворье»</t>
        </is>
      </c>
      <c r="N171" s="676" t="n"/>
      <c r="O171" s="676" t="n"/>
      <c r="P171" s="676" t="n"/>
      <c r="Q171" s="642" t="n"/>
      <c r="R171" s="40" t="inlineStr"/>
      <c r="S171" s="40" t="inlineStr"/>
      <c r="T171" s="41" t="inlineStr">
        <is>
          <t>кг</t>
        </is>
      </c>
      <c r="U171" s="677" t="n">
        <v>0</v>
      </c>
      <c r="V171" s="678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8" t="n">
        <v>4680115881594</v>
      </c>
      <c r="E172" s="642" t="n"/>
      <c r="F172" s="674" t="n">
        <v>1.35</v>
      </c>
      <c r="G172" s="38" t="n">
        <v>6</v>
      </c>
      <c r="H172" s="674" t="n">
        <v>8.1</v>
      </c>
      <c r="I172" s="674" t="n">
        <v>8.664</v>
      </c>
      <c r="J172" s="38" t="n">
        <v>56</v>
      </c>
      <c r="K172" s="39" t="inlineStr">
        <is>
          <t>СК3</t>
        </is>
      </c>
      <c r="L172" s="38" t="n">
        <v>40</v>
      </c>
      <c r="M172" s="76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72" s="676" t="n"/>
      <c r="O172" s="676" t="n"/>
      <c r="P172" s="676" t="n"/>
      <c r="Q172" s="642" t="n"/>
      <c r="R172" s="40" t="inlineStr"/>
      <c r="S172" s="40" t="inlineStr"/>
      <c r="T172" s="41" t="inlineStr">
        <is>
          <t>кг</t>
        </is>
      </c>
      <c r="U172" s="677" t="n">
        <v>0</v>
      </c>
      <c r="V172" s="678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P003322</t>
        </is>
      </c>
      <c r="C173" s="37" t="n">
        <v>4301051433</v>
      </c>
      <c r="D173" s="328" t="n">
        <v>4680115881587</v>
      </c>
      <c r="E173" s="642" t="n"/>
      <c r="F173" s="674" t="n">
        <v>1</v>
      </c>
      <c r="G173" s="38" t="n">
        <v>4</v>
      </c>
      <c r="H173" s="674" t="n">
        <v>4</v>
      </c>
      <c r="I173" s="674" t="n">
        <v>4.408</v>
      </c>
      <c r="J173" s="38" t="n">
        <v>104</v>
      </c>
      <c r="K173" s="39" t="inlineStr">
        <is>
          <t>СК2</t>
        </is>
      </c>
      <c r="L173" s="38" t="n">
        <v>35</v>
      </c>
      <c r="M173" s="77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3" s="676" t="n"/>
      <c r="O173" s="676" t="n"/>
      <c r="P173" s="676" t="n"/>
      <c r="Q173" s="642" t="n"/>
      <c r="R173" s="40" t="inlineStr"/>
      <c r="S173" s="40" t="inlineStr"/>
      <c r="T173" s="41" t="inlineStr">
        <is>
          <t>кг</t>
        </is>
      </c>
      <c r="U173" s="677" t="n">
        <v>0</v>
      </c>
      <c r="V173" s="678">
        <f>IFERROR(IF(U173="",0,CEILING((U173/$H173),1)*$H173),"")</f>
        <v/>
      </c>
      <c r="W173" s="42">
        <f>IFERROR(IF(V173=0,"",ROUNDUP(V173/H173,0)*0.01196),"")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8" t="n">
        <v>4680115880962</v>
      </c>
      <c r="E174" s="642" t="n"/>
      <c r="F174" s="674" t="n">
        <v>1.3</v>
      </c>
      <c r="G174" s="38" t="n">
        <v>6</v>
      </c>
      <c r="H174" s="674" t="n">
        <v>7.8</v>
      </c>
      <c r="I174" s="674" t="n">
        <v>8.364000000000001</v>
      </c>
      <c r="J174" s="38" t="n">
        <v>56</v>
      </c>
      <c r="K174" s="39" t="inlineStr">
        <is>
          <t>СК2</t>
        </is>
      </c>
      <c r="L174" s="38" t="n">
        <v>40</v>
      </c>
      <c r="M174" s="77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4" s="676" t="n"/>
      <c r="O174" s="676" t="n"/>
      <c r="P174" s="676" t="n"/>
      <c r="Q174" s="642" t="n"/>
      <c r="R174" s="40" t="inlineStr"/>
      <c r="S174" s="40" t="inlineStr"/>
      <c r="T174" s="41" t="inlineStr">
        <is>
          <t>кг</t>
        </is>
      </c>
      <c r="U174" s="677" t="n">
        <v>0</v>
      </c>
      <c r="V174" s="678">
        <f>IFERROR(IF(U174="",0,CEILING((U174/$H174),1)*$H174),"")</f>
        <v/>
      </c>
      <c r="W174" s="42">
        <f>IFERROR(IF(V174=0,"",ROUNDUP(V174/H174,0)*0.02175),"")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8" t="n">
        <v>4680115881617</v>
      </c>
      <c r="E175" s="642" t="n"/>
      <c r="F175" s="674" t="n">
        <v>1.35</v>
      </c>
      <c r="G175" s="38" t="n">
        <v>6</v>
      </c>
      <c r="H175" s="674" t="n">
        <v>8.1</v>
      </c>
      <c r="I175" s="674" t="n">
        <v>8.646000000000001</v>
      </c>
      <c r="J175" s="38" t="n">
        <v>56</v>
      </c>
      <c r="K175" s="39" t="inlineStr">
        <is>
          <t>СК3</t>
        </is>
      </c>
      <c r="L175" s="38" t="n">
        <v>40</v>
      </c>
      <c r="M175" s="77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5" s="676" t="n"/>
      <c r="O175" s="676" t="n"/>
      <c r="P175" s="676" t="n"/>
      <c r="Q175" s="642" t="n"/>
      <c r="R175" s="40" t="inlineStr"/>
      <c r="S175" s="40" t="inlineStr"/>
      <c r="T175" s="41" t="inlineStr">
        <is>
          <t>кг</t>
        </is>
      </c>
      <c r="U175" s="677" t="n">
        <v>0</v>
      </c>
      <c r="V175" s="678">
        <f>IFERROR(IF(U175="",0,CEILING((U175/$H175),1)*$H175),"")</f>
        <v/>
      </c>
      <c r="W175" s="42">
        <f>IFERROR(IF(V175=0,"",ROUNDUP(V175/H175,0)*0.02175),"")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P003200</t>
        </is>
      </c>
      <c r="C176" s="37" t="n">
        <v>4301051377</v>
      </c>
      <c r="D176" s="328" t="n">
        <v>4680115881228</v>
      </c>
      <c r="E176" s="642" t="n"/>
      <c r="F176" s="674" t="n">
        <v>0.4</v>
      </c>
      <c r="G176" s="38" t="n">
        <v>6</v>
      </c>
      <c r="H176" s="674" t="n">
        <v>2.4</v>
      </c>
      <c r="I176" s="674" t="n">
        <v>2.6</v>
      </c>
      <c r="J176" s="38" t="n">
        <v>156</v>
      </c>
      <c r="K176" s="39" t="inlineStr">
        <is>
          <t>СК2</t>
        </is>
      </c>
      <c r="L176" s="38" t="n">
        <v>35</v>
      </c>
      <c r="M176" s="77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6" s="676" t="n"/>
      <c r="O176" s="676" t="n"/>
      <c r="P176" s="676" t="n"/>
      <c r="Q176" s="642" t="n"/>
      <c r="R176" s="40" t="inlineStr"/>
      <c r="S176" s="40" t="inlineStr"/>
      <c r="T176" s="41" t="inlineStr">
        <is>
          <t>кг</t>
        </is>
      </c>
      <c r="U176" s="677" t="n">
        <v>0</v>
      </c>
      <c r="V176" s="678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P003321</t>
        </is>
      </c>
      <c r="C177" s="37" t="n">
        <v>4301051432</v>
      </c>
      <c r="D177" s="328" t="n">
        <v>4680115881037</v>
      </c>
      <c r="E177" s="642" t="n"/>
      <c r="F177" s="674" t="n">
        <v>0.84</v>
      </c>
      <c r="G177" s="38" t="n">
        <v>4</v>
      </c>
      <c r="H177" s="674" t="n">
        <v>3.36</v>
      </c>
      <c r="I177" s="674" t="n">
        <v>3.618</v>
      </c>
      <c r="J177" s="38" t="n">
        <v>120</v>
      </c>
      <c r="K177" s="39" t="inlineStr">
        <is>
          <t>СК2</t>
        </is>
      </c>
      <c r="L177" s="38" t="n">
        <v>35</v>
      </c>
      <c r="M177" s="77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7" s="676" t="n"/>
      <c r="O177" s="676" t="n"/>
      <c r="P177" s="676" t="n"/>
      <c r="Q177" s="642" t="n"/>
      <c r="R177" s="40" t="inlineStr"/>
      <c r="S177" s="40" t="inlineStr"/>
      <c r="T177" s="41" t="inlineStr">
        <is>
          <t>кг</t>
        </is>
      </c>
      <c r="U177" s="677" t="n">
        <v>0</v>
      </c>
      <c r="V177" s="678">
        <f>IFERROR(IF(U177="",0,CEILING((U177/$H177),1)*$H177),"")</f>
        <v/>
      </c>
      <c r="W177" s="42">
        <f>IFERROR(IF(V177=0,"",ROUNDUP(V177/H177,0)*0.00937),"")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8" t="n">
        <v>4680115881211</v>
      </c>
      <c r="E178" s="642" t="n"/>
      <c r="F178" s="674" t="n">
        <v>0.4</v>
      </c>
      <c r="G178" s="38" t="n">
        <v>6</v>
      </c>
      <c r="H178" s="674" t="n">
        <v>2.4</v>
      </c>
      <c r="I178" s="674" t="n">
        <v>2.6</v>
      </c>
      <c r="J178" s="38" t="n">
        <v>156</v>
      </c>
      <c r="K178" s="39" t="inlineStr">
        <is>
          <t>СК2</t>
        </is>
      </c>
      <c r="L178" s="38" t="n">
        <v>45</v>
      </c>
      <c r="M178" s="77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8" s="676" t="n"/>
      <c r="O178" s="676" t="n"/>
      <c r="P178" s="676" t="n"/>
      <c r="Q178" s="642" t="n"/>
      <c r="R178" s="40" t="inlineStr"/>
      <c r="S178" s="40" t="inlineStr"/>
      <c r="T178" s="41" t="inlineStr">
        <is>
          <t>кг</t>
        </is>
      </c>
      <c r="U178" s="677" t="n">
        <v>0</v>
      </c>
      <c r="V178" s="678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8" t="n">
        <v>4680115881020</v>
      </c>
      <c r="E179" s="642" t="n"/>
      <c r="F179" s="674" t="n">
        <v>0.84</v>
      </c>
      <c r="G179" s="38" t="n">
        <v>4</v>
      </c>
      <c r="H179" s="674" t="n">
        <v>3.36</v>
      </c>
      <c r="I179" s="674" t="n">
        <v>3.57</v>
      </c>
      <c r="J179" s="38" t="n">
        <v>120</v>
      </c>
      <c r="K179" s="39" t="inlineStr">
        <is>
          <t>СК2</t>
        </is>
      </c>
      <c r="L179" s="38" t="n">
        <v>45</v>
      </c>
      <c r="M179" s="77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9" s="676" t="n"/>
      <c r="O179" s="676" t="n"/>
      <c r="P179" s="676" t="n"/>
      <c r="Q179" s="642" t="n"/>
      <c r="R179" s="40" t="inlineStr"/>
      <c r="S179" s="40" t="inlineStr"/>
      <c r="T179" s="41" t="inlineStr">
        <is>
          <t>кг</t>
        </is>
      </c>
      <c r="U179" s="677" t="n">
        <v>0</v>
      </c>
      <c r="V179" s="678">
        <f>IFERROR(IF(U179="",0,CEILING((U179/$H179),1)*$H179),"")</f>
        <v/>
      </c>
      <c r="W179" s="42">
        <f>IFERROR(IF(V179=0,"",ROUNDUP(V179/H179,0)*0.00937),"")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8" t="n">
        <v>4680115882195</v>
      </c>
      <c r="E180" s="642" t="n"/>
      <c r="F180" s="674" t="n">
        <v>0.4</v>
      </c>
      <c r="G180" s="38" t="n">
        <v>6</v>
      </c>
      <c r="H180" s="674" t="n">
        <v>2.4</v>
      </c>
      <c r="I180" s="674" t="n">
        <v>2.69</v>
      </c>
      <c r="J180" s="38" t="n">
        <v>156</v>
      </c>
      <c r="K180" s="39" t="inlineStr">
        <is>
          <t>СК3</t>
        </is>
      </c>
      <c r="L180" s="38" t="n">
        <v>40</v>
      </c>
      <c r="M180" s="77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80" s="676" t="n"/>
      <c r="O180" s="676" t="n"/>
      <c r="P180" s="676" t="n"/>
      <c r="Q180" s="642" t="n"/>
      <c r="R180" s="40" t="inlineStr"/>
      <c r="S180" s="40" t="inlineStr"/>
      <c r="T180" s="41" t="inlineStr">
        <is>
          <t>кг</t>
        </is>
      </c>
      <c r="U180" s="677" t="n">
        <v>0</v>
      </c>
      <c r="V180" s="678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27" customHeight="1">
      <c r="A181" s="64" t="inlineStr">
        <is>
          <t>SU002618</t>
        </is>
      </c>
      <c r="B181" s="64" t="inlineStr">
        <is>
          <t>P003398</t>
        </is>
      </c>
      <c r="C181" s="37" t="n">
        <v>4301051468</v>
      </c>
      <c r="D181" s="328" t="n">
        <v>4680115880092</v>
      </c>
      <c r="E181" s="642" t="n"/>
      <c r="F181" s="674" t="n">
        <v>0.4</v>
      </c>
      <c r="G181" s="38" t="n">
        <v>6</v>
      </c>
      <c r="H181" s="674" t="n">
        <v>2.4</v>
      </c>
      <c r="I181" s="674" t="n">
        <v>2.672</v>
      </c>
      <c r="J181" s="38" t="n">
        <v>156</v>
      </c>
      <c r="K181" s="39" t="inlineStr">
        <is>
          <t>СК3</t>
        </is>
      </c>
      <c r="L181" s="38" t="n">
        <v>45</v>
      </c>
      <c r="M181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81" s="676" t="n"/>
      <c r="O181" s="676" t="n"/>
      <c r="P181" s="676" t="n"/>
      <c r="Q181" s="642" t="n"/>
      <c r="R181" s="40" t="inlineStr"/>
      <c r="S181" s="40" t="inlineStr"/>
      <c r="T181" s="41" t="inlineStr">
        <is>
          <t>кг</t>
        </is>
      </c>
      <c r="U181" s="677" t="n">
        <v>0</v>
      </c>
      <c r="V181" s="678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27" customHeight="1">
      <c r="A182" s="64" t="inlineStr">
        <is>
          <t>SU002621</t>
        </is>
      </c>
      <c r="B182" s="64" t="inlineStr">
        <is>
          <t>P003399</t>
        </is>
      </c>
      <c r="C182" s="37" t="n">
        <v>4301051469</v>
      </c>
      <c r="D182" s="328" t="n">
        <v>4680115880221</v>
      </c>
      <c r="E182" s="642" t="n"/>
      <c r="F182" s="674" t="n">
        <v>0.4</v>
      </c>
      <c r="G182" s="38" t="n">
        <v>6</v>
      </c>
      <c r="H182" s="674" t="n">
        <v>2.4</v>
      </c>
      <c r="I182" s="674" t="n">
        <v>2.672</v>
      </c>
      <c r="J182" s="38" t="n">
        <v>156</v>
      </c>
      <c r="K182" s="39" t="inlineStr">
        <is>
          <t>СК3</t>
        </is>
      </c>
      <c r="L182" s="38" t="n">
        <v>45</v>
      </c>
      <c r="M182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2" s="676" t="n"/>
      <c r="O182" s="676" t="n"/>
      <c r="P182" s="676" t="n"/>
      <c r="Q182" s="642" t="n"/>
      <c r="R182" s="40" t="inlineStr"/>
      <c r="S182" s="40" t="inlineStr"/>
      <c r="T182" s="41" t="inlineStr">
        <is>
          <t>кг</t>
        </is>
      </c>
      <c r="U182" s="677" t="n">
        <v>0</v>
      </c>
      <c r="V182" s="678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16.5" customHeight="1">
      <c r="A183" s="64" t="inlineStr">
        <is>
          <t>SU003073</t>
        </is>
      </c>
      <c r="B183" s="64" t="inlineStr">
        <is>
          <t>P003613</t>
        </is>
      </c>
      <c r="C183" s="37" t="n">
        <v>4301051523</v>
      </c>
      <c r="D183" s="328" t="n">
        <v>4680115882942</v>
      </c>
      <c r="E183" s="642" t="n"/>
      <c r="F183" s="674" t="n">
        <v>0.3</v>
      </c>
      <c r="G183" s="38" t="n">
        <v>6</v>
      </c>
      <c r="H183" s="674" t="n">
        <v>1.8</v>
      </c>
      <c r="I183" s="674" t="n">
        <v>2.072</v>
      </c>
      <c r="J183" s="38" t="n">
        <v>156</v>
      </c>
      <c r="K183" s="39" t="inlineStr">
        <is>
          <t>СК2</t>
        </is>
      </c>
      <c r="L183" s="38" t="n">
        <v>40</v>
      </c>
      <c r="M183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3" s="676" t="n"/>
      <c r="O183" s="676" t="n"/>
      <c r="P183" s="676" t="n"/>
      <c r="Q183" s="642" t="n"/>
      <c r="R183" s="40" t="inlineStr"/>
      <c r="S183" s="40" t="inlineStr"/>
      <c r="T183" s="41" t="inlineStr">
        <is>
          <t>кг</t>
        </is>
      </c>
      <c r="U183" s="677" t="n">
        <v>0</v>
      </c>
      <c r="V183" s="678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16.5" customHeight="1">
      <c r="A184" s="64" t="inlineStr">
        <is>
          <t>SU002686</t>
        </is>
      </c>
      <c r="B184" s="64" t="inlineStr">
        <is>
          <t>P003071</t>
        </is>
      </c>
      <c r="C184" s="37" t="n">
        <v>4301051326</v>
      </c>
      <c r="D184" s="328" t="n">
        <v>4680115880504</v>
      </c>
      <c r="E184" s="642" t="n"/>
      <c r="F184" s="674" t="n">
        <v>0.4</v>
      </c>
      <c r="G184" s="38" t="n">
        <v>6</v>
      </c>
      <c r="H184" s="674" t="n">
        <v>2.4</v>
      </c>
      <c r="I184" s="674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4" s="676" t="n"/>
      <c r="O184" s="676" t="n"/>
      <c r="P184" s="676" t="n"/>
      <c r="Q184" s="642" t="n"/>
      <c r="R184" s="40" t="inlineStr"/>
      <c r="S184" s="40" t="inlineStr"/>
      <c r="T184" s="41" t="inlineStr">
        <is>
          <t>кг</t>
        </is>
      </c>
      <c r="U184" s="677" t="n">
        <v>0</v>
      </c>
      <c r="V184" s="678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SU002844</t>
        </is>
      </c>
      <c r="B185" s="64" t="inlineStr">
        <is>
          <t>P003265</t>
        </is>
      </c>
      <c r="C185" s="37" t="n">
        <v>4301051410</v>
      </c>
      <c r="D185" s="328" t="n">
        <v>4680115882164</v>
      </c>
      <c r="E185" s="642" t="n"/>
      <c r="F185" s="674" t="n">
        <v>0.4</v>
      </c>
      <c r="G185" s="38" t="n">
        <v>6</v>
      </c>
      <c r="H185" s="674" t="n">
        <v>2.4</v>
      </c>
      <c r="I185" s="674" t="n">
        <v>2.678</v>
      </c>
      <c r="J185" s="38" t="n">
        <v>156</v>
      </c>
      <c r="K185" s="39" t="inlineStr">
        <is>
          <t>СК3</t>
        </is>
      </c>
      <c r="L185" s="38" t="n">
        <v>40</v>
      </c>
      <c r="M185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5" s="676" t="n"/>
      <c r="O185" s="676" t="n"/>
      <c r="P185" s="676" t="n"/>
      <c r="Q185" s="642" t="n"/>
      <c r="R185" s="40" t="inlineStr"/>
      <c r="S185" s="40" t="inlineStr"/>
      <c r="T185" s="41" t="inlineStr">
        <is>
          <t>кг</t>
        </is>
      </c>
      <c r="U185" s="677" t="n">
        <v>0</v>
      </c>
      <c r="V185" s="678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9" t="n"/>
      <c r="M186" s="680" t="inlineStr">
        <is>
          <t>Итого</t>
        </is>
      </c>
      <c r="N186" s="650" t="n"/>
      <c r="O186" s="650" t="n"/>
      <c r="P186" s="650" t="n"/>
      <c r="Q186" s="650" t="n"/>
      <c r="R186" s="650" t="n"/>
      <c r="S186" s="651" t="n"/>
      <c r="T186" s="43" t="inlineStr">
        <is>
          <t>кор</t>
        </is>
      </c>
      <c r="U186" s="68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68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68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682" t="n"/>
      <c r="Y186" s="682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9" t="n"/>
      <c r="M187" s="680" t="inlineStr">
        <is>
          <t>Итого</t>
        </is>
      </c>
      <c r="N187" s="650" t="n"/>
      <c r="O187" s="650" t="n"/>
      <c r="P187" s="650" t="n"/>
      <c r="Q187" s="650" t="n"/>
      <c r="R187" s="650" t="n"/>
      <c r="S187" s="651" t="n"/>
      <c r="T187" s="43" t="inlineStr">
        <is>
          <t>кг</t>
        </is>
      </c>
      <c r="U187" s="681">
        <f>IFERROR(SUM(U170:U185),"0")</f>
        <v/>
      </c>
      <c r="V187" s="681">
        <f>IFERROR(SUM(V170:V185),"0")</f>
        <v/>
      </c>
      <c r="W187" s="43" t="n"/>
      <c r="X187" s="682" t="n"/>
      <c r="Y187" s="682" t="n"/>
    </row>
    <row r="188" ht="14.25" customHeight="1">
      <c r="A188" s="327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7" t="n"/>
      <c r="Y188" s="327" t="n"/>
    </row>
    <row r="189" ht="16.5" customHeight="1">
      <c r="A189" s="64" t="inlineStr">
        <is>
          <t>SU002758</t>
        </is>
      </c>
      <c r="B189" s="64" t="inlineStr">
        <is>
          <t>P003129</t>
        </is>
      </c>
      <c r="C189" s="37" t="n">
        <v>4301060338</v>
      </c>
      <c r="D189" s="328" t="n">
        <v>4680115880801</v>
      </c>
      <c r="E189" s="642" t="n"/>
      <c r="F189" s="674" t="n">
        <v>0.4</v>
      </c>
      <c r="G189" s="38" t="n">
        <v>6</v>
      </c>
      <c r="H189" s="674" t="n">
        <v>2.4</v>
      </c>
      <c r="I189" s="674" t="n">
        <v>2.672</v>
      </c>
      <c r="J189" s="38" t="n">
        <v>156</v>
      </c>
      <c r="K189" s="39" t="inlineStr">
        <is>
          <t>СК2</t>
        </is>
      </c>
      <c r="L189" s="38" t="n">
        <v>40</v>
      </c>
      <c r="M189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9" s="676" t="n"/>
      <c r="O189" s="676" t="n"/>
      <c r="P189" s="676" t="n"/>
      <c r="Q189" s="642" t="n"/>
      <c r="R189" s="40" t="inlineStr"/>
      <c r="S189" s="40" t="inlineStr"/>
      <c r="T189" s="41" t="inlineStr">
        <is>
          <t>кг</t>
        </is>
      </c>
      <c r="U189" s="677" t="n">
        <v>0</v>
      </c>
      <c r="V189" s="67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71" t="n"/>
      <c r="AZ189" s="174" t="inlineStr">
        <is>
          <t>КИ</t>
        </is>
      </c>
    </row>
    <row r="190" ht="27" customHeight="1">
      <c r="A190" s="64" t="inlineStr">
        <is>
          <t>SU002759</t>
        </is>
      </c>
      <c r="B190" s="64" t="inlineStr">
        <is>
          <t>P003130</t>
        </is>
      </c>
      <c r="C190" s="37" t="n">
        <v>4301060339</v>
      </c>
      <c r="D190" s="328" t="n">
        <v>4680115880818</v>
      </c>
      <c r="E190" s="642" t="n"/>
      <c r="F190" s="674" t="n">
        <v>0.4</v>
      </c>
      <c r="G190" s="38" t="n">
        <v>6</v>
      </c>
      <c r="H190" s="674" t="n">
        <v>2.4</v>
      </c>
      <c r="I190" s="674" t="n">
        <v>2.672</v>
      </c>
      <c r="J190" s="38" t="n">
        <v>156</v>
      </c>
      <c r="K190" s="39" t="inlineStr">
        <is>
          <t>СК2</t>
        </is>
      </c>
      <c r="L190" s="38" t="n">
        <v>40</v>
      </c>
      <c r="M190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90" s="676" t="n"/>
      <c r="O190" s="676" t="n"/>
      <c r="P190" s="676" t="n"/>
      <c r="Q190" s="642" t="n"/>
      <c r="R190" s="40" t="inlineStr"/>
      <c r="S190" s="40" t="inlineStr"/>
      <c r="T190" s="41" t="inlineStr">
        <is>
          <t>кг</t>
        </is>
      </c>
      <c r="U190" s="677" t="n">
        <v>0</v>
      </c>
      <c r="V190" s="678">
        <f>IFERROR(IF(U190="",0,CEILING((U190/$H190),1)*$H190),"")</f>
        <v/>
      </c>
      <c r="W190" s="42">
        <f>IFERROR(IF(V190=0,"",ROUNDUP(V190/H190,0)*0.00753),"")</f>
        <v/>
      </c>
      <c r="X190" s="69" t="inlineStr"/>
      <c r="Y190" s="70" t="inlineStr"/>
      <c r="AC190" s="71" t="n"/>
      <c r="AZ190" s="175" t="inlineStr">
        <is>
          <t>КИ</t>
        </is>
      </c>
    </row>
    <row r="191">
      <c r="A191" s="322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679" t="n"/>
      <c r="M191" s="680" t="inlineStr">
        <is>
          <t>Итого</t>
        </is>
      </c>
      <c r="N191" s="650" t="n"/>
      <c r="O191" s="650" t="n"/>
      <c r="P191" s="650" t="n"/>
      <c r="Q191" s="650" t="n"/>
      <c r="R191" s="650" t="n"/>
      <c r="S191" s="651" t="n"/>
      <c r="T191" s="43" t="inlineStr">
        <is>
          <t>кор</t>
        </is>
      </c>
      <c r="U191" s="681">
        <f>IFERROR(U189/H189,"0")+IFERROR(U190/H190,"0")</f>
        <v/>
      </c>
      <c r="V191" s="681">
        <f>IFERROR(V189/H189,"0")+IFERROR(V190/H190,"0")</f>
        <v/>
      </c>
      <c r="W191" s="681">
        <f>IFERROR(IF(W189="",0,W189),"0")+IFERROR(IF(W190="",0,W190),"0")</f>
        <v/>
      </c>
      <c r="X191" s="682" t="n"/>
      <c r="Y191" s="682" t="n"/>
    </row>
    <row r="192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679" t="n"/>
      <c r="M192" s="680" t="inlineStr">
        <is>
          <t>Итого</t>
        </is>
      </c>
      <c r="N192" s="650" t="n"/>
      <c r="O192" s="650" t="n"/>
      <c r="P192" s="650" t="n"/>
      <c r="Q192" s="650" t="n"/>
      <c r="R192" s="650" t="n"/>
      <c r="S192" s="651" t="n"/>
      <c r="T192" s="43" t="inlineStr">
        <is>
          <t>кг</t>
        </is>
      </c>
      <c r="U192" s="681">
        <f>IFERROR(SUM(U189:U190),"0")</f>
        <v/>
      </c>
      <c r="V192" s="681">
        <f>IFERROR(SUM(V189:V190),"0")</f>
        <v/>
      </c>
      <c r="W192" s="43" t="n"/>
      <c r="X192" s="682" t="n"/>
      <c r="Y192" s="682" t="n"/>
    </row>
    <row r="193" ht="16.5" customHeight="1">
      <c r="A193" s="335" t="inlineStr">
        <is>
          <t>Бордо</t>
        </is>
      </c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335" t="n"/>
      <c r="Y193" s="335" t="n"/>
    </row>
    <row r="194" ht="14.25" customHeight="1">
      <c r="A194" s="327" t="inlineStr">
        <is>
          <t>Вареные колбасы</t>
        </is>
      </c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327" t="n"/>
      <c r="Y194" s="327" t="n"/>
    </row>
    <row r="195" ht="27" customHeight="1">
      <c r="A195" s="64" t="inlineStr">
        <is>
          <t>SU000057</t>
        </is>
      </c>
      <c r="B195" s="64" t="inlineStr">
        <is>
          <t>P002047</t>
        </is>
      </c>
      <c r="C195" s="37" t="n">
        <v>4301011346</v>
      </c>
      <c r="D195" s="328" t="n">
        <v>4607091387445</v>
      </c>
      <c r="E195" s="642" t="n"/>
      <c r="F195" s="674" t="n">
        <v>0.9</v>
      </c>
      <c r="G195" s="38" t="n">
        <v>10</v>
      </c>
      <c r="H195" s="674" t="n">
        <v>9</v>
      </c>
      <c r="I195" s="674" t="n">
        <v>9.630000000000001</v>
      </c>
      <c r="J195" s="38" t="n">
        <v>56</v>
      </c>
      <c r="K195" s="39" t="inlineStr">
        <is>
          <t>СК1</t>
        </is>
      </c>
      <c r="L195" s="38" t="n">
        <v>31</v>
      </c>
      <c r="M195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5" s="676" t="n"/>
      <c r="O195" s="676" t="n"/>
      <c r="P195" s="676" t="n"/>
      <c r="Q195" s="642" t="n"/>
      <c r="R195" s="40" t="inlineStr"/>
      <c r="S195" s="40" t="inlineStr"/>
      <c r="T195" s="41" t="inlineStr">
        <is>
          <t>кг</t>
        </is>
      </c>
      <c r="U195" s="677" t="n">
        <v>0</v>
      </c>
      <c r="V195" s="678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P002226</t>
        </is>
      </c>
      <c r="C196" s="37" t="n">
        <v>4301011362</v>
      </c>
      <c r="D196" s="328" t="n">
        <v>4607091386004</v>
      </c>
      <c r="E196" s="642" t="n"/>
      <c r="F196" s="674" t="n">
        <v>1.35</v>
      </c>
      <c r="G196" s="38" t="n">
        <v>8</v>
      </c>
      <c r="H196" s="674" t="n">
        <v>10.8</v>
      </c>
      <c r="I196" s="674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6" s="676" t="n"/>
      <c r="O196" s="676" t="n"/>
      <c r="P196" s="676" t="n"/>
      <c r="Q196" s="642" t="n"/>
      <c r="R196" s="40" t="inlineStr"/>
      <c r="S196" s="40" t="inlineStr"/>
      <c r="T196" s="41" t="inlineStr">
        <is>
          <t>кг</t>
        </is>
      </c>
      <c r="U196" s="677" t="n">
        <v>0</v>
      </c>
      <c r="V196" s="678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P001777</t>
        </is>
      </c>
      <c r="C197" s="37" t="n">
        <v>4301011308</v>
      </c>
      <c r="D197" s="328" t="n">
        <v>4607091386004</v>
      </c>
      <c r="E197" s="642" t="n"/>
      <c r="F197" s="674" t="n">
        <v>1.35</v>
      </c>
      <c r="G197" s="38" t="n">
        <v>8</v>
      </c>
      <c r="H197" s="674" t="n">
        <v>10.8</v>
      </c>
      <c r="I197" s="674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7" s="676" t="n"/>
      <c r="O197" s="676" t="n"/>
      <c r="P197" s="676" t="n"/>
      <c r="Q197" s="642" t="n"/>
      <c r="R197" s="40" t="inlineStr"/>
      <c r="S197" s="40" t="inlineStr"/>
      <c r="T197" s="41" t="inlineStr">
        <is>
          <t>кг</t>
        </is>
      </c>
      <c r="U197" s="677" t="n">
        <v>0</v>
      </c>
      <c r="V197" s="678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SU000058</t>
        </is>
      </c>
      <c r="B198" s="64" t="inlineStr">
        <is>
          <t>P002048</t>
        </is>
      </c>
      <c r="C198" s="37" t="n">
        <v>4301011347</v>
      </c>
      <c r="D198" s="328" t="n">
        <v>4607091386073</v>
      </c>
      <c r="E198" s="642" t="n"/>
      <c r="F198" s="674" t="n">
        <v>0.9</v>
      </c>
      <c r="G198" s="38" t="n">
        <v>10</v>
      </c>
      <c r="H198" s="674" t="n">
        <v>9</v>
      </c>
      <c r="I198" s="674" t="n">
        <v>9.630000000000001</v>
      </c>
      <c r="J198" s="38" t="n">
        <v>56</v>
      </c>
      <c r="K198" s="39" t="inlineStr">
        <is>
          <t>СК1</t>
        </is>
      </c>
      <c r="L198" s="38" t="n">
        <v>31</v>
      </c>
      <c r="M198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8" s="676" t="n"/>
      <c r="O198" s="676" t="n"/>
      <c r="P198" s="676" t="n"/>
      <c r="Q198" s="642" t="n"/>
      <c r="R198" s="40" t="inlineStr"/>
      <c r="S198" s="40" t="inlineStr"/>
      <c r="T198" s="41" t="inlineStr">
        <is>
          <t>кг</t>
        </is>
      </c>
      <c r="U198" s="677" t="n">
        <v>0</v>
      </c>
      <c r="V198" s="678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P003075</t>
        </is>
      </c>
      <c r="C199" s="37" t="n">
        <v>4301011395</v>
      </c>
      <c r="D199" s="328" t="n">
        <v>4607091387322</v>
      </c>
      <c r="E199" s="642" t="n"/>
      <c r="F199" s="674" t="n">
        <v>1.35</v>
      </c>
      <c r="G199" s="38" t="n">
        <v>8</v>
      </c>
      <c r="H199" s="674" t="n">
        <v>10.8</v>
      </c>
      <c r="I199" s="674" t="n">
        <v>11.28</v>
      </c>
      <c r="J199" s="38" t="n">
        <v>48</v>
      </c>
      <c r="K199" s="39" t="inlineStr">
        <is>
          <t>ВЗ</t>
        </is>
      </c>
      <c r="L199" s="38" t="n">
        <v>55</v>
      </c>
      <c r="M199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9" s="676" t="n"/>
      <c r="O199" s="676" t="n"/>
      <c r="P199" s="676" t="n"/>
      <c r="Q199" s="642" t="n"/>
      <c r="R199" s="40" t="inlineStr"/>
      <c r="S199" s="40" t="inlineStr"/>
      <c r="T199" s="41" t="inlineStr">
        <is>
          <t>кг</t>
        </is>
      </c>
      <c r="U199" s="677" t="n">
        <v>0</v>
      </c>
      <c r="V199" s="678">
        <f>IFERROR(IF(U199="",0,CEILING((U199/$H199),1)*$H199),"")</f>
        <v/>
      </c>
      <c r="W199" s="42">
        <f>IFERROR(IF(V199=0,"",ROUNDUP(V199/H199,0)*0.02039),"")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P001780</t>
        </is>
      </c>
      <c r="C200" s="37" t="n">
        <v>4301010928</v>
      </c>
      <c r="D200" s="328" t="n">
        <v>4607091387322</v>
      </c>
      <c r="E200" s="642" t="n"/>
      <c r="F200" s="674" t="n">
        <v>1.35</v>
      </c>
      <c r="G200" s="38" t="n">
        <v>8</v>
      </c>
      <c r="H200" s="674" t="n">
        <v>10.8</v>
      </c>
      <c r="I200" s="674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200" s="676" t="n"/>
      <c r="O200" s="676" t="n"/>
      <c r="P200" s="676" t="n"/>
      <c r="Q200" s="642" t="n"/>
      <c r="R200" s="40" t="inlineStr"/>
      <c r="S200" s="40" t="inlineStr"/>
      <c r="T200" s="41" t="inlineStr">
        <is>
          <t>кг</t>
        </is>
      </c>
      <c r="U200" s="677" t="n">
        <v>0</v>
      </c>
      <c r="V200" s="678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SU001778</t>
        </is>
      </c>
      <c r="B201" s="64" t="inlineStr">
        <is>
          <t>P001778</t>
        </is>
      </c>
      <c r="C201" s="37" t="n">
        <v>4301011311</v>
      </c>
      <c r="D201" s="328" t="n">
        <v>4607091387377</v>
      </c>
      <c r="E201" s="642" t="n"/>
      <c r="F201" s="674" t="n">
        <v>1.35</v>
      </c>
      <c r="G201" s="38" t="n">
        <v>8</v>
      </c>
      <c r="H201" s="674" t="n">
        <v>10.8</v>
      </c>
      <c r="I201" s="674" t="n">
        <v>11.28</v>
      </c>
      <c r="J201" s="38" t="n">
        <v>56</v>
      </c>
      <c r="K201" s="39" t="inlineStr">
        <is>
          <t>СК1</t>
        </is>
      </c>
      <c r="L201" s="38" t="n">
        <v>55</v>
      </c>
      <c r="M201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201" s="676" t="n"/>
      <c r="O201" s="676" t="n"/>
      <c r="P201" s="676" t="n"/>
      <c r="Q201" s="642" t="n"/>
      <c r="R201" s="40" t="inlineStr"/>
      <c r="S201" s="40" t="inlineStr"/>
      <c r="T201" s="41" t="inlineStr">
        <is>
          <t>кг</t>
        </is>
      </c>
      <c r="U201" s="677" t="n">
        <v>0</v>
      </c>
      <c r="V201" s="678">
        <f>IFERROR(IF(U201="",0,CEILING((U201/$H201),1)*$H201),"")</f>
        <v/>
      </c>
      <c r="W201" s="42">
        <f>IFERROR(IF(V201=0,"",ROUNDUP(V201/H201,0)*0.02175),"")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SU000043</t>
        </is>
      </c>
      <c r="B202" s="64" t="inlineStr">
        <is>
          <t>P001807</t>
        </is>
      </c>
      <c r="C202" s="37" t="n">
        <v>4301010945</v>
      </c>
      <c r="D202" s="328" t="n">
        <v>4607091387353</v>
      </c>
      <c r="E202" s="642" t="n"/>
      <c r="F202" s="674" t="n">
        <v>1.35</v>
      </c>
      <c r="G202" s="38" t="n">
        <v>8</v>
      </c>
      <c r="H202" s="674" t="n">
        <v>10.8</v>
      </c>
      <c r="I202" s="674" t="n">
        <v>11.28</v>
      </c>
      <c r="J202" s="38" t="n">
        <v>56</v>
      </c>
      <c r="K202" s="39" t="inlineStr">
        <is>
          <t>СК1</t>
        </is>
      </c>
      <c r="L202" s="38" t="n">
        <v>55</v>
      </c>
      <c r="M202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2" s="676" t="n"/>
      <c r="O202" s="676" t="n"/>
      <c r="P202" s="676" t="n"/>
      <c r="Q202" s="642" t="n"/>
      <c r="R202" s="40" t="inlineStr"/>
      <c r="S202" s="40" t="inlineStr"/>
      <c r="T202" s="41" t="inlineStr">
        <is>
          <t>кг</t>
        </is>
      </c>
      <c r="U202" s="677" t="n">
        <v>0</v>
      </c>
      <c r="V202" s="678">
        <f>IFERROR(IF(U202="",0,CEILING((U202/$H202),1)*$H202),"")</f>
        <v/>
      </c>
      <c r="W202" s="42">
        <f>IFERROR(IF(V202=0,"",ROUNDUP(V202/H202,0)*0.02175),"")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SU001800</t>
        </is>
      </c>
      <c r="B203" s="64" t="inlineStr">
        <is>
          <t>P001800</t>
        </is>
      </c>
      <c r="C203" s="37" t="n">
        <v>4301011328</v>
      </c>
      <c r="D203" s="328" t="n">
        <v>4607091386011</v>
      </c>
      <c r="E203" s="642" t="n"/>
      <c r="F203" s="674" t="n">
        <v>0.5</v>
      </c>
      <c r="G203" s="38" t="n">
        <v>10</v>
      </c>
      <c r="H203" s="674" t="n">
        <v>5</v>
      </c>
      <c r="I203" s="674" t="n">
        <v>5.21</v>
      </c>
      <c r="J203" s="38" t="n">
        <v>120</v>
      </c>
      <c r="K203" s="39" t="inlineStr">
        <is>
          <t>СК2</t>
        </is>
      </c>
      <c r="L203" s="38" t="n">
        <v>55</v>
      </c>
      <c r="M203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3" s="676" t="n"/>
      <c r="O203" s="676" t="n"/>
      <c r="P203" s="676" t="n"/>
      <c r="Q203" s="642" t="n"/>
      <c r="R203" s="40" t="inlineStr"/>
      <c r="S203" s="40" t="inlineStr"/>
      <c r="T203" s="41" t="inlineStr">
        <is>
          <t>кг</t>
        </is>
      </c>
      <c r="U203" s="677" t="n">
        <v>0</v>
      </c>
      <c r="V203" s="678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SU001805</t>
        </is>
      </c>
      <c r="B204" s="64" t="inlineStr">
        <is>
          <t>P001805</t>
        </is>
      </c>
      <c r="C204" s="37" t="n">
        <v>4301011329</v>
      </c>
      <c r="D204" s="328" t="n">
        <v>4607091387308</v>
      </c>
      <c r="E204" s="642" t="n"/>
      <c r="F204" s="674" t="n">
        <v>0.5</v>
      </c>
      <c r="G204" s="38" t="n">
        <v>10</v>
      </c>
      <c r="H204" s="674" t="n">
        <v>5</v>
      </c>
      <c r="I204" s="674" t="n">
        <v>5.21</v>
      </c>
      <c r="J204" s="38" t="n">
        <v>120</v>
      </c>
      <c r="K204" s="39" t="inlineStr">
        <is>
          <t>СК2</t>
        </is>
      </c>
      <c r="L204" s="38" t="n">
        <v>55</v>
      </c>
      <c r="M204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4" s="676" t="n"/>
      <c r="O204" s="676" t="n"/>
      <c r="P204" s="676" t="n"/>
      <c r="Q204" s="642" t="n"/>
      <c r="R204" s="40" t="inlineStr"/>
      <c r="S204" s="40" t="inlineStr"/>
      <c r="T204" s="41" t="inlineStr">
        <is>
          <t>кг</t>
        </is>
      </c>
      <c r="U204" s="677" t="n">
        <v>0</v>
      </c>
      <c r="V204" s="678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SU001829</t>
        </is>
      </c>
      <c r="B205" s="64" t="inlineStr">
        <is>
          <t>P001829</t>
        </is>
      </c>
      <c r="C205" s="37" t="n">
        <v>4301011049</v>
      </c>
      <c r="D205" s="328" t="n">
        <v>4607091387339</v>
      </c>
      <c r="E205" s="642" t="n"/>
      <c r="F205" s="674" t="n">
        <v>0.5</v>
      </c>
      <c r="G205" s="38" t="n">
        <v>10</v>
      </c>
      <c r="H205" s="674" t="n">
        <v>5</v>
      </c>
      <c r="I205" s="674" t="n">
        <v>5.24</v>
      </c>
      <c r="J205" s="38" t="n">
        <v>120</v>
      </c>
      <c r="K205" s="39" t="inlineStr">
        <is>
          <t>СК1</t>
        </is>
      </c>
      <c r="L205" s="38" t="n">
        <v>55</v>
      </c>
      <c r="M205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5" s="676" t="n"/>
      <c r="O205" s="676" t="n"/>
      <c r="P205" s="676" t="n"/>
      <c r="Q205" s="642" t="n"/>
      <c r="R205" s="40" t="inlineStr"/>
      <c r="S205" s="40" t="inlineStr"/>
      <c r="T205" s="41" t="inlineStr">
        <is>
          <t>кг</t>
        </is>
      </c>
      <c r="U205" s="677" t="n">
        <v>0</v>
      </c>
      <c r="V205" s="678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SU002787</t>
        </is>
      </c>
      <c r="B206" s="64" t="inlineStr">
        <is>
          <t>P003189</t>
        </is>
      </c>
      <c r="C206" s="37" t="n">
        <v>4301011433</v>
      </c>
      <c r="D206" s="328" t="n">
        <v>4680115882638</v>
      </c>
      <c r="E206" s="642" t="n"/>
      <c r="F206" s="674" t="n">
        <v>0.4</v>
      </c>
      <c r="G206" s="38" t="n">
        <v>10</v>
      </c>
      <c r="H206" s="674" t="n">
        <v>4</v>
      </c>
      <c r="I206" s="674" t="n">
        <v>4.24</v>
      </c>
      <c r="J206" s="38" t="n">
        <v>120</v>
      </c>
      <c r="K206" s="39" t="inlineStr">
        <is>
          <t>СК1</t>
        </is>
      </c>
      <c r="L206" s="38" t="n">
        <v>90</v>
      </c>
      <c r="M206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6" s="676" t="n"/>
      <c r="O206" s="676" t="n"/>
      <c r="P206" s="676" t="n"/>
      <c r="Q206" s="642" t="n"/>
      <c r="R206" s="40" t="inlineStr"/>
      <c r="S206" s="40" t="inlineStr"/>
      <c r="T206" s="41" t="inlineStr">
        <is>
          <t>кг</t>
        </is>
      </c>
      <c r="U206" s="677" t="n">
        <v>0</v>
      </c>
      <c r="V206" s="678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SU002894</t>
        </is>
      </c>
      <c r="B207" s="64" t="inlineStr">
        <is>
          <t>P003314</t>
        </is>
      </c>
      <c r="C207" s="37" t="n">
        <v>4301011573</v>
      </c>
      <c r="D207" s="328" t="n">
        <v>4680115881938</v>
      </c>
      <c r="E207" s="642" t="n"/>
      <c r="F207" s="674" t="n">
        <v>0.4</v>
      </c>
      <c r="G207" s="38" t="n">
        <v>10</v>
      </c>
      <c r="H207" s="674" t="n">
        <v>4</v>
      </c>
      <c r="I207" s="674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7" s="676" t="n"/>
      <c r="O207" s="676" t="n"/>
      <c r="P207" s="676" t="n"/>
      <c r="Q207" s="642" t="n"/>
      <c r="R207" s="40" t="inlineStr"/>
      <c r="S207" s="40" t="inlineStr"/>
      <c r="T207" s="41" t="inlineStr">
        <is>
          <t>кг</t>
        </is>
      </c>
      <c r="U207" s="677" t="n">
        <v>0</v>
      </c>
      <c r="V207" s="678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 ht="27" customHeight="1">
      <c r="A208" s="64" t="inlineStr">
        <is>
          <t>SU000078</t>
        </is>
      </c>
      <c r="B208" s="64" t="inlineStr">
        <is>
          <t>P001806</t>
        </is>
      </c>
      <c r="C208" s="37" t="n">
        <v>4301010944</v>
      </c>
      <c r="D208" s="328" t="n">
        <v>4607091387346</v>
      </c>
      <c r="E208" s="642" t="n"/>
      <c r="F208" s="674" t="n">
        <v>0.4</v>
      </c>
      <c r="G208" s="38" t="n">
        <v>10</v>
      </c>
      <c r="H208" s="674" t="n">
        <v>4</v>
      </c>
      <c r="I208" s="674" t="n">
        <v>4.24</v>
      </c>
      <c r="J208" s="38" t="n">
        <v>120</v>
      </c>
      <c r="K208" s="39" t="inlineStr">
        <is>
          <t>СК1</t>
        </is>
      </c>
      <c r="L208" s="38" t="n">
        <v>55</v>
      </c>
      <c r="M208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8" s="676" t="n"/>
      <c r="O208" s="676" t="n"/>
      <c r="P208" s="676" t="n"/>
      <c r="Q208" s="642" t="n"/>
      <c r="R208" s="40" t="inlineStr"/>
      <c r="S208" s="40" t="inlineStr"/>
      <c r="T208" s="41" t="inlineStr">
        <is>
          <t>кг</t>
        </is>
      </c>
      <c r="U208" s="677" t="n">
        <v>0</v>
      </c>
      <c r="V208" s="678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 ht="27" customHeight="1">
      <c r="A209" s="64" t="inlineStr">
        <is>
          <t>SU002616</t>
        </is>
      </c>
      <c r="B209" s="64" t="inlineStr">
        <is>
          <t>P002950</t>
        </is>
      </c>
      <c r="C209" s="37" t="n">
        <v>4301011353</v>
      </c>
      <c r="D209" s="328" t="n">
        <v>4607091389807</v>
      </c>
      <c r="E209" s="642" t="n"/>
      <c r="F209" s="674" t="n">
        <v>0.4</v>
      </c>
      <c r="G209" s="38" t="n">
        <v>10</v>
      </c>
      <c r="H209" s="674" t="n">
        <v>4</v>
      </c>
      <c r="I209" s="674" t="n">
        <v>4.24</v>
      </c>
      <c r="J209" s="38" t="n">
        <v>120</v>
      </c>
      <c r="K209" s="39" t="inlineStr">
        <is>
          <t>СК1</t>
        </is>
      </c>
      <c r="L209" s="38" t="n">
        <v>55</v>
      </c>
      <c r="M209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9" s="676" t="n"/>
      <c r="O209" s="676" t="n"/>
      <c r="P209" s="676" t="n"/>
      <c r="Q209" s="642" t="n"/>
      <c r="R209" s="40" t="inlineStr"/>
      <c r="S209" s="40" t="inlineStr"/>
      <c r="T209" s="41" t="inlineStr">
        <is>
          <t>кг</t>
        </is>
      </c>
      <c r="U209" s="677" t="n">
        <v>0</v>
      </c>
      <c r="V209" s="678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2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9" t="n"/>
      <c r="M210" s="680" t="inlineStr">
        <is>
          <t>Итого</t>
        </is>
      </c>
      <c r="N210" s="650" t="n"/>
      <c r="O210" s="650" t="n"/>
      <c r="P210" s="650" t="n"/>
      <c r="Q210" s="650" t="n"/>
      <c r="R210" s="650" t="n"/>
      <c r="S210" s="651" t="n"/>
      <c r="T210" s="43" t="inlineStr">
        <is>
          <t>кор</t>
        </is>
      </c>
      <c r="U210" s="681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/>
      </c>
      <c r="V210" s="681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/>
      </c>
      <c r="W210" s="681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/>
      </c>
      <c r="X210" s="682" t="n"/>
      <c r="Y210" s="68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9" t="n"/>
      <c r="M211" s="680" t="inlineStr">
        <is>
          <t>Итого</t>
        </is>
      </c>
      <c r="N211" s="650" t="n"/>
      <c r="O211" s="650" t="n"/>
      <c r="P211" s="650" t="n"/>
      <c r="Q211" s="650" t="n"/>
      <c r="R211" s="650" t="n"/>
      <c r="S211" s="651" t="n"/>
      <c r="T211" s="43" t="inlineStr">
        <is>
          <t>кг</t>
        </is>
      </c>
      <c r="U211" s="681">
        <f>IFERROR(SUM(U195:U209),"0")</f>
        <v/>
      </c>
      <c r="V211" s="681">
        <f>IFERROR(SUM(V195:V209),"0")</f>
        <v/>
      </c>
      <c r="W211" s="43" t="n"/>
      <c r="X211" s="682" t="n"/>
      <c r="Y211" s="682" t="n"/>
    </row>
    <row r="212" ht="14.25" customHeight="1">
      <c r="A212" s="327" t="inlineStr">
        <is>
          <t>Ветчины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27" t="n"/>
      <c r="Y212" s="327" t="n"/>
    </row>
    <row r="213" ht="27" customHeight="1">
      <c r="A213" s="64" t="inlineStr">
        <is>
          <t>SU002788</t>
        </is>
      </c>
      <c r="B213" s="64" t="inlineStr">
        <is>
          <t>P003190</t>
        </is>
      </c>
      <c r="C213" s="37" t="n">
        <v>4301020254</v>
      </c>
      <c r="D213" s="328" t="n">
        <v>4680115881914</v>
      </c>
      <c r="E213" s="642" t="n"/>
      <c r="F213" s="674" t="n">
        <v>0.4</v>
      </c>
      <c r="G213" s="38" t="n">
        <v>10</v>
      </c>
      <c r="H213" s="674" t="n">
        <v>4</v>
      </c>
      <c r="I213" s="674" t="n">
        <v>4.24</v>
      </c>
      <c r="J213" s="38" t="n">
        <v>120</v>
      </c>
      <c r="K213" s="39" t="inlineStr">
        <is>
          <t>СК1</t>
        </is>
      </c>
      <c r="L213" s="38" t="n">
        <v>90</v>
      </c>
      <c r="M213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3" s="676" t="n"/>
      <c r="O213" s="676" t="n"/>
      <c r="P213" s="676" t="n"/>
      <c r="Q213" s="642" t="n"/>
      <c r="R213" s="40" t="inlineStr"/>
      <c r="S213" s="40" t="inlineStr"/>
      <c r="T213" s="41" t="inlineStr">
        <is>
          <t>кг</t>
        </is>
      </c>
      <c r="U213" s="677" t="n">
        <v>0</v>
      </c>
      <c r="V213" s="678">
        <f>IFERROR(IF(U213="",0,CEILING((U213/$H213),1)*$H213),"")</f>
        <v/>
      </c>
      <c r="W213" s="42">
        <f>IFERROR(IF(V213=0,"",ROUNDUP(V213/H213,0)*0.00937),"")</f>
        <v/>
      </c>
      <c r="X213" s="69" t="inlineStr"/>
      <c r="Y213" s="70" t="inlineStr"/>
      <c r="AC213" s="71" t="n"/>
      <c r="AZ213" s="191" t="inlineStr">
        <is>
          <t>КИ</t>
        </is>
      </c>
    </row>
    <row r="214">
      <c r="A214" s="322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679" t="n"/>
      <c r="M214" s="680" t="inlineStr">
        <is>
          <t>Итого</t>
        </is>
      </c>
      <c r="N214" s="650" t="n"/>
      <c r="O214" s="650" t="n"/>
      <c r="P214" s="650" t="n"/>
      <c r="Q214" s="650" t="n"/>
      <c r="R214" s="650" t="n"/>
      <c r="S214" s="651" t="n"/>
      <c r="T214" s="43" t="inlineStr">
        <is>
          <t>кор</t>
        </is>
      </c>
      <c r="U214" s="681">
        <f>IFERROR(U213/H213,"0")</f>
        <v/>
      </c>
      <c r="V214" s="681">
        <f>IFERROR(V213/H213,"0")</f>
        <v/>
      </c>
      <c r="W214" s="681">
        <f>IFERROR(IF(W213="",0,W213),"0")</f>
        <v/>
      </c>
      <c r="X214" s="682" t="n"/>
      <c r="Y214" s="682" t="n"/>
    </row>
    <row r="215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9" t="n"/>
      <c r="M215" s="680" t="inlineStr">
        <is>
          <t>Итого</t>
        </is>
      </c>
      <c r="N215" s="650" t="n"/>
      <c r="O215" s="650" t="n"/>
      <c r="P215" s="650" t="n"/>
      <c r="Q215" s="650" t="n"/>
      <c r="R215" s="650" t="n"/>
      <c r="S215" s="651" t="n"/>
      <c r="T215" s="43" t="inlineStr">
        <is>
          <t>кг</t>
        </is>
      </c>
      <c r="U215" s="681">
        <f>IFERROR(SUM(U213:U213),"0")</f>
        <v/>
      </c>
      <c r="V215" s="681">
        <f>IFERROR(SUM(V213:V213),"0")</f>
        <v/>
      </c>
      <c r="W215" s="43" t="n"/>
      <c r="X215" s="682" t="n"/>
      <c r="Y215" s="682" t="n"/>
    </row>
    <row r="216" ht="14.25" customHeight="1">
      <c r="A216" s="327" t="inlineStr">
        <is>
          <t>Копченые колбасы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327" t="n"/>
      <c r="Y216" s="327" t="n"/>
    </row>
    <row r="217" ht="27" customHeight="1">
      <c r="A217" s="64" t="inlineStr">
        <is>
          <t>SU001820</t>
        </is>
      </c>
      <c r="B217" s="64" t="inlineStr">
        <is>
          <t>P001820</t>
        </is>
      </c>
      <c r="C217" s="37" t="n">
        <v>4301030878</v>
      </c>
      <c r="D217" s="328" t="n">
        <v>4607091387193</v>
      </c>
      <c r="E217" s="642" t="n"/>
      <c r="F217" s="674" t="n">
        <v>0.7</v>
      </c>
      <c r="G217" s="38" t="n">
        <v>6</v>
      </c>
      <c r="H217" s="674" t="n">
        <v>4.2</v>
      </c>
      <c r="I217" s="674" t="n">
        <v>4.46</v>
      </c>
      <c r="J217" s="38" t="n">
        <v>156</v>
      </c>
      <c r="K217" s="39" t="inlineStr">
        <is>
          <t>СК2</t>
        </is>
      </c>
      <c r="L217" s="38" t="n">
        <v>35</v>
      </c>
      <c r="M217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7" s="676" t="n"/>
      <c r="O217" s="676" t="n"/>
      <c r="P217" s="676" t="n"/>
      <c r="Q217" s="642" t="n"/>
      <c r="R217" s="40" t="inlineStr"/>
      <c r="S217" s="40" t="inlineStr"/>
      <c r="T217" s="41" t="inlineStr">
        <is>
          <t>кг</t>
        </is>
      </c>
      <c r="U217" s="677" t="n">
        <v>0</v>
      </c>
      <c r="V217" s="678">
        <f>IFERROR(IF(U217="",0,CEILING((U217/$H217),1)*$H217),"")</f>
        <v/>
      </c>
      <c r="W217" s="42">
        <f>IFERROR(IF(V217=0,"",ROUNDUP(V217/H217,0)*0.00753),"")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SU001822</t>
        </is>
      </c>
      <c r="B218" s="64" t="inlineStr">
        <is>
          <t>P003013</t>
        </is>
      </c>
      <c r="C218" s="37" t="n">
        <v>4301031153</v>
      </c>
      <c r="D218" s="328" t="n">
        <v>4607091387230</v>
      </c>
      <c r="E218" s="642" t="n"/>
      <c r="F218" s="674" t="n">
        <v>0.7</v>
      </c>
      <c r="G218" s="38" t="n">
        <v>6</v>
      </c>
      <c r="H218" s="674" t="n">
        <v>4.2</v>
      </c>
      <c r="I218" s="674" t="n">
        <v>4.46</v>
      </c>
      <c r="J218" s="38" t="n">
        <v>156</v>
      </c>
      <c r="K218" s="39" t="inlineStr">
        <is>
          <t>СК2</t>
        </is>
      </c>
      <c r="L218" s="38" t="n">
        <v>40</v>
      </c>
      <c r="M218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8" s="676" t="n"/>
      <c r="O218" s="676" t="n"/>
      <c r="P218" s="676" t="n"/>
      <c r="Q218" s="642" t="n"/>
      <c r="R218" s="40" t="inlineStr"/>
      <c r="S218" s="40" t="inlineStr"/>
      <c r="T218" s="41" t="inlineStr">
        <is>
          <t>кг</t>
        </is>
      </c>
      <c r="U218" s="677" t="n">
        <v>0</v>
      </c>
      <c r="V218" s="678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SU002579</t>
        </is>
      </c>
      <c r="B219" s="64" t="inlineStr">
        <is>
          <t>P003012</t>
        </is>
      </c>
      <c r="C219" s="37" t="n">
        <v>4301031152</v>
      </c>
      <c r="D219" s="328" t="n">
        <v>4607091387285</v>
      </c>
      <c r="E219" s="642" t="n"/>
      <c r="F219" s="674" t="n">
        <v>0.35</v>
      </c>
      <c r="G219" s="38" t="n">
        <v>6</v>
      </c>
      <c r="H219" s="674" t="n">
        <v>2.1</v>
      </c>
      <c r="I219" s="674" t="n">
        <v>2.23</v>
      </c>
      <c r="J219" s="38" t="n">
        <v>234</v>
      </c>
      <c r="K219" s="39" t="inlineStr">
        <is>
          <t>СК2</t>
        </is>
      </c>
      <c r="L219" s="38" t="n">
        <v>40</v>
      </c>
      <c r="M219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9" s="676" t="n"/>
      <c r="O219" s="676" t="n"/>
      <c r="P219" s="676" t="n"/>
      <c r="Q219" s="642" t="n"/>
      <c r="R219" s="40" t="inlineStr"/>
      <c r="S219" s="40" t="inlineStr"/>
      <c r="T219" s="41" t="inlineStr">
        <is>
          <t>кг</t>
        </is>
      </c>
      <c r="U219" s="677" t="n">
        <v>0</v>
      </c>
      <c r="V219" s="678">
        <f>IFERROR(IF(U219="",0,CEILING((U219/$H219),1)*$H219),"")</f>
        <v/>
      </c>
      <c r="W219" s="42">
        <f>IFERROR(IF(V219=0,"",ROUNDUP(V219/H219,0)*0.00502),"")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SU002617</t>
        </is>
      </c>
      <c r="B220" s="64" t="inlineStr">
        <is>
          <t>P002951</t>
        </is>
      </c>
      <c r="C220" s="37" t="n">
        <v>4301031151</v>
      </c>
      <c r="D220" s="328" t="n">
        <v>4607091389845</v>
      </c>
      <c r="E220" s="642" t="n"/>
      <c r="F220" s="674" t="n">
        <v>0.35</v>
      </c>
      <c r="G220" s="38" t="n">
        <v>6</v>
      </c>
      <c r="H220" s="674" t="n">
        <v>2.1</v>
      </c>
      <c r="I220" s="674" t="n">
        <v>2.2</v>
      </c>
      <c r="J220" s="38" t="n">
        <v>234</v>
      </c>
      <c r="K220" s="39" t="inlineStr">
        <is>
          <t>СК2</t>
        </is>
      </c>
      <c r="L220" s="38" t="n">
        <v>40</v>
      </c>
      <c r="M220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20" s="676" t="n"/>
      <c r="O220" s="676" t="n"/>
      <c r="P220" s="676" t="n"/>
      <c r="Q220" s="642" t="n"/>
      <c r="R220" s="40" t="inlineStr"/>
      <c r="S220" s="40" t="inlineStr"/>
      <c r="T220" s="41" t="inlineStr">
        <is>
          <t>кг</t>
        </is>
      </c>
      <c r="U220" s="677" t="n">
        <v>0</v>
      </c>
      <c r="V220" s="678">
        <f>IFERROR(IF(U220="",0,CEILING((U220/$H220),1)*$H220),"")</f>
        <v/>
      </c>
      <c r="W220" s="42">
        <f>IFERROR(IF(V220=0,"",ROUNDUP(V220/H220,0)*0.00502),"")</f>
        <v/>
      </c>
      <c r="X220" s="69" t="inlineStr"/>
      <c r="Y220" s="70" t="inlineStr"/>
      <c r="AC220" s="71" t="n"/>
      <c r="AZ220" s="195" t="inlineStr">
        <is>
          <t>КИ</t>
        </is>
      </c>
    </row>
    <row r="221">
      <c r="A221" s="322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9" t="n"/>
      <c r="M221" s="680" t="inlineStr">
        <is>
          <t>Итого</t>
        </is>
      </c>
      <c r="N221" s="650" t="n"/>
      <c r="O221" s="650" t="n"/>
      <c r="P221" s="650" t="n"/>
      <c r="Q221" s="650" t="n"/>
      <c r="R221" s="650" t="n"/>
      <c r="S221" s="651" t="n"/>
      <c r="T221" s="43" t="inlineStr">
        <is>
          <t>кор</t>
        </is>
      </c>
      <c r="U221" s="681">
        <f>IFERROR(U217/H217,"0")+IFERROR(U218/H218,"0")+IFERROR(U219/H219,"0")+IFERROR(U220/H220,"0")</f>
        <v/>
      </c>
      <c r="V221" s="681">
        <f>IFERROR(V217/H217,"0")+IFERROR(V218/H218,"0")+IFERROR(V219/H219,"0")+IFERROR(V220/H220,"0")</f>
        <v/>
      </c>
      <c r="W221" s="681">
        <f>IFERROR(IF(W217="",0,W217),"0")+IFERROR(IF(W218="",0,W218),"0")+IFERROR(IF(W219="",0,W219),"0")+IFERROR(IF(W220="",0,W220),"0")</f>
        <v/>
      </c>
      <c r="X221" s="682" t="n"/>
      <c r="Y221" s="682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9" t="n"/>
      <c r="M222" s="680" t="inlineStr">
        <is>
          <t>Итого</t>
        </is>
      </c>
      <c r="N222" s="650" t="n"/>
      <c r="O222" s="650" t="n"/>
      <c r="P222" s="650" t="n"/>
      <c r="Q222" s="650" t="n"/>
      <c r="R222" s="650" t="n"/>
      <c r="S222" s="651" t="n"/>
      <c r="T222" s="43" t="inlineStr">
        <is>
          <t>кг</t>
        </is>
      </c>
      <c r="U222" s="681">
        <f>IFERROR(SUM(U217:U220),"0")</f>
        <v/>
      </c>
      <c r="V222" s="681">
        <f>IFERROR(SUM(V217:V220),"0")</f>
        <v/>
      </c>
      <c r="W222" s="43" t="n"/>
      <c r="X222" s="682" t="n"/>
      <c r="Y222" s="682" t="n"/>
    </row>
    <row r="223" ht="14.25" customHeight="1">
      <c r="A223" s="327" t="inlineStr">
        <is>
          <t>Сосиски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27" t="n"/>
      <c r="Y223" s="327" t="n"/>
    </row>
    <row r="224" ht="16.5" customHeight="1">
      <c r="A224" s="64" t="inlineStr">
        <is>
          <t>SU001340</t>
        </is>
      </c>
      <c r="B224" s="64" t="inlineStr">
        <is>
          <t>P002209</t>
        </is>
      </c>
      <c r="C224" s="37" t="n">
        <v>4301051100</v>
      </c>
      <c r="D224" s="328" t="n">
        <v>4607091387766</v>
      </c>
      <c r="E224" s="642" t="n"/>
      <c r="F224" s="674" t="n">
        <v>1.35</v>
      </c>
      <c r="G224" s="38" t="n">
        <v>6</v>
      </c>
      <c r="H224" s="674" t="n">
        <v>8.1</v>
      </c>
      <c r="I224" s="674" t="n">
        <v>8.657999999999999</v>
      </c>
      <c r="J224" s="38" t="n">
        <v>56</v>
      </c>
      <c r="K224" s="39" t="inlineStr">
        <is>
          <t>СК3</t>
        </is>
      </c>
      <c r="L224" s="38" t="n">
        <v>40</v>
      </c>
      <c r="M224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N224" s="676" t="n"/>
      <c r="O224" s="676" t="n"/>
      <c r="P224" s="676" t="n"/>
      <c r="Q224" s="642" t="n"/>
      <c r="R224" s="40" t="inlineStr"/>
      <c r="S224" s="40" t="inlineStr"/>
      <c r="T224" s="41" t="inlineStr">
        <is>
          <t>кг</t>
        </is>
      </c>
      <c r="U224" s="677" t="n">
        <v>0</v>
      </c>
      <c r="V224" s="678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27" customHeight="1">
      <c r="A225" s="64" t="inlineStr">
        <is>
          <t>SU001727</t>
        </is>
      </c>
      <c r="B225" s="64" t="inlineStr">
        <is>
          <t>P002205</t>
        </is>
      </c>
      <c r="C225" s="37" t="n">
        <v>4301051116</v>
      </c>
      <c r="D225" s="328" t="n">
        <v>4607091387957</v>
      </c>
      <c r="E225" s="642" t="n"/>
      <c r="F225" s="674" t="n">
        <v>1.3</v>
      </c>
      <c r="G225" s="38" t="n">
        <v>6</v>
      </c>
      <c r="H225" s="674" t="n">
        <v>7.8</v>
      </c>
      <c r="I225" s="674" t="n">
        <v>8.364000000000001</v>
      </c>
      <c r="J225" s="38" t="n">
        <v>56</v>
      </c>
      <c r="K225" s="39" t="inlineStr">
        <is>
          <t>СК2</t>
        </is>
      </c>
      <c r="L225" s="38" t="n">
        <v>40</v>
      </c>
      <c r="M225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5" s="676" t="n"/>
      <c r="O225" s="676" t="n"/>
      <c r="P225" s="676" t="n"/>
      <c r="Q225" s="642" t="n"/>
      <c r="R225" s="40" t="inlineStr"/>
      <c r="S225" s="40" t="inlineStr"/>
      <c r="T225" s="41" t="inlineStr">
        <is>
          <t>кг</t>
        </is>
      </c>
      <c r="U225" s="677" t="n">
        <v>0</v>
      </c>
      <c r="V225" s="678">
        <f>IFERROR(IF(U225="",0,CEILING((U225/$H225),1)*$H225),"")</f>
        <v/>
      </c>
      <c r="W225" s="42">
        <f>IFERROR(IF(V225=0,"",ROUNDUP(V225/H225,0)*0.02175),"")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SU001728</t>
        </is>
      </c>
      <c r="B226" s="64" t="inlineStr">
        <is>
          <t>P002207</t>
        </is>
      </c>
      <c r="C226" s="37" t="n">
        <v>4301051115</v>
      </c>
      <c r="D226" s="328" t="n">
        <v>4607091387964</v>
      </c>
      <c r="E226" s="642" t="n"/>
      <c r="F226" s="674" t="n">
        <v>1.35</v>
      </c>
      <c r="G226" s="38" t="n">
        <v>6</v>
      </c>
      <c r="H226" s="674" t="n">
        <v>8.1</v>
      </c>
      <c r="I226" s="674" t="n">
        <v>8.646000000000001</v>
      </c>
      <c r="J226" s="38" t="n">
        <v>56</v>
      </c>
      <c r="K226" s="39" t="inlineStr">
        <is>
          <t>СК2</t>
        </is>
      </c>
      <c r="L226" s="38" t="n">
        <v>40</v>
      </c>
      <c r="M226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6" s="676" t="n"/>
      <c r="O226" s="676" t="n"/>
      <c r="P226" s="676" t="n"/>
      <c r="Q226" s="642" t="n"/>
      <c r="R226" s="40" t="inlineStr"/>
      <c r="S226" s="40" t="inlineStr"/>
      <c r="T226" s="41" t="inlineStr">
        <is>
          <t>кг</t>
        </is>
      </c>
      <c r="U226" s="677" t="n">
        <v>0</v>
      </c>
      <c r="V226" s="678">
        <f>IFERROR(IF(U226="",0,CEILING((U226/$H226),1)*$H226),"")</f>
        <v/>
      </c>
      <c r="W226" s="42">
        <f>IFERROR(IF(V226=0,"",ROUNDUP(V226/H226,0)*0.02175),"")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28" t="n">
        <v>4607091381672</v>
      </c>
      <c r="E227" s="642" t="n"/>
      <c r="F227" s="674" t="n">
        <v>0.6</v>
      </c>
      <c r="G227" s="38" t="n">
        <v>6</v>
      </c>
      <c r="H227" s="674" t="n">
        <v>3.6</v>
      </c>
      <c r="I227" s="674" t="n">
        <v>3.876</v>
      </c>
      <c r="J227" s="38" t="n">
        <v>120</v>
      </c>
      <c r="K227" s="39" t="inlineStr">
        <is>
          <t>СК2</t>
        </is>
      </c>
      <c r="L227" s="38" t="n">
        <v>40</v>
      </c>
      <c r="M227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7" s="676" t="n"/>
      <c r="O227" s="676" t="n"/>
      <c r="P227" s="676" t="n"/>
      <c r="Q227" s="642" t="n"/>
      <c r="R227" s="40" t="inlineStr"/>
      <c r="S227" s="40" t="inlineStr"/>
      <c r="T227" s="41" t="inlineStr">
        <is>
          <t>кг</t>
        </is>
      </c>
      <c r="U227" s="677" t="n">
        <v>0</v>
      </c>
      <c r="V227" s="678">
        <f>IFERROR(IF(U227="",0,CEILING((U227/$H227),1)*$H227),"")</f>
        <v/>
      </c>
      <c r="W227" s="42">
        <f>IFERROR(IF(V227=0,"",ROUNDUP(V227/H227,0)*0.00937),"")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28" t="n">
        <v>4607091387537</v>
      </c>
      <c r="E228" s="642" t="n"/>
      <c r="F228" s="674" t="n">
        <v>0.45</v>
      </c>
      <c r="G228" s="38" t="n">
        <v>6</v>
      </c>
      <c r="H228" s="674" t="n">
        <v>2.7</v>
      </c>
      <c r="I228" s="674" t="n">
        <v>2.99</v>
      </c>
      <c r="J228" s="38" t="n">
        <v>156</v>
      </c>
      <c r="K228" s="39" t="inlineStr">
        <is>
          <t>СК2</t>
        </is>
      </c>
      <c r="L228" s="38" t="n">
        <v>40</v>
      </c>
      <c r="M228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8" s="676" t="n"/>
      <c r="O228" s="676" t="n"/>
      <c r="P228" s="676" t="n"/>
      <c r="Q228" s="642" t="n"/>
      <c r="R228" s="40" t="inlineStr"/>
      <c r="S228" s="40" t="inlineStr"/>
      <c r="T228" s="41" t="inlineStr">
        <is>
          <t>кг</t>
        </is>
      </c>
      <c r="U228" s="677" t="n">
        <v>0</v>
      </c>
      <c r="V228" s="678">
        <f>IFERROR(IF(U228="",0,CEILING((U228/$H228),1)*$H228),"")</f>
        <v/>
      </c>
      <c r="W228" s="42">
        <f>IFERROR(IF(V228=0,"",ROUNDUP(V228/H228,0)*0.00753),"")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28" t="n">
        <v>4607091387513</v>
      </c>
      <c r="E229" s="642" t="n"/>
      <c r="F229" s="674" t="n">
        <v>0.45</v>
      </c>
      <c r="G229" s="38" t="n">
        <v>6</v>
      </c>
      <c r="H229" s="674" t="n">
        <v>2.7</v>
      </c>
      <c r="I229" s="674" t="n">
        <v>2.978</v>
      </c>
      <c r="J229" s="38" t="n">
        <v>156</v>
      </c>
      <c r="K229" s="39" t="inlineStr">
        <is>
          <t>СК2</t>
        </is>
      </c>
      <c r="L229" s="38" t="n">
        <v>40</v>
      </c>
      <c r="M229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9" s="676" t="n"/>
      <c r="O229" s="676" t="n"/>
      <c r="P229" s="676" t="n"/>
      <c r="Q229" s="642" t="n"/>
      <c r="R229" s="40" t="inlineStr"/>
      <c r="S229" s="40" t="inlineStr"/>
      <c r="T229" s="41" t="inlineStr">
        <is>
          <t>кг</t>
        </is>
      </c>
      <c r="U229" s="677" t="n">
        <v>0</v>
      </c>
      <c r="V229" s="678">
        <f>IFERROR(IF(U229="",0,CEILING((U229/$H229),1)*$H229),"")</f>
        <v/>
      </c>
      <c r="W229" s="42">
        <f>IFERROR(IF(V229=0,"",ROUNDUP(V229/H229,0)*0.00753),"")</f>
        <v/>
      </c>
      <c r="X229" s="69" t="inlineStr"/>
      <c r="Y229" s="70" t="inlineStr"/>
      <c r="AC229" s="71" t="n"/>
      <c r="AZ229" s="201" t="inlineStr">
        <is>
          <t>КИ</t>
        </is>
      </c>
    </row>
    <row r="230">
      <c r="A230" s="322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679" t="n"/>
      <c r="M230" s="680" t="inlineStr">
        <is>
          <t>Итого</t>
        </is>
      </c>
      <c r="N230" s="650" t="n"/>
      <c r="O230" s="650" t="n"/>
      <c r="P230" s="650" t="n"/>
      <c r="Q230" s="650" t="n"/>
      <c r="R230" s="650" t="n"/>
      <c r="S230" s="651" t="n"/>
      <c r="T230" s="43" t="inlineStr">
        <is>
          <t>кор</t>
        </is>
      </c>
      <c r="U230" s="681">
        <f>IFERROR(U224/H224,"0")+IFERROR(U225/H225,"0")+IFERROR(U226/H226,"0")+IFERROR(U227/H227,"0")+IFERROR(U228/H228,"0")+IFERROR(U229/H229,"0")</f>
        <v/>
      </c>
      <c r="V230" s="681">
        <f>IFERROR(V224/H224,"0")+IFERROR(V225/H225,"0")+IFERROR(V226/H226,"0")+IFERROR(V227/H227,"0")+IFERROR(V228/H228,"0")+IFERROR(V229/H229,"0")</f>
        <v/>
      </c>
      <c r="W230" s="681">
        <f>IFERROR(IF(W224="",0,W224),"0")+IFERROR(IF(W225="",0,W225),"0")+IFERROR(IF(W226="",0,W226),"0")+IFERROR(IF(W227="",0,W227),"0")+IFERROR(IF(W228="",0,W228),"0")+IFERROR(IF(W229="",0,W229),"0")</f>
        <v/>
      </c>
      <c r="X230" s="682" t="n"/>
      <c r="Y230" s="682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9" t="n"/>
      <c r="M231" s="680" t="inlineStr">
        <is>
          <t>Итого</t>
        </is>
      </c>
      <c r="N231" s="650" t="n"/>
      <c r="O231" s="650" t="n"/>
      <c r="P231" s="650" t="n"/>
      <c r="Q231" s="650" t="n"/>
      <c r="R231" s="650" t="n"/>
      <c r="S231" s="651" t="n"/>
      <c r="T231" s="43" t="inlineStr">
        <is>
          <t>кг</t>
        </is>
      </c>
      <c r="U231" s="681">
        <f>IFERROR(SUM(U224:U229),"0")</f>
        <v/>
      </c>
      <c r="V231" s="681">
        <f>IFERROR(SUM(V224:V229),"0")</f>
        <v/>
      </c>
      <c r="W231" s="43" t="n"/>
      <c r="X231" s="682" t="n"/>
      <c r="Y231" s="682" t="n"/>
    </row>
    <row r="232" ht="14.25" customHeight="1">
      <c r="A232" s="327" t="inlineStr">
        <is>
          <t>Сардельки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327" t="n"/>
      <c r="Y232" s="327" t="n"/>
    </row>
    <row r="233" ht="16.5" customHeight="1">
      <c r="A233" s="64" t="inlineStr">
        <is>
          <t>SU001051</t>
        </is>
      </c>
      <c r="B233" s="64" t="inlineStr">
        <is>
          <t>P002061</t>
        </is>
      </c>
      <c r="C233" s="37" t="n">
        <v>4301060326</v>
      </c>
      <c r="D233" s="328" t="n">
        <v>4607091380880</v>
      </c>
      <c r="E233" s="642" t="n"/>
      <c r="F233" s="674" t="n">
        <v>1.4</v>
      </c>
      <c r="G233" s="38" t="n">
        <v>6</v>
      </c>
      <c r="H233" s="674" t="n">
        <v>8.4</v>
      </c>
      <c r="I233" s="674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N233" s="676" t="n"/>
      <c r="O233" s="676" t="n"/>
      <c r="P233" s="676" t="n"/>
      <c r="Q233" s="642" t="n"/>
      <c r="R233" s="40" t="inlineStr"/>
      <c r="S233" s="40" t="inlineStr"/>
      <c r="T233" s="41" t="inlineStr">
        <is>
          <t>кг</t>
        </is>
      </c>
      <c r="U233" s="677" t="n">
        <v>0</v>
      </c>
      <c r="V233" s="678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27" customHeight="1">
      <c r="A234" s="64" t="inlineStr">
        <is>
          <t>SU000227</t>
        </is>
      </c>
      <c r="B234" s="64" t="inlineStr">
        <is>
          <t>P002536</t>
        </is>
      </c>
      <c r="C234" s="37" t="n">
        <v>4301060308</v>
      </c>
      <c r="D234" s="328" t="n">
        <v>4607091384482</v>
      </c>
      <c r="E234" s="642" t="n"/>
      <c r="F234" s="674" t="n">
        <v>1.3</v>
      </c>
      <c r="G234" s="38" t="n">
        <v>6</v>
      </c>
      <c r="H234" s="674" t="n">
        <v>7.8</v>
      </c>
      <c r="I234" s="674" t="n">
        <v>8.364000000000001</v>
      </c>
      <c r="J234" s="38" t="n">
        <v>56</v>
      </c>
      <c r="K234" s="39" t="inlineStr">
        <is>
          <t>СК2</t>
        </is>
      </c>
      <c r="L234" s="38" t="n">
        <v>30</v>
      </c>
      <c r="M234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4" s="676" t="n"/>
      <c r="O234" s="676" t="n"/>
      <c r="P234" s="676" t="n"/>
      <c r="Q234" s="642" t="n"/>
      <c r="R234" s="40" t="inlineStr"/>
      <c r="S234" s="40" t="inlineStr"/>
      <c r="T234" s="41" t="inlineStr">
        <is>
          <t>кг</t>
        </is>
      </c>
      <c r="U234" s="677" t="n">
        <v>0</v>
      </c>
      <c r="V234" s="678">
        <f>IFERROR(IF(U234="",0,CEILING((U234/$H234),1)*$H234),"")</f>
        <v/>
      </c>
      <c r="W234" s="42">
        <f>IFERROR(IF(V234=0,"",ROUNDUP(V234/H234,0)*0.02175),"")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16.5" customHeight="1">
      <c r="A235" s="64" t="inlineStr">
        <is>
          <t>SU001430</t>
        </is>
      </c>
      <c r="B235" s="64" t="inlineStr">
        <is>
          <t>P002036</t>
        </is>
      </c>
      <c r="C235" s="37" t="n">
        <v>4301060325</v>
      </c>
      <c r="D235" s="328" t="n">
        <v>4607091380897</v>
      </c>
      <c r="E235" s="642" t="n"/>
      <c r="F235" s="674" t="n">
        <v>1.4</v>
      </c>
      <c r="G235" s="38" t="n">
        <v>6</v>
      </c>
      <c r="H235" s="674" t="n">
        <v>8.4</v>
      </c>
      <c r="I235" s="674" t="n">
        <v>8.964</v>
      </c>
      <c r="J235" s="38" t="n">
        <v>56</v>
      </c>
      <c r="K235" s="39" t="inlineStr">
        <is>
          <t>СК2</t>
        </is>
      </c>
      <c r="L235" s="38" t="n">
        <v>30</v>
      </c>
      <c r="M235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N235" s="676" t="n"/>
      <c r="O235" s="676" t="n"/>
      <c r="P235" s="676" t="n"/>
      <c r="Q235" s="642" t="n"/>
      <c r="R235" s="40" t="inlineStr"/>
      <c r="S235" s="40" t="inlineStr"/>
      <c r="T235" s="41" t="inlineStr">
        <is>
          <t>кг</t>
        </is>
      </c>
      <c r="U235" s="677" t="n">
        <v>0</v>
      </c>
      <c r="V235" s="678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16.5" customHeight="1">
      <c r="A236" s="64" t="inlineStr">
        <is>
          <t>SU002691</t>
        </is>
      </c>
      <c r="B236" s="64" t="inlineStr">
        <is>
          <t>P003055</t>
        </is>
      </c>
      <c r="C236" s="37" t="n">
        <v>4301060337</v>
      </c>
      <c r="D236" s="328" t="n">
        <v>4680115880368</v>
      </c>
      <c r="E236" s="642" t="n"/>
      <c r="F236" s="674" t="n">
        <v>1</v>
      </c>
      <c r="G236" s="38" t="n">
        <v>4</v>
      </c>
      <c r="H236" s="674" t="n">
        <v>4</v>
      </c>
      <c r="I236" s="674" t="n">
        <v>4.36</v>
      </c>
      <c r="J236" s="38" t="n">
        <v>104</v>
      </c>
      <c r="K236" s="39" t="inlineStr">
        <is>
          <t>СК3</t>
        </is>
      </c>
      <c r="L236" s="38" t="n">
        <v>40</v>
      </c>
      <c r="M236" s="814">
        <f>HYPERLINK("https://abi.ru/products/Охлажденные/Стародворье/Бордо/Сардельки/P003055/","Сардельки Царедворские Бордо ф/в 1 кг п/а Стародворье")</f>
        <v/>
      </c>
      <c r="N236" s="676" t="n"/>
      <c r="O236" s="676" t="n"/>
      <c r="P236" s="676" t="n"/>
      <c r="Q236" s="642" t="n"/>
      <c r="R236" s="40" t="inlineStr"/>
      <c r="S236" s="40" t="inlineStr"/>
      <c r="T236" s="41" t="inlineStr">
        <is>
          <t>кг</t>
        </is>
      </c>
      <c r="U236" s="677" t="n">
        <v>0</v>
      </c>
      <c r="V236" s="678">
        <f>IFERROR(IF(U236="",0,CEILING((U236/$H236),1)*$H236),"")</f>
        <v/>
      </c>
      <c r="W236" s="42">
        <f>IFERROR(IF(V236=0,"",ROUNDUP(V236/H236,0)*0.01196),"")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2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9" t="n"/>
      <c r="M237" s="680" t="inlineStr">
        <is>
          <t>Итого</t>
        </is>
      </c>
      <c r="N237" s="650" t="n"/>
      <c r="O237" s="650" t="n"/>
      <c r="P237" s="650" t="n"/>
      <c r="Q237" s="650" t="n"/>
      <c r="R237" s="650" t="n"/>
      <c r="S237" s="651" t="n"/>
      <c r="T237" s="43" t="inlineStr">
        <is>
          <t>кор</t>
        </is>
      </c>
      <c r="U237" s="681">
        <f>IFERROR(U233/H233,"0")+IFERROR(U234/H234,"0")+IFERROR(U235/H235,"0")+IFERROR(U236/H236,"0")</f>
        <v/>
      </c>
      <c r="V237" s="681">
        <f>IFERROR(V233/H233,"0")+IFERROR(V234/H234,"0")+IFERROR(V235/H235,"0")+IFERROR(V236/H236,"0")</f>
        <v/>
      </c>
      <c r="W237" s="681">
        <f>IFERROR(IF(W233="",0,W233),"0")+IFERROR(IF(W234="",0,W234),"0")+IFERROR(IF(W235="",0,W235),"0")+IFERROR(IF(W236="",0,W236),"0")</f>
        <v/>
      </c>
      <c r="X237" s="682" t="n"/>
      <c r="Y237" s="682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9" t="n"/>
      <c r="M238" s="680" t="inlineStr">
        <is>
          <t>Итого</t>
        </is>
      </c>
      <c r="N238" s="650" t="n"/>
      <c r="O238" s="650" t="n"/>
      <c r="P238" s="650" t="n"/>
      <c r="Q238" s="650" t="n"/>
      <c r="R238" s="650" t="n"/>
      <c r="S238" s="651" t="n"/>
      <c r="T238" s="43" t="inlineStr">
        <is>
          <t>кг</t>
        </is>
      </c>
      <c r="U238" s="681">
        <f>IFERROR(SUM(U233:U236),"0")</f>
        <v/>
      </c>
      <c r="V238" s="681">
        <f>IFERROR(SUM(V233:V236),"0")</f>
        <v/>
      </c>
      <c r="W238" s="43" t="n"/>
      <c r="X238" s="682" t="n"/>
      <c r="Y238" s="682" t="n"/>
    </row>
    <row r="239" ht="14.25" customHeight="1">
      <c r="A239" s="327" t="inlineStr">
        <is>
          <t>Сырокопченые колбасы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27" t="n"/>
      <c r="Y239" s="327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28" t="n">
        <v>4607091388374</v>
      </c>
      <c r="E240" s="642" t="n"/>
      <c r="F240" s="674" t="n">
        <v>0.38</v>
      </c>
      <c r="G240" s="38" t="n">
        <v>8</v>
      </c>
      <c r="H240" s="674" t="n">
        <v>3.04</v>
      </c>
      <c r="I240" s="674" t="n">
        <v>3.28</v>
      </c>
      <c r="J240" s="38" t="n">
        <v>156</v>
      </c>
      <c r="K240" s="39" t="inlineStr">
        <is>
          <t>АК</t>
        </is>
      </c>
      <c r="L240" s="38" t="n">
        <v>180</v>
      </c>
      <c r="M240" s="815" t="inlineStr">
        <is>
          <t>С/к колбасы Княжеская Бордо Весовые б/о терм/п Стародворье</t>
        </is>
      </c>
      <c r="N240" s="676" t="n"/>
      <c r="O240" s="676" t="n"/>
      <c r="P240" s="676" t="n"/>
      <c r="Q240" s="642" t="n"/>
      <c r="R240" s="40" t="inlineStr"/>
      <c r="S240" s="40" t="inlineStr"/>
      <c r="T240" s="41" t="inlineStr">
        <is>
          <t>кг</t>
        </is>
      </c>
      <c r="U240" s="677" t="n">
        <v>0</v>
      </c>
      <c r="V240" s="678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28" t="n">
        <v>4607091388381</v>
      </c>
      <c r="E241" s="642" t="n"/>
      <c r="F241" s="674" t="n">
        <v>0.38</v>
      </c>
      <c r="G241" s="38" t="n">
        <v>8</v>
      </c>
      <c r="H241" s="674" t="n">
        <v>3.04</v>
      </c>
      <c r="I241" s="674" t="n">
        <v>3.32</v>
      </c>
      <c r="J241" s="38" t="n">
        <v>156</v>
      </c>
      <c r="K241" s="39" t="inlineStr">
        <is>
          <t>АК</t>
        </is>
      </c>
      <c r="L241" s="38" t="n">
        <v>180</v>
      </c>
      <c r="M241" s="816" t="inlineStr">
        <is>
          <t>С/к колбасы Салями Охотничья Бордо Весовые б/о терм/п 180 Стародворье</t>
        </is>
      </c>
      <c r="N241" s="676" t="n"/>
      <c r="O241" s="676" t="n"/>
      <c r="P241" s="676" t="n"/>
      <c r="Q241" s="642" t="n"/>
      <c r="R241" s="40" t="inlineStr"/>
      <c r="S241" s="40" t="inlineStr"/>
      <c r="T241" s="41" t="inlineStr">
        <is>
          <t>кг</t>
        </is>
      </c>
      <c r="U241" s="677" t="n">
        <v>0</v>
      </c>
      <c r="V241" s="678">
        <f>IFERROR(IF(U241="",0,CEILING((U241/$H241),1)*$H241),"")</f>
        <v/>
      </c>
      <c r="W241" s="42">
        <f>IFERROR(IF(V241=0,"",ROUNDUP(V241/H241,0)*0.00753),"")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28" t="n">
        <v>4607091388404</v>
      </c>
      <c r="E242" s="642" t="n"/>
      <c r="F242" s="674" t="n">
        <v>0.17</v>
      </c>
      <c r="G242" s="38" t="n">
        <v>15</v>
      </c>
      <c r="H242" s="674" t="n">
        <v>2.55</v>
      </c>
      <c r="I242" s="674" t="n">
        <v>2.9</v>
      </c>
      <c r="J242" s="38" t="n">
        <v>156</v>
      </c>
      <c r="K242" s="39" t="inlineStr">
        <is>
          <t>АК</t>
        </is>
      </c>
      <c r="L242" s="38" t="n">
        <v>180</v>
      </c>
      <c r="M242" s="81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2" s="676" t="n"/>
      <c r="O242" s="676" t="n"/>
      <c r="P242" s="676" t="n"/>
      <c r="Q242" s="642" t="n"/>
      <c r="R242" s="40" t="inlineStr"/>
      <c r="S242" s="40" t="inlineStr"/>
      <c r="T242" s="41" t="inlineStr">
        <is>
          <t>кг</t>
        </is>
      </c>
      <c r="U242" s="677" t="n">
        <v>0</v>
      </c>
      <c r="V242" s="678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2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9" t="n"/>
      <c r="M243" s="680" t="inlineStr">
        <is>
          <t>Итого</t>
        </is>
      </c>
      <c r="N243" s="650" t="n"/>
      <c r="O243" s="650" t="n"/>
      <c r="P243" s="650" t="n"/>
      <c r="Q243" s="650" t="n"/>
      <c r="R243" s="650" t="n"/>
      <c r="S243" s="651" t="n"/>
      <c r="T243" s="43" t="inlineStr">
        <is>
          <t>кор</t>
        </is>
      </c>
      <c r="U243" s="681">
        <f>IFERROR(U240/H240,"0")+IFERROR(U241/H241,"0")+IFERROR(U242/H242,"0")</f>
        <v/>
      </c>
      <c r="V243" s="681">
        <f>IFERROR(V240/H240,"0")+IFERROR(V241/H241,"0")+IFERROR(V242/H242,"0")</f>
        <v/>
      </c>
      <c r="W243" s="681">
        <f>IFERROR(IF(W240="",0,W240),"0")+IFERROR(IF(W241="",0,W241),"0")+IFERROR(IF(W242="",0,W242),"0")</f>
        <v/>
      </c>
      <c r="X243" s="682" t="n"/>
      <c r="Y243" s="682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9" t="n"/>
      <c r="M244" s="680" t="inlineStr">
        <is>
          <t>Итого</t>
        </is>
      </c>
      <c r="N244" s="650" t="n"/>
      <c r="O244" s="650" t="n"/>
      <c r="P244" s="650" t="n"/>
      <c r="Q244" s="650" t="n"/>
      <c r="R244" s="650" t="n"/>
      <c r="S244" s="651" t="n"/>
      <c r="T244" s="43" t="inlineStr">
        <is>
          <t>кг</t>
        </is>
      </c>
      <c r="U244" s="681">
        <f>IFERROR(SUM(U240:U242),"0")</f>
        <v/>
      </c>
      <c r="V244" s="681">
        <f>IFERROR(SUM(V240:V242),"0")</f>
        <v/>
      </c>
      <c r="W244" s="43" t="n"/>
      <c r="X244" s="682" t="n"/>
      <c r="Y244" s="682" t="n"/>
    </row>
    <row r="245" ht="14.25" customHeight="1">
      <c r="A245" s="327" t="inlineStr">
        <is>
          <t>Паштеты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27" t="n"/>
      <c r="Y245" s="327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28" t="n">
        <v>4680115881808</v>
      </c>
      <c r="E246" s="642" t="n"/>
      <c r="F246" s="674" t="n">
        <v>0.1</v>
      </c>
      <c r="G246" s="38" t="n">
        <v>20</v>
      </c>
      <c r="H246" s="674" t="n">
        <v>2</v>
      </c>
      <c r="I246" s="674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6" s="676" t="n"/>
      <c r="O246" s="676" t="n"/>
      <c r="P246" s="676" t="n"/>
      <c r="Q246" s="642" t="n"/>
      <c r="R246" s="40" t="inlineStr"/>
      <c r="S246" s="40" t="inlineStr"/>
      <c r="T246" s="41" t="inlineStr">
        <is>
          <t>кг</t>
        </is>
      </c>
      <c r="U246" s="677" t="n">
        <v>0</v>
      </c>
      <c r="V246" s="678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28" t="n">
        <v>4680115881822</v>
      </c>
      <c r="E247" s="642" t="n"/>
      <c r="F247" s="674" t="n">
        <v>0.1</v>
      </c>
      <c r="G247" s="38" t="n">
        <v>20</v>
      </c>
      <c r="H247" s="674" t="n">
        <v>2</v>
      </c>
      <c r="I247" s="674" t="n">
        <v>2.24</v>
      </c>
      <c r="J247" s="38" t="n">
        <v>238</v>
      </c>
      <c r="K247" s="39" t="inlineStr">
        <is>
          <t>РК</t>
        </is>
      </c>
      <c r="L247" s="38" t="n">
        <v>730</v>
      </c>
      <c r="M247" s="81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7" s="676" t="n"/>
      <c r="O247" s="676" t="n"/>
      <c r="P247" s="676" t="n"/>
      <c r="Q247" s="642" t="n"/>
      <c r="R247" s="40" t="inlineStr"/>
      <c r="S247" s="40" t="inlineStr"/>
      <c r="T247" s="41" t="inlineStr">
        <is>
          <t>кг</t>
        </is>
      </c>
      <c r="U247" s="677" t="n">
        <v>0</v>
      </c>
      <c r="V247" s="678">
        <f>IFERROR(IF(U247="",0,CEILING((U247/$H247),1)*$H247),"")</f>
        <v/>
      </c>
      <c r="W247" s="42">
        <f>IFERROR(IF(V247=0,"",ROUNDUP(V247/H247,0)*0.00474),"")</f>
        <v/>
      </c>
      <c r="X247" s="69" t="inlineStr"/>
      <c r="Y247" s="70" t="inlineStr"/>
      <c r="AC247" s="71" t="n"/>
      <c r="AZ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28" t="n">
        <v>4680115880016</v>
      </c>
      <c r="E248" s="642" t="n"/>
      <c r="F248" s="674" t="n">
        <v>0.1</v>
      </c>
      <c r="G248" s="38" t="n">
        <v>20</v>
      </c>
      <c r="H248" s="674" t="n">
        <v>2</v>
      </c>
      <c r="I248" s="674" t="n">
        <v>2.24</v>
      </c>
      <c r="J248" s="38" t="n">
        <v>238</v>
      </c>
      <c r="K248" s="39" t="inlineStr">
        <is>
          <t>РК</t>
        </is>
      </c>
      <c r="L248" s="38" t="n">
        <v>730</v>
      </c>
      <c r="M248" s="82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8" s="676" t="n"/>
      <c r="O248" s="676" t="n"/>
      <c r="P248" s="676" t="n"/>
      <c r="Q248" s="642" t="n"/>
      <c r="R248" s="40" t="inlineStr"/>
      <c r="S248" s="40" t="inlineStr"/>
      <c r="T248" s="41" t="inlineStr">
        <is>
          <t>кг</t>
        </is>
      </c>
      <c r="U248" s="677" t="n">
        <v>0</v>
      </c>
      <c r="V248" s="678">
        <f>IFERROR(IF(U248="",0,CEILING((U248/$H248),1)*$H248),"")</f>
        <v/>
      </c>
      <c r="W248" s="42">
        <f>IFERROR(IF(V248=0,"",ROUNDUP(V248/H248,0)*0.00474),"")</f>
        <v/>
      </c>
      <c r="X248" s="69" t="inlineStr"/>
      <c r="Y248" s="70" t="inlineStr"/>
      <c r="AC248" s="71" t="n"/>
      <c r="AZ248" s="211" t="inlineStr">
        <is>
          <t>КИ</t>
        </is>
      </c>
    </row>
    <row r="249">
      <c r="A249" s="322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679" t="n"/>
      <c r="M249" s="680" t="inlineStr">
        <is>
          <t>Итого</t>
        </is>
      </c>
      <c r="N249" s="650" t="n"/>
      <c r="O249" s="650" t="n"/>
      <c r="P249" s="650" t="n"/>
      <c r="Q249" s="650" t="n"/>
      <c r="R249" s="650" t="n"/>
      <c r="S249" s="651" t="n"/>
      <c r="T249" s="43" t="inlineStr">
        <is>
          <t>кор</t>
        </is>
      </c>
      <c r="U249" s="681">
        <f>IFERROR(U246/H246,"0")+IFERROR(U247/H247,"0")+IFERROR(U248/H248,"0")</f>
        <v/>
      </c>
      <c r="V249" s="681">
        <f>IFERROR(V246/H246,"0")+IFERROR(V247/H247,"0")+IFERROR(V248/H248,"0")</f>
        <v/>
      </c>
      <c r="W249" s="681">
        <f>IFERROR(IF(W246="",0,W246),"0")+IFERROR(IF(W247="",0,W247),"0")+IFERROR(IF(W248="",0,W248),"0")</f>
        <v/>
      </c>
      <c r="X249" s="682" t="n"/>
      <c r="Y249" s="682" t="n"/>
    </row>
    <row r="250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9" t="n"/>
      <c r="M250" s="680" t="inlineStr">
        <is>
          <t>Итого</t>
        </is>
      </c>
      <c r="N250" s="650" t="n"/>
      <c r="O250" s="650" t="n"/>
      <c r="P250" s="650" t="n"/>
      <c r="Q250" s="650" t="n"/>
      <c r="R250" s="650" t="n"/>
      <c r="S250" s="651" t="n"/>
      <c r="T250" s="43" t="inlineStr">
        <is>
          <t>кг</t>
        </is>
      </c>
      <c r="U250" s="681">
        <f>IFERROR(SUM(U246:U248),"0")</f>
        <v/>
      </c>
      <c r="V250" s="681">
        <f>IFERROR(SUM(V246:V248),"0")</f>
        <v/>
      </c>
      <c r="W250" s="43" t="n"/>
      <c r="X250" s="682" t="n"/>
      <c r="Y250" s="682" t="n"/>
    </row>
    <row r="251" ht="16.5" customHeight="1">
      <c r="A251" s="335" t="inlineStr">
        <is>
          <t>Фирменная</t>
        </is>
      </c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335" t="n"/>
      <c r="Y251" s="335" t="n"/>
    </row>
    <row r="252" ht="14.25" customHeight="1">
      <c r="A252" s="327" t="inlineStr">
        <is>
          <t>Вареные колбасы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27" t="n"/>
      <c r="Y252" s="327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28" t="n">
        <v>4607091387421</v>
      </c>
      <c r="E253" s="642" t="n"/>
      <c r="F253" s="674" t="n">
        <v>1.35</v>
      </c>
      <c r="G253" s="38" t="n">
        <v>8</v>
      </c>
      <c r="H253" s="674" t="n">
        <v>10.8</v>
      </c>
      <c r="I253" s="674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2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3" s="676" t="n"/>
      <c r="O253" s="676" t="n"/>
      <c r="P253" s="676" t="n"/>
      <c r="Q253" s="642" t="n"/>
      <c r="R253" s="40" t="inlineStr"/>
      <c r="S253" s="40" t="inlineStr"/>
      <c r="T253" s="41" t="inlineStr">
        <is>
          <t>кг</t>
        </is>
      </c>
      <c r="U253" s="677" t="n">
        <v>0</v>
      </c>
      <c r="V253" s="678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28" t="n">
        <v>4607091387421</v>
      </c>
      <c r="E254" s="642" t="n"/>
      <c r="F254" s="674" t="n">
        <v>1.35</v>
      </c>
      <c r="G254" s="38" t="n">
        <v>8</v>
      </c>
      <c r="H254" s="674" t="n">
        <v>10.8</v>
      </c>
      <c r="I254" s="674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2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4" s="676" t="n"/>
      <c r="O254" s="676" t="n"/>
      <c r="P254" s="676" t="n"/>
      <c r="Q254" s="642" t="n"/>
      <c r="R254" s="40" t="inlineStr"/>
      <c r="S254" s="40" t="inlineStr"/>
      <c r="T254" s="41" t="inlineStr">
        <is>
          <t>кг</t>
        </is>
      </c>
      <c r="U254" s="677" t="n">
        <v>0</v>
      </c>
      <c r="V254" s="678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P003673</t>
        </is>
      </c>
      <c r="C255" s="37" t="n">
        <v>4301011619</v>
      </c>
      <c r="D255" s="328" t="n">
        <v>4607091387452</v>
      </c>
      <c r="E255" s="642" t="n"/>
      <c r="F255" s="674" t="n">
        <v>1.45</v>
      </c>
      <c r="G255" s="38" t="n">
        <v>8</v>
      </c>
      <c r="H255" s="674" t="n">
        <v>11.6</v>
      </c>
      <c r="I255" s="674" t="n">
        <v>12.08</v>
      </c>
      <c r="J255" s="38" t="n">
        <v>56</v>
      </c>
      <c r="K255" s="39" t="inlineStr">
        <is>
          <t>СК1</t>
        </is>
      </c>
      <c r="L255" s="38" t="n">
        <v>55</v>
      </c>
      <c r="M255" s="823" t="inlineStr">
        <is>
          <t>Вареные колбасы Молочная По-стародворски Фирменная Весовые П/а Стародворье</t>
        </is>
      </c>
      <c r="N255" s="676" t="n"/>
      <c r="O255" s="676" t="n"/>
      <c r="P255" s="676" t="n"/>
      <c r="Q255" s="642" t="n"/>
      <c r="R255" s="40" t="inlineStr"/>
      <c r="S255" s="40" t="inlineStr"/>
      <c r="T255" s="41" t="inlineStr">
        <is>
          <t>кг</t>
        </is>
      </c>
      <c r="U255" s="677" t="n">
        <v>0</v>
      </c>
      <c r="V255" s="678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P003076</t>
        </is>
      </c>
      <c r="C256" s="37" t="n">
        <v>4301011396</v>
      </c>
      <c r="D256" s="328" t="n">
        <v>4607091387452</v>
      </c>
      <c r="E256" s="642" t="n"/>
      <c r="F256" s="674" t="n">
        <v>1.35</v>
      </c>
      <c r="G256" s="38" t="n">
        <v>8</v>
      </c>
      <c r="H256" s="674" t="n">
        <v>10.8</v>
      </c>
      <c r="I256" s="674" t="n">
        <v>11.28</v>
      </c>
      <c r="J256" s="38" t="n">
        <v>48</v>
      </c>
      <c r="K256" s="39" t="inlineStr">
        <is>
          <t>ВЗ</t>
        </is>
      </c>
      <c r="L256" s="38" t="n">
        <v>55</v>
      </c>
      <c r="M256" s="82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6" s="676" t="n"/>
      <c r="O256" s="676" t="n"/>
      <c r="P256" s="676" t="n"/>
      <c r="Q256" s="642" t="n"/>
      <c r="R256" s="40" t="inlineStr"/>
      <c r="S256" s="40" t="inlineStr"/>
      <c r="T256" s="41" t="inlineStr">
        <is>
          <t>кг</t>
        </is>
      </c>
      <c r="U256" s="677" t="n">
        <v>0</v>
      </c>
      <c r="V256" s="678">
        <f>IFERROR(IF(U256="",0,CEILING((U256/$H256),1)*$H256),"")</f>
        <v/>
      </c>
      <c r="W256" s="42">
        <f>IFERROR(IF(V256=0,"",ROUNDUP(V256/H256,0)*0.02039),"")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28" t="n">
        <v>4607091385984</v>
      </c>
      <c r="E257" s="642" t="n"/>
      <c r="F257" s="674" t="n">
        <v>1.35</v>
      </c>
      <c r="G257" s="38" t="n">
        <v>8</v>
      </c>
      <c r="H257" s="674" t="n">
        <v>10.8</v>
      </c>
      <c r="I257" s="674" t="n">
        <v>11.28</v>
      </c>
      <c r="J257" s="38" t="n">
        <v>56</v>
      </c>
      <c r="K257" s="39" t="inlineStr">
        <is>
          <t>СК1</t>
        </is>
      </c>
      <c r="L257" s="38" t="n">
        <v>55</v>
      </c>
      <c r="M257" s="82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7" s="676" t="n"/>
      <c r="O257" s="676" t="n"/>
      <c r="P257" s="676" t="n"/>
      <c r="Q257" s="642" t="n"/>
      <c r="R257" s="40" t="inlineStr"/>
      <c r="S257" s="40" t="inlineStr"/>
      <c r="T257" s="41" t="inlineStr">
        <is>
          <t>кг</t>
        </is>
      </c>
      <c r="U257" s="677" t="n">
        <v>0</v>
      </c>
      <c r="V257" s="678">
        <f>IFERROR(IF(U257="",0,CEILING((U257/$H257),1)*$H257),"")</f>
        <v/>
      </c>
      <c r="W257" s="42">
        <f>IFERROR(IF(V257=0,"",ROUNDUP(V257/H257,0)*0.02175),"")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28" t="n">
        <v>4607091387438</v>
      </c>
      <c r="E258" s="642" t="n"/>
      <c r="F258" s="674" t="n">
        <v>0.5</v>
      </c>
      <c r="G258" s="38" t="n">
        <v>10</v>
      </c>
      <c r="H258" s="674" t="n">
        <v>5</v>
      </c>
      <c r="I258" s="674" t="n">
        <v>5.24</v>
      </c>
      <c r="J258" s="38" t="n">
        <v>120</v>
      </c>
      <c r="K258" s="39" t="inlineStr">
        <is>
          <t>СК1</t>
        </is>
      </c>
      <c r="L258" s="38" t="n">
        <v>55</v>
      </c>
      <c r="M258" s="82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8" s="676" t="n"/>
      <c r="O258" s="676" t="n"/>
      <c r="P258" s="676" t="n"/>
      <c r="Q258" s="642" t="n"/>
      <c r="R258" s="40" t="inlineStr"/>
      <c r="S258" s="40" t="inlineStr"/>
      <c r="T258" s="41" t="inlineStr">
        <is>
          <t>кг</t>
        </is>
      </c>
      <c r="U258" s="677" t="n">
        <v>0</v>
      </c>
      <c r="V258" s="678">
        <f>IFERROR(IF(U258="",0,CEILING((U258/$H258),1)*$H258),"")</f>
        <v/>
      </c>
      <c r="W258" s="42">
        <f>IFERROR(IF(V258=0,"",ROUNDUP(V258/H258,0)*0.00937),"")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28" t="n">
        <v>4607091387469</v>
      </c>
      <c r="E259" s="642" t="n"/>
      <c r="F259" s="674" t="n">
        <v>0.5</v>
      </c>
      <c r="G259" s="38" t="n">
        <v>10</v>
      </c>
      <c r="H259" s="674" t="n">
        <v>5</v>
      </c>
      <c r="I259" s="674" t="n">
        <v>5.21</v>
      </c>
      <c r="J259" s="38" t="n">
        <v>120</v>
      </c>
      <c r="K259" s="39" t="inlineStr">
        <is>
          <t>СК2</t>
        </is>
      </c>
      <c r="L259" s="38" t="n">
        <v>55</v>
      </c>
      <c r="M259" s="82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9" s="676" t="n"/>
      <c r="O259" s="676" t="n"/>
      <c r="P259" s="676" t="n"/>
      <c r="Q259" s="642" t="n"/>
      <c r="R259" s="40" t="inlineStr"/>
      <c r="S259" s="40" t="inlineStr"/>
      <c r="T259" s="41" t="inlineStr">
        <is>
          <t>кг</t>
        </is>
      </c>
      <c r="U259" s="677" t="n">
        <v>0</v>
      </c>
      <c r="V259" s="678">
        <f>IFERROR(IF(U259="",0,CEILING((U259/$H259),1)*$H259),"")</f>
        <v/>
      </c>
      <c r="W259" s="42">
        <f>IFERROR(IF(V259=0,"",ROUNDUP(V259/H259,0)*0.00937),"")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9" t="n"/>
      <c r="M260" s="680" t="inlineStr">
        <is>
          <t>Итого</t>
        </is>
      </c>
      <c r="N260" s="650" t="n"/>
      <c r="O260" s="650" t="n"/>
      <c r="P260" s="650" t="n"/>
      <c r="Q260" s="650" t="n"/>
      <c r="R260" s="650" t="n"/>
      <c r="S260" s="651" t="n"/>
      <c r="T260" s="43" t="inlineStr">
        <is>
          <t>кор</t>
        </is>
      </c>
      <c r="U260" s="681">
        <f>IFERROR(U253/H253,"0")+IFERROR(U254/H254,"0")+IFERROR(U255/H255,"0")+IFERROR(U256/H256,"0")+IFERROR(U257/H257,"0")+IFERROR(U258/H258,"0")+IFERROR(U259/H259,"0")</f>
        <v/>
      </c>
      <c r="V260" s="681">
        <f>IFERROR(V253/H253,"0")+IFERROR(V254/H254,"0")+IFERROR(V255/H255,"0")+IFERROR(V256/H256,"0")+IFERROR(V257/H257,"0")+IFERROR(V258/H258,"0")+IFERROR(V259/H259,"0")</f>
        <v/>
      </c>
      <c r="W260" s="681">
        <f>IFERROR(IF(W253="",0,W253),"0")+IFERROR(IF(W254="",0,W254),"0")+IFERROR(IF(W255="",0,W255),"0")+IFERROR(IF(W256="",0,W256),"0")+IFERROR(IF(W257="",0,W257),"0")+IFERROR(IF(W258="",0,W258),"0")+IFERROR(IF(W259="",0,W259),"0")</f>
        <v/>
      </c>
      <c r="X260" s="682" t="n"/>
      <c r="Y260" s="682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9" t="n"/>
      <c r="M261" s="680" t="inlineStr">
        <is>
          <t>Итого</t>
        </is>
      </c>
      <c r="N261" s="650" t="n"/>
      <c r="O261" s="650" t="n"/>
      <c r="P261" s="650" t="n"/>
      <c r="Q261" s="650" t="n"/>
      <c r="R261" s="650" t="n"/>
      <c r="S261" s="651" t="n"/>
      <c r="T261" s="43" t="inlineStr">
        <is>
          <t>кг</t>
        </is>
      </c>
      <c r="U261" s="681">
        <f>IFERROR(SUM(U253:U259),"0")</f>
        <v/>
      </c>
      <c r="V261" s="681">
        <f>IFERROR(SUM(V253:V259),"0")</f>
        <v/>
      </c>
      <c r="W261" s="43" t="n"/>
      <c r="X261" s="682" t="n"/>
      <c r="Y261" s="682" t="n"/>
    </row>
    <row r="262" ht="14.25" customHeight="1">
      <c r="A262" s="327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7" t="n"/>
      <c r="Y262" s="327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28" t="n">
        <v>4607091387292</v>
      </c>
      <c r="E263" s="642" t="n"/>
      <c r="F263" s="674" t="n">
        <v>0.73</v>
      </c>
      <c r="G263" s="38" t="n">
        <v>6</v>
      </c>
      <c r="H263" s="674" t="n">
        <v>4.38</v>
      </c>
      <c r="I263" s="674" t="n">
        <v>4.64</v>
      </c>
      <c r="J263" s="38" t="n">
        <v>156</v>
      </c>
      <c r="K263" s="39" t="inlineStr">
        <is>
          <t>СК2</t>
        </is>
      </c>
      <c r="L263" s="38" t="n">
        <v>45</v>
      </c>
      <c r="M263" s="82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3" s="676" t="n"/>
      <c r="O263" s="676" t="n"/>
      <c r="P263" s="676" t="n"/>
      <c r="Q263" s="642" t="n"/>
      <c r="R263" s="40" t="inlineStr"/>
      <c r="S263" s="40" t="inlineStr"/>
      <c r="T263" s="41" t="inlineStr">
        <is>
          <t>кг</t>
        </is>
      </c>
      <c r="U263" s="677" t="n">
        <v>0</v>
      </c>
      <c r="V263" s="678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28" t="n">
        <v>4607091387315</v>
      </c>
      <c r="E264" s="642" t="n"/>
      <c r="F264" s="674" t="n">
        <v>0.7</v>
      </c>
      <c r="G264" s="38" t="n">
        <v>4</v>
      </c>
      <c r="H264" s="674" t="n">
        <v>2.8</v>
      </c>
      <c r="I264" s="674" t="n">
        <v>3.048</v>
      </c>
      <c r="J264" s="38" t="n">
        <v>156</v>
      </c>
      <c r="K264" s="39" t="inlineStr">
        <is>
          <t>СК2</t>
        </is>
      </c>
      <c r="L264" s="38" t="n">
        <v>45</v>
      </c>
      <c r="M264" s="82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4" s="676" t="n"/>
      <c r="O264" s="676" t="n"/>
      <c r="P264" s="676" t="n"/>
      <c r="Q264" s="642" t="n"/>
      <c r="R264" s="40" t="inlineStr"/>
      <c r="S264" s="40" t="inlineStr"/>
      <c r="T264" s="41" t="inlineStr">
        <is>
          <t>кг</t>
        </is>
      </c>
      <c r="U264" s="677" t="n">
        <v>0</v>
      </c>
      <c r="V264" s="678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20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9" t="n"/>
      <c r="M265" s="680" t="inlineStr">
        <is>
          <t>Итого</t>
        </is>
      </c>
      <c r="N265" s="650" t="n"/>
      <c r="O265" s="650" t="n"/>
      <c r="P265" s="650" t="n"/>
      <c r="Q265" s="650" t="n"/>
      <c r="R265" s="650" t="n"/>
      <c r="S265" s="651" t="n"/>
      <c r="T265" s="43" t="inlineStr">
        <is>
          <t>кор</t>
        </is>
      </c>
      <c r="U265" s="681">
        <f>IFERROR(U263/H263,"0")+IFERROR(U264/H264,"0")</f>
        <v/>
      </c>
      <c r="V265" s="681">
        <f>IFERROR(V263/H263,"0")+IFERROR(V264/H264,"0")</f>
        <v/>
      </c>
      <c r="W265" s="681">
        <f>IFERROR(IF(W263="",0,W263),"0")+IFERROR(IF(W264="",0,W264),"0")</f>
        <v/>
      </c>
      <c r="X265" s="682" t="n"/>
      <c r="Y265" s="682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9" t="n"/>
      <c r="M266" s="680" t="inlineStr">
        <is>
          <t>Итого</t>
        </is>
      </c>
      <c r="N266" s="650" t="n"/>
      <c r="O266" s="650" t="n"/>
      <c r="P266" s="650" t="n"/>
      <c r="Q266" s="650" t="n"/>
      <c r="R266" s="650" t="n"/>
      <c r="S266" s="651" t="n"/>
      <c r="T266" s="43" t="inlineStr">
        <is>
          <t>кг</t>
        </is>
      </c>
      <c r="U266" s="681">
        <f>IFERROR(SUM(U263:U264),"0")</f>
        <v/>
      </c>
      <c r="V266" s="681">
        <f>IFERROR(SUM(V263:V264),"0")</f>
        <v/>
      </c>
      <c r="W266" s="43" t="n"/>
      <c r="X266" s="682" t="n"/>
      <c r="Y266" s="682" t="n"/>
    </row>
    <row r="267" ht="16.5" customHeight="1">
      <c r="A267" s="335" t="inlineStr">
        <is>
          <t>Бавария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27" t="inlineStr">
        <is>
          <t>Копченые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7" t="n"/>
      <c r="Y268" s="327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28" t="n">
        <v>4607091383836</v>
      </c>
      <c r="E269" s="642" t="n"/>
      <c r="F269" s="674" t="n">
        <v>0.3</v>
      </c>
      <c r="G269" s="38" t="n">
        <v>6</v>
      </c>
      <c r="H269" s="674" t="n">
        <v>1.8</v>
      </c>
      <c r="I269" s="674" t="n">
        <v>2.048</v>
      </c>
      <c r="J269" s="38" t="n">
        <v>156</v>
      </c>
      <c r="K269" s="39" t="inlineStr">
        <is>
          <t>СК2</t>
        </is>
      </c>
      <c r="L269" s="38" t="n">
        <v>40</v>
      </c>
      <c r="M269" s="83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9" s="676" t="n"/>
      <c r="O269" s="676" t="n"/>
      <c r="P269" s="676" t="n"/>
      <c r="Q269" s="642" t="n"/>
      <c r="R269" s="40" t="inlineStr"/>
      <c r="S269" s="40" t="inlineStr"/>
      <c r="T269" s="41" t="inlineStr">
        <is>
          <t>кг</t>
        </is>
      </c>
      <c r="U269" s="677" t="n">
        <v>0</v>
      </c>
      <c r="V269" s="678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>
      <c r="A270" s="322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9" t="n"/>
      <c r="M270" s="680" t="inlineStr">
        <is>
          <t>Итого</t>
        </is>
      </c>
      <c r="N270" s="650" t="n"/>
      <c r="O270" s="650" t="n"/>
      <c r="P270" s="650" t="n"/>
      <c r="Q270" s="650" t="n"/>
      <c r="R270" s="650" t="n"/>
      <c r="S270" s="651" t="n"/>
      <c r="T270" s="43" t="inlineStr">
        <is>
          <t>кор</t>
        </is>
      </c>
      <c r="U270" s="681">
        <f>IFERROR(U269/H269,"0")</f>
        <v/>
      </c>
      <c r="V270" s="681">
        <f>IFERROR(V269/H269,"0")</f>
        <v/>
      </c>
      <c r="W270" s="681">
        <f>IFERROR(IF(W269="",0,W269),"0")</f>
        <v/>
      </c>
      <c r="X270" s="682" t="n"/>
      <c r="Y270" s="682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9" t="n"/>
      <c r="M271" s="680" t="inlineStr">
        <is>
          <t>Итого</t>
        </is>
      </c>
      <c r="N271" s="650" t="n"/>
      <c r="O271" s="650" t="n"/>
      <c r="P271" s="650" t="n"/>
      <c r="Q271" s="650" t="n"/>
      <c r="R271" s="650" t="n"/>
      <c r="S271" s="651" t="n"/>
      <c r="T271" s="43" t="inlineStr">
        <is>
          <t>кг</t>
        </is>
      </c>
      <c r="U271" s="681">
        <f>IFERROR(SUM(U269:U269),"0")</f>
        <v/>
      </c>
      <c r="V271" s="681">
        <f>IFERROR(SUM(V269:V269),"0")</f>
        <v/>
      </c>
      <c r="W271" s="43" t="n"/>
      <c r="X271" s="682" t="n"/>
      <c r="Y271" s="682" t="n"/>
    </row>
    <row r="272" ht="14.25" customHeight="1">
      <c r="A272" s="327" t="inlineStr">
        <is>
          <t>Сосиски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327" t="n"/>
      <c r="Y272" s="327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28" t="n">
        <v>4607091387919</v>
      </c>
      <c r="E273" s="642" t="n"/>
      <c r="F273" s="674" t="n">
        <v>1.35</v>
      </c>
      <c r="G273" s="38" t="n">
        <v>6</v>
      </c>
      <c r="H273" s="674" t="n">
        <v>8.1</v>
      </c>
      <c r="I273" s="674" t="n">
        <v>8.664</v>
      </c>
      <c r="J273" s="38" t="n">
        <v>56</v>
      </c>
      <c r="K273" s="39" t="inlineStr">
        <is>
          <t>СК2</t>
        </is>
      </c>
      <c r="L273" s="38" t="n">
        <v>45</v>
      </c>
      <c r="M273" s="83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3" s="676" t="n"/>
      <c r="O273" s="676" t="n"/>
      <c r="P273" s="676" t="n"/>
      <c r="Q273" s="642" t="n"/>
      <c r="R273" s="40" t="inlineStr"/>
      <c r="S273" s="40" t="inlineStr"/>
      <c r="T273" s="41" t="inlineStr">
        <is>
          <t>кг</t>
        </is>
      </c>
      <c r="U273" s="677" t="n">
        <v>0</v>
      </c>
      <c r="V273" s="678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28" t="n">
        <v>4607091383942</v>
      </c>
      <c r="E274" s="642" t="n"/>
      <c r="F274" s="674" t="n">
        <v>0.42</v>
      </c>
      <c r="G274" s="38" t="n">
        <v>6</v>
      </c>
      <c r="H274" s="674" t="n">
        <v>2.52</v>
      </c>
      <c r="I274" s="674" t="n">
        <v>2.792</v>
      </c>
      <c r="J274" s="38" t="n">
        <v>156</v>
      </c>
      <c r="K274" s="39" t="inlineStr">
        <is>
          <t>СК3</t>
        </is>
      </c>
      <c r="L274" s="38" t="n">
        <v>45</v>
      </c>
      <c r="M274" s="83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4" s="676" t="n"/>
      <c r="O274" s="676" t="n"/>
      <c r="P274" s="676" t="n"/>
      <c r="Q274" s="642" t="n"/>
      <c r="R274" s="40" t="inlineStr"/>
      <c r="S274" s="40" t="inlineStr"/>
      <c r="T274" s="41" t="inlineStr">
        <is>
          <t>кг</t>
        </is>
      </c>
      <c r="U274" s="677" t="n">
        <v>2772</v>
      </c>
      <c r="V274" s="678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 ht="27" customHeight="1">
      <c r="A275" s="64" t="inlineStr">
        <is>
          <t>SU001970</t>
        </is>
      </c>
      <c r="B275" s="64" t="inlineStr">
        <is>
          <t>P001837</t>
        </is>
      </c>
      <c r="C275" s="37" t="n">
        <v>4301051300</v>
      </c>
      <c r="D275" s="328" t="n">
        <v>4607091383959</v>
      </c>
      <c r="E275" s="642" t="n"/>
      <c r="F275" s="674" t="n">
        <v>0.42</v>
      </c>
      <c r="G275" s="38" t="n">
        <v>6</v>
      </c>
      <c r="H275" s="674" t="n">
        <v>2.52</v>
      </c>
      <c r="I275" s="674" t="n">
        <v>2.78</v>
      </c>
      <c r="J275" s="38" t="n">
        <v>156</v>
      </c>
      <c r="K275" s="39" t="inlineStr">
        <is>
          <t>СК2</t>
        </is>
      </c>
      <c r="L275" s="38" t="n">
        <v>35</v>
      </c>
      <c r="M275" s="83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5" s="676" t="n"/>
      <c r="O275" s="676" t="n"/>
      <c r="P275" s="676" t="n"/>
      <c r="Q275" s="642" t="n"/>
      <c r="R275" s="40" t="inlineStr"/>
      <c r="S275" s="40" t="inlineStr"/>
      <c r="T275" s="41" t="inlineStr">
        <is>
          <t>кг</t>
        </is>
      </c>
      <c r="U275" s="677" t="n">
        <v>504</v>
      </c>
      <c r="V275" s="678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2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9" t="n"/>
      <c r="M276" s="680" t="inlineStr">
        <is>
          <t>Итого</t>
        </is>
      </c>
      <c r="N276" s="650" t="n"/>
      <c r="O276" s="650" t="n"/>
      <c r="P276" s="650" t="n"/>
      <c r="Q276" s="650" t="n"/>
      <c r="R276" s="650" t="n"/>
      <c r="S276" s="651" t="n"/>
      <c r="T276" s="43" t="inlineStr">
        <is>
          <t>кор</t>
        </is>
      </c>
      <c r="U276" s="681">
        <f>IFERROR(U273/H273,"0")+IFERROR(U274/H274,"0")+IFERROR(U275/H275,"0")</f>
        <v/>
      </c>
      <c r="V276" s="681">
        <f>IFERROR(V273/H273,"0")+IFERROR(V274/H274,"0")+IFERROR(V275/H275,"0")</f>
        <v/>
      </c>
      <c r="W276" s="681">
        <f>IFERROR(IF(W273="",0,W273),"0")+IFERROR(IF(W274="",0,W274),"0")+IFERROR(IF(W275="",0,W275),"0")</f>
        <v/>
      </c>
      <c r="X276" s="682" t="n"/>
      <c r="Y276" s="682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9" t="n"/>
      <c r="M277" s="680" t="inlineStr">
        <is>
          <t>Итого</t>
        </is>
      </c>
      <c r="N277" s="650" t="n"/>
      <c r="O277" s="650" t="n"/>
      <c r="P277" s="650" t="n"/>
      <c r="Q277" s="650" t="n"/>
      <c r="R277" s="650" t="n"/>
      <c r="S277" s="651" t="n"/>
      <c r="T277" s="43" t="inlineStr">
        <is>
          <t>кг</t>
        </is>
      </c>
      <c r="U277" s="681">
        <f>IFERROR(SUM(U273:U275),"0")</f>
        <v/>
      </c>
      <c r="V277" s="681">
        <f>IFERROR(SUM(V273:V275),"0")</f>
        <v/>
      </c>
      <c r="W277" s="43" t="n"/>
      <c r="X277" s="682" t="n"/>
      <c r="Y277" s="682" t="n"/>
    </row>
    <row r="278" ht="14.25" customHeight="1">
      <c r="A278" s="327" t="inlineStr">
        <is>
          <t>Сардельки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7" t="n"/>
      <c r="Y278" s="327" t="n"/>
    </row>
    <row r="279" ht="27" customHeight="1">
      <c r="A279" s="64" t="inlineStr">
        <is>
          <t>SU002173</t>
        </is>
      </c>
      <c r="B279" s="64" t="inlineStr">
        <is>
          <t>P002361</t>
        </is>
      </c>
      <c r="C279" s="37" t="n">
        <v>4301060324</v>
      </c>
      <c r="D279" s="328" t="n">
        <v>4607091388831</v>
      </c>
      <c r="E279" s="642" t="n"/>
      <c r="F279" s="674" t="n">
        <v>0.38</v>
      </c>
      <c r="G279" s="38" t="n">
        <v>6</v>
      </c>
      <c r="H279" s="674" t="n">
        <v>2.28</v>
      </c>
      <c r="I279" s="674" t="n">
        <v>2.552</v>
      </c>
      <c r="J279" s="38" t="n">
        <v>156</v>
      </c>
      <c r="K279" s="39" t="inlineStr">
        <is>
          <t>СК2</t>
        </is>
      </c>
      <c r="L279" s="38" t="n">
        <v>40</v>
      </c>
      <c r="M279" s="83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9" s="676" t="n"/>
      <c r="O279" s="676" t="n"/>
      <c r="P279" s="676" t="n"/>
      <c r="Q279" s="642" t="n"/>
      <c r="R279" s="40" t="inlineStr"/>
      <c r="S279" s="40" t="inlineStr"/>
      <c r="T279" s="41" t="inlineStr">
        <is>
          <t>кг</t>
        </is>
      </c>
      <c r="U279" s="677" t="n">
        <v>0</v>
      </c>
      <c r="V279" s="678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2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9" t="n"/>
      <c r="M280" s="680" t="inlineStr">
        <is>
          <t>Итого</t>
        </is>
      </c>
      <c r="N280" s="650" t="n"/>
      <c r="O280" s="650" t="n"/>
      <c r="P280" s="650" t="n"/>
      <c r="Q280" s="650" t="n"/>
      <c r="R280" s="650" t="n"/>
      <c r="S280" s="651" t="n"/>
      <c r="T280" s="43" t="inlineStr">
        <is>
          <t>кор</t>
        </is>
      </c>
      <c r="U280" s="681">
        <f>IFERROR(U279/H279,"0")</f>
        <v/>
      </c>
      <c r="V280" s="681">
        <f>IFERROR(V279/H279,"0")</f>
        <v/>
      </c>
      <c r="W280" s="681">
        <f>IFERROR(IF(W279="",0,W279),"0")</f>
        <v/>
      </c>
      <c r="X280" s="682" t="n"/>
      <c r="Y280" s="682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9" t="n"/>
      <c r="M281" s="680" t="inlineStr">
        <is>
          <t>Итого</t>
        </is>
      </c>
      <c r="N281" s="650" t="n"/>
      <c r="O281" s="650" t="n"/>
      <c r="P281" s="650" t="n"/>
      <c r="Q281" s="650" t="n"/>
      <c r="R281" s="650" t="n"/>
      <c r="S281" s="651" t="n"/>
      <c r="T281" s="43" t="inlineStr">
        <is>
          <t>кг</t>
        </is>
      </c>
      <c r="U281" s="681">
        <f>IFERROR(SUM(U279:U279),"0")</f>
        <v/>
      </c>
      <c r="V281" s="681">
        <f>IFERROR(SUM(V279:V279),"0")</f>
        <v/>
      </c>
      <c r="W281" s="43" t="n"/>
      <c r="X281" s="682" t="n"/>
      <c r="Y281" s="682" t="n"/>
    </row>
    <row r="282" ht="14.25" customHeight="1">
      <c r="A282" s="327" t="inlineStr">
        <is>
          <t>Сырокопченые колбасы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7" t="n"/>
      <c r="Y282" s="327" t="n"/>
    </row>
    <row r="283" ht="27" customHeight="1">
      <c r="A283" s="64" t="inlineStr">
        <is>
          <t>SU002092</t>
        </is>
      </c>
      <c r="B283" s="64" t="inlineStr">
        <is>
          <t>P002290</t>
        </is>
      </c>
      <c r="C283" s="37" t="n">
        <v>4301032015</v>
      </c>
      <c r="D283" s="328" t="n">
        <v>4607091383102</v>
      </c>
      <c r="E283" s="642" t="n"/>
      <c r="F283" s="674" t="n">
        <v>0.17</v>
      </c>
      <c r="G283" s="38" t="n">
        <v>15</v>
      </c>
      <c r="H283" s="674" t="n">
        <v>2.55</v>
      </c>
      <c r="I283" s="674" t="n">
        <v>2.975</v>
      </c>
      <c r="J283" s="38" t="n">
        <v>156</v>
      </c>
      <c r="K283" s="39" t="inlineStr">
        <is>
          <t>АК</t>
        </is>
      </c>
      <c r="L283" s="38" t="n">
        <v>180</v>
      </c>
      <c r="M283" s="83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3" s="676" t="n"/>
      <c r="O283" s="676" t="n"/>
      <c r="P283" s="676" t="n"/>
      <c r="Q283" s="642" t="n"/>
      <c r="R283" s="40" t="inlineStr"/>
      <c r="S283" s="40" t="inlineStr"/>
      <c r="T283" s="41" t="inlineStr">
        <is>
          <t>кг</t>
        </is>
      </c>
      <c r="U283" s="677" t="n">
        <v>0</v>
      </c>
      <c r="V283" s="678">
        <f>IFERROR(IF(U283="",0,CEILING((U283/$H283),1)*$H283),"")</f>
        <v/>
      </c>
      <c r="W283" s="42">
        <f>IFERROR(IF(V283=0,"",ROUNDUP(V283/H283,0)*0.00753),"")</f>
        <v/>
      </c>
      <c r="X283" s="69" t="inlineStr"/>
      <c r="Y283" s="70" t="inlineStr"/>
      <c r="AC283" s="71" t="n"/>
      <c r="AZ283" s="226" t="inlineStr">
        <is>
          <t>КИ</t>
        </is>
      </c>
    </row>
    <row r="284">
      <c r="A284" s="322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9" t="n"/>
      <c r="M284" s="680" t="inlineStr">
        <is>
          <t>Итого</t>
        </is>
      </c>
      <c r="N284" s="650" t="n"/>
      <c r="O284" s="650" t="n"/>
      <c r="P284" s="650" t="n"/>
      <c r="Q284" s="650" t="n"/>
      <c r="R284" s="650" t="n"/>
      <c r="S284" s="651" t="n"/>
      <c r="T284" s="43" t="inlineStr">
        <is>
          <t>кор</t>
        </is>
      </c>
      <c r="U284" s="681">
        <f>IFERROR(U283/H283,"0")</f>
        <v/>
      </c>
      <c r="V284" s="681">
        <f>IFERROR(V283/H283,"0")</f>
        <v/>
      </c>
      <c r="W284" s="681">
        <f>IFERROR(IF(W283="",0,W283),"0")</f>
        <v/>
      </c>
      <c r="X284" s="682" t="n"/>
      <c r="Y284" s="682" t="n"/>
    </row>
    <row r="285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79" t="n"/>
      <c r="M285" s="680" t="inlineStr">
        <is>
          <t>Итого</t>
        </is>
      </c>
      <c r="N285" s="650" t="n"/>
      <c r="O285" s="650" t="n"/>
      <c r="P285" s="650" t="n"/>
      <c r="Q285" s="650" t="n"/>
      <c r="R285" s="650" t="n"/>
      <c r="S285" s="651" t="n"/>
      <c r="T285" s="43" t="inlineStr">
        <is>
          <t>кг</t>
        </is>
      </c>
      <c r="U285" s="681">
        <f>IFERROR(SUM(U283:U283),"0")</f>
        <v/>
      </c>
      <c r="V285" s="681">
        <f>IFERROR(SUM(V283:V283),"0")</f>
        <v/>
      </c>
      <c r="W285" s="43" t="n"/>
      <c r="X285" s="682" t="n"/>
      <c r="Y285" s="682" t="n"/>
    </row>
    <row r="286" ht="27.75" customHeight="1">
      <c r="A286" s="341" t="inlineStr">
        <is>
          <t>Особый рецепт</t>
        </is>
      </c>
      <c r="B286" s="673" t="n"/>
      <c r="C286" s="673" t="n"/>
      <c r="D286" s="673" t="n"/>
      <c r="E286" s="673" t="n"/>
      <c r="F286" s="673" t="n"/>
      <c r="G286" s="673" t="n"/>
      <c r="H286" s="673" t="n"/>
      <c r="I286" s="673" t="n"/>
      <c r="J286" s="673" t="n"/>
      <c r="K286" s="673" t="n"/>
      <c r="L286" s="673" t="n"/>
      <c r="M286" s="673" t="n"/>
      <c r="N286" s="673" t="n"/>
      <c r="O286" s="673" t="n"/>
      <c r="P286" s="673" t="n"/>
      <c r="Q286" s="673" t="n"/>
      <c r="R286" s="673" t="n"/>
      <c r="S286" s="673" t="n"/>
      <c r="T286" s="673" t="n"/>
      <c r="U286" s="673" t="n"/>
      <c r="V286" s="673" t="n"/>
      <c r="W286" s="673" t="n"/>
      <c r="X286" s="55" t="n"/>
      <c r="Y286" s="55" t="n"/>
    </row>
    <row r="287" ht="16.5" customHeight="1">
      <c r="A287" s="335" t="inlineStr">
        <is>
          <t>Особая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5" t="n"/>
      <c r="Y287" s="335" t="n"/>
    </row>
    <row r="288" ht="14.25" customHeight="1">
      <c r="A288" s="327" t="inlineStr">
        <is>
          <t>Вареные колбасы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27" t="n"/>
      <c r="Y288" s="327" t="n"/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8" t="n">
        <v>4607091383997</v>
      </c>
      <c r="E289" s="642" t="n"/>
      <c r="F289" s="674" t="n">
        <v>2.5</v>
      </c>
      <c r="G289" s="38" t="n">
        <v>6</v>
      </c>
      <c r="H289" s="674" t="n">
        <v>15</v>
      </c>
      <c r="I289" s="674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6" t="n"/>
      <c r="O289" s="676" t="n"/>
      <c r="P289" s="676" t="n"/>
      <c r="Q289" s="642" t="n"/>
      <c r="R289" s="40" t="inlineStr"/>
      <c r="S289" s="40" t="inlineStr"/>
      <c r="T289" s="41" t="inlineStr">
        <is>
          <t>кг</t>
        </is>
      </c>
      <c r="U289" s="677" t="n">
        <v>0</v>
      </c>
      <c r="V289" s="678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SU000251</t>
        </is>
      </c>
      <c r="B290" s="64" t="inlineStr">
        <is>
          <t>P002584</t>
        </is>
      </c>
      <c r="C290" s="37" t="n">
        <v>4301011339</v>
      </c>
      <c r="D290" s="328" t="n">
        <v>4607091383997</v>
      </c>
      <c r="E290" s="642" t="n"/>
      <c r="F290" s="674" t="n">
        <v>2.5</v>
      </c>
      <c r="G290" s="38" t="n">
        <v>6</v>
      </c>
      <c r="H290" s="674" t="n">
        <v>15</v>
      </c>
      <c r="I290" s="674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90" s="676" t="n"/>
      <c r="O290" s="676" t="n"/>
      <c r="P290" s="676" t="n"/>
      <c r="Q290" s="642" t="n"/>
      <c r="R290" s="40" t="inlineStr"/>
      <c r="S290" s="40" t="inlineStr"/>
      <c r="T290" s="41" t="inlineStr">
        <is>
          <t>кг</t>
        </is>
      </c>
      <c r="U290" s="677" t="n">
        <v>6500</v>
      </c>
      <c r="V290" s="678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P002562</t>
        </is>
      </c>
      <c r="C291" s="37" t="n">
        <v>4301011326</v>
      </c>
      <c r="D291" s="328" t="n">
        <v>4607091384130</v>
      </c>
      <c r="E291" s="642" t="n"/>
      <c r="F291" s="674" t="n">
        <v>2.5</v>
      </c>
      <c r="G291" s="38" t="n">
        <v>6</v>
      </c>
      <c r="H291" s="674" t="n">
        <v>15</v>
      </c>
      <c r="I291" s="674" t="n">
        <v>15.48</v>
      </c>
      <c r="J291" s="38" t="n">
        <v>48</v>
      </c>
      <c r="K291" s="39" t="inlineStr">
        <is>
          <t>СК2</t>
        </is>
      </c>
      <c r="L291" s="38" t="n">
        <v>60</v>
      </c>
      <c r="M291" s="83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1" s="676" t="n"/>
      <c r="O291" s="676" t="n"/>
      <c r="P291" s="676" t="n"/>
      <c r="Q291" s="642" t="n"/>
      <c r="R291" s="40" t="inlineStr"/>
      <c r="S291" s="40" t="inlineStr"/>
      <c r="T291" s="41" t="inlineStr">
        <is>
          <t>кг</t>
        </is>
      </c>
      <c r="U291" s="677" t="n">
        <v>500</v>
      </c>
      <c r="V291" s="678">
        <f>IFERROR(IF(U291="",0,CEILING((U291/$H291),1)*$H291),"")</f>
        <v/>
      </c>
      <c r="W291" s="42">
        <f>IFERROR(IF(V291=0,"",ROUNDUP(V291/H291,0)*0.02175),"")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27" customHeight="1">
      <c r="A292" s="64" t="inlineStr">
        <is>
          <t>SU001578</t>
        </is>
      </c>
      <c r="B292" s="64" t="inlineStr">
        <is>
          <t>P002582</t>
        </is>
      </c>
      <c r="C292" s="37" t="n">
        <v>4301011240</v>
      </c>
      <c r="D292" s="328" t="n">
        <v>4607091384130</v>
      </c>
      <c r="E292" s="642" t="n"/>
      <c r="F292" s="674" t="n">
        <v>2.5</v>
      </c>
      <c r="G292" s="38" t="n">
        <v>6</v>
      </c>
      <c r="H292" s="674" t="n">
        <v>15</v>
      </c>
      <c r="I292" s="674" t="n">
        <v>15.48</v>
      </c>
      <c r="J292" s="38" t="n">
        <v>48</v>
      </c>
      <c r="K292" s="39" t="inlineStr">
        <is>
          <t>ВЗ</t>
        </is>
      </c>
      <c r="L292" s="38" t="n">
        <v>60</v>
      </c>
      <c r="M292" s="83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2" s="676" t="n"/>
      <c r="O292" s="676" t="n"/>
      <c r="P292" s="676" t="n"/>
      <c r="Q292" s="642" t="n"/>
      <c r="R292" s="40" t="inlineStr"/>
      <c r="S292" s="40" t="inlineStr"/>
      <c r="T292" s="41" t="inlineStr">
        <is>
          <t>кг</t>
        </is>
      </c>
      <c r="U292" s="677" t="n">
        <v>0</v>
      </c>
      <c r="V292" s="678">
        <f>IFERROR(IF(U292="",0,CEILING((U292/$H292),1)*$H292),"")</f>
        <v/>
      </c>
      <c r="W292" s="42">
        <f>IFERROR(IF(V292=0,"",ROUNDUP(V292/H292,0)*0.02039),"")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P002564</t>
        </is>
      </c>
      <c r="C293" s="37" t="n">
        <v>4301011330</v>
      </c>
      <c r="D293" s="328" t="n">
        <v>4607091384147</v>
      </c>
      <c r="E293" s="642" t="n"/>
      <c r="F293" s="674" t="n">
        <v>2.5</v>
      </c>
      <c r="G293" s="38" t="n">
        <v>6</v>
      </c>
      <c r="H293" s="674" t="n">
        <v>15</v>
      </c>
      <c r="I293" s="674" t="n">
        <v>15.48</v>
      </c>
      <c r="J293" s="38" t="n">
        <v>48</v>
      </c>
      <c r="K293" s="39" t="inlineStr">
        <is>
          <t>СК2</t>
        </is>
      </c>
      <c r="L293" s="38" t="n">
        <v>60</v>
      </c>
      <c r="M293" s="84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3" s="676" t="n"/>
      <c r="O293" s="676" t="n"/>
      <c r="P293" s="676" t="n"/>
      <c r="Q293" s="642" t="n"/>
      <c r="R293" s="40" t="inlineStr"/>
      <c r="S293" s="40" t="inlineStr"/>
      <c r="T293" s="41" t="inlineStr">
        <is>
          <t>кг</t>
        </is>
      </c>
      <c r="U293" s="677" t="n">
        <v>1000</v>
      </c>
      <c r="V293" s="67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16.5" customHeight="1">
      <c r="A294" s="64" t="inlineStr">
        <is>
          <t>SU000102</t>
        </is>
      </c>
      <c r="B294" s="64" t="inlineStr">
        <is>
          <t>P002580</t>
        </is>
      </c>
      <c r="C294" s="37" t="n">
        <v>4301011238</v>
      </c>
      <c r="D294" s="328" t="n">
        <v>4607091384147</v>
      </c>
      <c r="E294" s="642" t="n"/>
      <c r="F294" s="674" t="n">
        <v>2.5</v>
      </c>
      <c r="G294" s="38" t="n">
        <v>6</v>
      </c>
      <c r="H294" s="674" t="n">
        <v>15</v>
      </c>
      <c r="I294" s="674" t="n">
        <v>15.48</v>
      </c>
      <c r="J294" s="38" t="n">
        <v>48</v>
      </c>
      <c r="K294" s="39" t="inlineStr">
        <is>
          <t>ВЗ</t>
        </is>
      </c>
      <c r="L294" s="38" t="n">
        <v>60</v>
      </c>
      <c r="M294" s="841" t="inlineStr">
        <is>
          <t>Вареные колбасы Особая Особая Весовые П/а Особый рецепт</t>
        </is>
      </c>
      <c r="N294" s="676" t="n"/>
      <c r="O294" s="676" t="n"/>
      <c r="P294" s="676" t="n"/>
      <c r="Q294" s="642" t="n"/>
      <c r="R294" s="40" t="inlineStr"/>
      <c r="S294" s="40" t="inlineStr"/>
      <c r="T294" s="41" t="inlineStr">
        <is>
          <t>кг</t>
        </is>
      </c>
      <c r="U294" s="677" t="n">
        <v>0</v>
      </c>
      <c r="V294" s="678">
        <f>IFERROR(IF(U294="",0,CEILING((U294/$H294),1)*$H294),"")</f>
        <v/>
      </c>
      <c r="W294" s="42">
        <f>IFERROR(IF(V294=0,"",ROUNDUP(V294/H294,0)*0.02039),"")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SU001989</t>
        </is>
      </c>
      <c r="B295" s="64" t="inlineStr">
        <is>
          <t>P002560</t>
        </is>
      </c>
      <c r="C295" s="37" t="n">
        <v>4301011327</v>
      </c>
      <c r="D295" s="328" t="n">
        <v>4607091384154</v>
      </c>
      <c r="E295" s="642" t="n"/>
      <c r="F295" s="674" t="n">
        <v>0.5</v>
      </c>
      <c r="G295" s="38" t="n">
        <v>10</v>
      </c>
      <c r="H295" s="674" t="n">
        <v>5</v>
      </c>
      <c r="I295" s="674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4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5" s="676" t="n"/>
      <c r="O295" s="676" t="n"/>
      <c r="P295" s="676" t="n"/>
      <c r="Q295" s="642" t="n"/>
      <c r="R295" s="40" t="inlineStr"/>
      <c r="S295" s="40" t="inlineStr"/>
      <c r="T295" s="41" t="inlineStr">
        <is>
          <t>кг</t>
        </is>
      </c>
      <c r="U295" s="677" t="n">
        <v>0</v>
      </c>
      <c r="V295" s="678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SU000256</t>
        </is>
      </c>
      <c r="B296" s="64" t="inlineStr">
        <is>
          <t>P002565</t>
        </is>
      </c>
      <c r="C296" s="37" t="n">
        <v>4301011332</v>
      </c>
      <c r="D296" s="328" t="n">
        <v>4607091384161</v>
      </c>
      <c r="E296" s="642" t="n"/>
      <c r="F296" s="674" t="n">
        <v>0.5</v>
      </c>
      <c r="G296" s="38" t="n">
        <v>10</v>
      </c>
      <c r="H296" s="674" t="n">
        <v>5</v>
      </c>
      <c r="I296" s="674" t="n">
        <v>5.21</v>
      </c>
      <c r="J296" s="38" t="n">
        <v>120</v>
      </c>
      <c r="K296" s="39" t="inlineStr">
        <is>
          <t>СК2</t>
        </is>
      </c>
      <c r="L296" s="38" t="n">
        <v>60</v>
      </c>
      <c r="M296" s="84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6" s="676" t="n"/>
      <c r="O296" s="676" t="n"/>
      <c r="P296" s="676" t="n"/>
      <c r="Q296" s="642" t="n"/>
      <c r="R296" s="40" t="inlineStr"/>
      <c r="S296" s="40" t="inlineStr"/>
      <c r="T296" s="41" t="inlineStr">
        <is>
          <t>кг</t>
        </is>
      </c>
      <c r="U296" s="677" t="n">
        <v>0</v>
      </c>
      <c r="V296" s="67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9" t="n"/>
      <c r="M297" s="680" t="inlineStr">
        <is>
          <t>Итого</t>
        </is>
      </c>
      <c r="N297" s="650" t="n"/>
      <c r="O297" s="650" t="n"/>
      <c r="P297" s="650" t="n"/>
      <c r="Q297" s="650" t="n"/>
      <c r="R297" s="650" t="n"/>
      <c r="S297" s="651" t="n"/>
      <c r="T297" s="43" t="inlineStr">
        <is>
          <t>кор</t>
        </is>
      </c>
      <c r="U297" s="681">
        <f>IFERROR(U289/H289,"0")+IFERROR(U290/H290,"0")+IFERROR(U291/H291,"0")+IFERROR(U292/H292,"0")+IFERROR(U293/H293,"0")+IFERROR(U294/H294,"0")+IFERROR(U295/H295,"0")+IFERROR(U296/H296,"0")</f>
        <v/>
      </c>
      <c r="V297" s="681">
        <f>IFERROR(V289/H289,"0")+IFERROR(V290/H290,"0")+IFERROR(V291/H291,"0")+IFERROR(V292/H292,"0")+IFERROR(V293/H293,"0")+IFERROR(V294/H294,"0")+IFERROR(V295/H295,"0")+IFERROR(V296/H296,"0")</f>
        <v/>
      </c>
      <c r="W297" s="681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/>
      </c>
      <c r="X297" s="682" t="n"/>
      <c r="Y297" s="68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9" t="n"/>
      <c r="M298" s="680" t="inlineStr">
        <is>
          <t>Итого</t>
        </is>
      </c>
      <c r="N298" s="650" t="n"/>
      <c r="O298" s="650" t="n"/>
      <c r="P298" s="650" t="n"/>
      <c r="Q298" s="650" t="n"/>
      <c r="R298" s="650" t="n"/>
      <c r="S298" s="651" t="n"/>
      <c r="T298" s="43" t="inlineStr">
        <is>
          <t>кг</t>
        </is>
      </c>
      <c r="U298" s="681">
        <f>IFERROR(SUM(U289:U296),"0")</f>
        <v/>
      </c>
      <c r="V298" s="681">
        <f>IFERROR(SUM(V289:V296),"0")</f>
        <v/>
      </c>
      <c r="W298" s="43" t="n"/>
      <c r="X298" s="682" t="n"/>
      <c r="Y298" s="682" t="n"/>
    </row>
    <row r="299" ht="14.25" customHeight="1">
      <c r="A299" s="327" t="inlineStr">
        <is>
          <t>Ветчины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27" t="n"/>
      <c r="Y299" s="327" t="n"/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28" t="n">
        <v>4607091383980</v>
      </c>
      <c r="E300" s="642" t="n"/>
      <c r="F300" s="674" t="n">
        <v>2.5</v>
      </c>
      <c r="G300" s="38" t="n">
        <v>6</v>
      </c>
      <c r="H300" s="674" t="n">
        <v>15</v>
      </c>
      <c r="I300" s="674" t="n">
        <v>15.48</v>
      </c>
      <c r="J300" s="38" t="n">
        <v>48</v>
      </c>
      <c r="K300" s="39" t="inlineStr">
        <is>
          <t>СК1</t>
        </is>
      </c>
      <c r="L300" s="38" t="n">
        <v>50</v>
      </c>
      <c r="M300" s="84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300" s="676" t="n"/>
      <c r="O300" s="676" t="n"/>
      <c r="P300" s="676" t="n"/>
      <c r="Q300" s="642" t="n"/>
      <c r="R300" s="40" t="inlineStr"/>
      <c r="S300" s="40" t="inlineStr"/>
      <c r="T300" s="41" t="inlineStr">
        <is>
          <t>кг</t>
        </is>
      </c>
      <c r="U300" s="677" t="n">
        <v>1000</v>
      </c>
      <c r="V300" s="678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28" t="n">
        <v>4607091384178</v>
      </c>
      <c r="E301" s="642" t="n"/>
      <c r="F301" s="674" t="n">
        <v>0.4</v>
      </c>
      <c r="G301" s="38" t="n">
        <v>10</v>
      </c>
      <c r="H301" s="674" t="n">
        <v>4</v>
      </c>
      <c r="I301" s="674" t="n">
        <v>4.24</v>
      </c>
      <c r="J301" s="38" t="n">
        <v>120</v>
      </c>
      <c r="K301" s="39" t="inlineStr">
        <is>
          <t>СК1</t>
        </is>
      </c>
      <c r="L301" s="38" t="n">
        <v>50</v>
      </c>
      <c r="M301" s="84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1" s="676" t="n"/>
      <c r="O301" s="676" t="n"/>
      <c r="P301" s="676" t="n"/>
      <c r="Q301" s="642" t="n"/>
      <c r="R301" s="40" t="inlineStr"/>
      <c r="S301" s="40" t="inlineStr"/>
      <c r="T301" s="41" t="inlineStr">
        <is>
          <t>кг</t>
        </is>
      </c>
      <c r="U301" s="677" t="n">
        <v>0</v>
      </c>
      <c r="V301" s="678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2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9" t="n"/>
      <c r="M302" s="680" t="inlineStr">
        <is>
          <t>Итого</t>
        </is>
      </c>
      <c r="N302" s="650" t="n"/>
      <c r="O302" s="650" t="n"/>
      <c r="P302" s="650" t="n"/>
      <c r="Q302" s="650" t="n"/>
      <c r="R302" s="650" t="n"/>
      <c r="S302" s="651" t="n"/>
      <c r="T302" s="43" t="inlineStr">
        <is>
          <t>кор</t>
        </is>
      </c>
      <c r="U302" s="681">
        <f>IFERROR(U300/H300,"0")+IFERROR(U301/H301,"0")</f>
        <v/>
      </c>
      <c r="V302" s="681">
        <f>IFERROR(V300/H300,"0")+IFERROR(V301/H301,"0")</f>
        <v/>
      </c>
      <c r="W302" s="681">
        <f>IFERROR(IF(W300="",0,W300),"0")+IFERROR(IF(W301="",0,W301),"0")</f>
        <v/>
      </c>
      <c r="X302" s="682" t="n"/>
      <c r="Y302" s="68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9" t="n"/>
      <c r="M303" s="680" t="inlineStr">
        <is>
          <t>Итого</t>
        </is>
      </c>
      <c r="N303" s="650" t="n"/>
      <c r="O303" s="650" t="n"/>
      <c r="P303" s="650" t="n"/>
      <c r="Q303" s="650" t="n"/>
      <c r="R303" s="650" t="n"/>
      <c r="S303" s="651" t="n"/>
      <c r="T303" s="43" t="inlineStr">
        <is>
          <t>кг</t>
        </is>
      </c>
      <c r="U303" s="681">
        <f>IFERROR(SUM(U300:U301),"0")</f>
        <v/>
      </c>
      <c r="V303" s="681">
        <f>IFERROR(SUM(V300:V301),"0")</f>
        <v/>
      </c>
      <c r="W303" s="43" t="n"/>
      <c r="X303" s="682" t="n"/>
      <c r="Y303" s="682" t="n"/>
    </row>
    <row r="304" ht="14.25" customHeight="1">
      <c r="A304" s="327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7" t="n"/>
      <c r="Y304" s="327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28" t="n">
        <v>4607091384260</v>
      </c>
      <c r="E305" s="642" t="n"/>
      <c r="F305" s="674" t="n">
        <v>1.3</v>
      </c>
      <c r="G305" s="38" t="n">
        <v>6</v>
      </c>
      <c r="H305" s="674" t="n">
        <v>7.8</v>
      </c>
      <c r="I305" s="674" t="n">
        <v>8.364000000000001</v>
      </c>
      <c r="J305" s="38" t="n">
        <v>56</v>
      </c>
      <c r="K305" s="39" t="inlineStr">
        <is>
          <t>СК2</t>
        </is>
      </c>
      <c r="L305" s="38" t="n">
        <v>35</v>
      </c>
      <c r="M305" s="84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5" s="676" t="n"/>
      <c r="O305" s="676" t="n"/>
      <c r="P305" s="676" t="n"/>
      <c r="Q305" s="642" t="n"/>
      <c r="R305" s="40" t="inlineStr"/>
      <c r="S305" s="40" t="inlineStr"/>
      <c r="T305" s="41" t="inlineStr">
        <is>
          <t>кг</t>
        </is>
      </c>
      <c r="U305" s="677" t="n">
        <v>0</v>
      </c>
      <c r="V305" s="67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2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9" t="n"/>
      <c r="M306" s="680" t="inlineStr">
        <is>
          <t>Итого</t>
        </is>
      </c>
      <c r="N306" s="650" t="n"/>
      <c r="O306" s="650" t="n"/>
      <c r="P306" s="650" t="n"/>
      <c r="Q306" s="650" t="n"/>
      <c r="R306" s="650" t="n"/>
      <c r="S306" s="651" t="n"/>
      <c r="T306" s="43" t="inlineStr">
        <is>
          <t>кор</t>
        </is>
      </c>
      <c r="U306" s="681">
        <f>IFERROR(U305/H305,"0")</f>
        <v/>
      </c>
      <c r="V306" s="681">
        <f>IFERROR(V305/H305,"0")</f>
        <v/>
      </c>
      <c r="W306" s="681">
        <f>IFERROR(IF(W305="",0,W305),"0")</f>
        <v/>
      </c>
      <c r="X306" s="682" t="n"/>
      <c r="Y306" s="682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9" t="n"/>
      <c r="M307" s="680" t="inlineStr">
        <is>
          <t>Итого</t>
        </is>
      </c>
      <c r="N307" s="650" t="n"/>
      <c r="O307" s="650" t="n"/>
      <c r="P307" s="650" t="n"/>
      <c r="Q307" s="650" t="n"/>
      <c r="R307" s="650" t="n"/>
      <c r="S307" s="651" t="n"/>
      <c r="T307" s="43" t="inlineStr">
        <is>
          <t>кг</t>
        </is>
      </c>
      <c r="U307" s="681">
        <f>IFERROR(SUM(U305:U305),"0")</f>
        <v/>
      </c>
      <c r="V307" s="681">
        <f>IFERROR(SUM(V305:V305),"0")</f>
        <v/>
      </c>
      <c r="W307" s="43" t="n"/>
      <c r="X307" s="682" t="n"/>
      <c r="Y307" s="682" t="n"/>
    </row>
    <row r="308" ht="14.25" customHeight="1">
      <c r="A308" s="327" t="inlineStr">
        <is>
          <t>Сардельки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7" t="n"/>
      <c r="Y308" s="327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28" t="n">
        <v>4607091384673</v>
      </c>
      <c r="E309" s="642" t="n"/>
      <c r="F309" s="674" t="n">
        <v>1.3</v>
      </c>
      <c r="G309" s="38" t="n">
        <v>6</v>
      </c>
      <c r="H309" s="674" t="n">
        <v>7.8</v>
      </c>
      <c r="I309" s="674" t="n">
        <v>8.364000000000001</v>
      </c>
      <c r="J309" s="38" t="n">
        <v>56</v>
      </c>
      <c r="K309" s="39" t="inlineStr">
        <is>
          <t>СК2</t>
        </is>
      </c>
      <c r="L309" s="38" t="n">
        <v>30</v>
      </c>
      <c r="M309" s="84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9" s="676" t="n"/>
      <c r="O309" s="676" t="n"/>
      <c r="P309" s="676" t="n"/>
      <c r="Q309" s="642" t="n"/>
      <c r="R309" s="40" t="inlineStr"/>
      <c r="S309" s="40" t="inlineStr"/>
      <c r="T309" s="41" t="inlineStr">
        <is>
          <t>кг</t>
        </is>
      </c>
      <c r="U309" s="677" t="n">
        <v>0</v>
      </c>
      <c r="V309" s="678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8" t="inlineStr">
        <is>
          <t>КИ</t>
        </is>
      </c>
    </row>
    <row r="310">
      <c r="A310" s="322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9" t="n"/>
      <c r="M310" s="680" t="inlineStr">
        <is>
          <t>Итого</t>
        </is>
      </c>
      <c r="N310" s="650" t="n"/>
      <c r="O310" s="650" t="n"/>
      <c r="P310" s="650" t="n"/>
      <c r="Q310" s="650" t="n"/>
      <c r="R310" s="650" t="n"/>
      <c r="S310" s="651" t="n"/>
      <c r="T310" s="43" t="inlineStr">
        <is>
          <t>кор</t>
        </is>
      </c>
      <c r="U310" s="681">
        <f>IFERROR(U309/H309,"0")</f>
        <v/>
      </c>
      <c r="V310" s="681">
        <f>IFERROR(V309/H309,"0")</f>
        <v/>
      </c>
      <c r="W310" s="681">
        <f>IFERROR(IF(W309="",0,W309),"0")</f>
        <v/>
      </c>
      <c r="X310" s="682" t="n"/>
      <c r="Y310" s="682" t="n"/>
    </row>
    <row r="311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679" t="n"/>
      <c r="M311" s="680" t="inlineStr">
        <is>
          <t>Итого</t>
        </is>
      </c>
      <c r="N311" s="650" t="n"/>
      <c r="O311" s="650" t="n"/>
      <c r="P311" s="650" t="n"/>
      <c r="Q311" s="650" t="n"/>
      <c r="R311" s="650" t="n"/>
      <c r="S311" s="651" t="n"/>
      <c r="T311" s="43" t="inlineStr">
        <is>
          <t>кг</t>
        </is>
      </c>
      <c r="U311" s="681">
        <f>IFERROR(SUM(U309:U309),"0")</f>
        <v/>
      </c>
      <c r="V311" s="681">
        <f>IFERROR(SUM(V309:V309),"0")</f>
        <v/>
      </c>
      <c r="W311" s="43" t="n"/>
      <c r="X311" s="682" t="n"/>
      <c r="Y311" s="682" t="n"/>
    </row>
    <row r="312" ht="16.5" customHeight="1">
      <c r="A312" s="335" t="inlineStr">
        <is>
          <t>Особая Без свинины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5" t="n"/>
      <c r="Y312" s="335" t="n"/>
    </row>
    <row r="313" ht="14.25" customHeight="1">
      <c r="A313" s="327" t="inlineStr">
        <is>
          <t>Вареные колбасы</t>
        </is>
      </c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327" t="n"/>
      <c r="Y313" s="327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28" t="n">
        <v>4607091384185</v>
      </c>
      <c r="E314" s="642" t="n"/>
      <c r="F314" s="674" t="n">
        <v>0.8</v>
      </c>
      <c r="G314" s="38" t="n">
        <v>15</v>
      </c>
      <c r="H314" s="674" t="n">
        <v>12</v>
      </c>
      <c r="I314" s="674" t="n">
        <v>12.48</v>
      </c>
      <c r="J314" s="38" t="n">
        <v>56</v>
      </c>
      <c r="K314" s="39" t="inlineStr">
        <is>
          <t>СК2</t>
        </is>
      </c>
      <c r="L314" s="38" t="n">
        <v>60</v>
      </c>
      <c r="M314" s="84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4" s="676" t="n"/>
      <c r="O314" s="676" t="n"/>
      <c r="P314" s="676" t="n"/>
      <c r="Q314" s="642" t="n"/>
      <c r="R314" s="40" t="inlineStr"/>
      <c r="S314" s="40" t="inlineStr"/>
      <c r="T314" s="41" t="inlineStr">
        <is>
          <t>кг</t>
        </is>
      </c>
      <c r="U314" s="677" t="n">
        <v>0</v>
      </c>
      <c r="V314" s="678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28" t="n">
        <v>4607091384192</v>
      </c>
      <c r="E315" s="642" t="n"/>
      <c r="F315" s="674" t="n">
        <v>1.8</v>
      </c>
      <c r="G315" s="38" t="n">
        <v>6</v>
      </c>
      <c r="H315" s="674" t="n">
        <v>10.8</v>
      </c>
      <c r="I315" s="674" t="n">
        <v>11.28</v>
      </c>
      <c r="J315" s="38" t="n">
        <v>56</v>
      </c>
      <c r="K315" s="39" t="inlineStr">
        <is>
          <t>СК1</t>
        </is>
      </c>
      <c r="L315" s="38" t="n">
        <v>60</v>
      </c>
      <c r="M315" s="84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5" s="676" t="n"/>
      <c r="O315" s="676" t="n"/>
      <c r="P315" s="676" t="n"/>
      <c r="Q315" s="642" t="n"/>
      <c r="R315" s="40" t="inlineStr"/>
      <c r="S315" s="40" t="inlineStr"/>
      <c r="T315" s="41" t="inlineStr">
        <is>
          <t>кг</t>
        </is>
      </c>
      <c r="U315" s="677" t="n">
        <v>0</v>
      </c>
      <c r="V315" s="678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28" t="n">
        <v>4680115881907</v>
      </c>
      <c r="E316" s="642" t="n"/>
      <c r="F316" s="674" t="n">
        <v>1.8</v>
      </c>
      <c r="G316" s="38" t="n">
        <v>6</v>
      </c>
      <c r="H316" s="674" t="n">
        <v>10.8</v>
      </c>
      <c r="I316" s="674" t="n">
        <v>11.28</v>
      </c>
      <c r="J316" s="38" t="n">
        <v>56</v>
      </c>
      <c r="K316" s="39" t="inlineStr">
        <is>
          <t>СК2</t>
        </is>
      </c>
      <c r="L316" s="38" t="n">
        <v>60</v>
      </c>
      <c r="M316" s="85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6" s="676" t="n"/>
      <c r="O316" s="676" t="n"/>
      <c r="P316" s="676" t="n"/>
      <c r="Q316" s="642" t="n"/>
      <c r="R316" s="40" t="inlineStr"/>
      <c r="S316" s="40" t="inlineStr"/>
      <c r="T316" s="41" t="inlineStr">
        <is>
          <t>кг</t>
        </is>
      </c>
      <c r="U316" s="677" t="n">
        <v>0</v>
      </c>
      <c r="V316" s="678">
        <f>IFERROR(IF(U316="",0,CEILING((U316/$H316),1)*$H316),"")</f>
        <v/>
      </c>
      <c r="W316" s="42">
        <f>IFERROR(IF(V316=0,"",ROUNDUP(V316/H316,0)*0.02175),"")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28" t="n">
        <v>4607091384680</v>
      </c>
      <c r="E317" s="642" t="n"/>
      <c r="F317" s="674" t="n">
        <v>0.4</v>
      </c>
      <c r="G317" s="38" t="n">
        <v>10</v>
      </c>
      <c r="H317" s="674" t="n">
        <v>4</v>
      </c>
      <c r="I317" s="674" t="n">
        <v>4.21</v>
      </c>
      <c r="J317" s="38" t="n">
        <v>120</v>
      </c>
      <c r="K317" s="39" t="inlineStr">
        <is>
          <t>СК2</t>
        </is>
      </c>
      <c r="L317" s="38" t="n">
        <v>60</v>
      </c>
      <c r="M317" s="85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7" s="676" t="n"/>
      <c r="O317" s="676" t="n"/>
      <c r="P317" s="676" t="n"/>
      <c r="Q317" s="642" t="n"/>
      <c r="R317" s="40" t="inlineStr"/>
      <c r="S317" s="40" t="inlineStr"/>
      <c r="T317" s="41" t="inlineStr">
        <is>
          <t>кг</t>
        </is>
      </c>
      <c r="U317" s="677" t="n">
        <v>0</v>
      </c>
      <c r="V317" s="678">
        <f>IFERROR(IF(U317="",0,CEILING((U317/$H317),1)*$H317),"")</f>
        <v/>
      </c>
      <c r="W317" s="42">
        <f>IFERROR(IF(V317=0,"",ROUNDUP(V317/H317,0)*0.00937),"")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9" t="n"/>
      <c r="M318" s="680" t="inlineStr">
        <is>
          <t>Итого</t>
        </is>
      </c>
      <c r="N318" s="650" t="n"/>
      <c r="O318" s="650" t="n"/>
      <c r="P318" s="650" t="n"/>
      <c r="Q318" s="650" t="n"/>
      <c r="R318" s="650" t="n"/>
      <c r="S318" s="651" t="n"/>
      <c r="T318" s="43" t="inlineStr">
        <is>
          <t>кор</t>
        </is>
      </c>
      <c r="U318" s="681">
        <f>IFERROR(U314/H314,"0")+IFERROR(U315/H315,"0")+IFERROR(U316/H316,"0")+IFERROR(U317/H317,"0")</f>
        <v/>
      </c>
      <c r="V318" s="681">
        <f>IFERROR(V314/H314,"0")+IFERROR(V315/H315,"0")+IFERROR(V316/H316,"0")+IFERROR(V317/H317,"0")</f>
        <v/>
      </c>
      <c r="W318" s="681">
        <f>IFERROR(IF(W314="",0,W314),"0")+IFERROR(IF(W315="",0,W315),"0")+IFERROR(IF(W316="",0,W316),"0")+IFERROR(IF(W317="",0,W317),"0")</f>
        <v/>
      </c>
      <c r="X318" s="682" t="n"/>
      <c r="Y318" s="682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9" t="n"/>
      <c r="M319" s="680" t="inlineStr">
        <is>
          <t>Итого</t>
        </is>
      </c>
      <c r="N319" s="650" t="n"/>
      <c r="O319" s="650" t="n"/>
      <c r="P319" s="650" t="n"/>
      <c r="Q319" s="650" t="n"/>
      <c r="R319" s="650" t="n"/>
      <c r="S319" s="651" t="n"/>
      <c r="T319" s="43" t="inlineStr">
        <is>
          <t>кг</t>
        </is>
      </c>
      <c r="U319" s="681">
        <f>IFERROR(SUM(U314:U317),"0")</f>
        <v/>
      </c>
      <c r="V319" s="681">
        <f>IFERROR(SUM(V314:V317),"0")</f>
        <v/>
      </c>
      <c r="W319" s="43" t="n"/>
      <c r="X319" s="682" t="n"/>
      <c r="Y319" s="682" t="n"/>
    </row>
    <row r="320" ht="14.25" customHeight="1">
      <c r="A320" s="327" t="inlineStr">
        <is>
          <t>Копченые колбасы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27" t="n"/>
      <c r="Y320" s="327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28" t="n">
        <v>4607091384802</v>
      </c>
      <c r="E321" s="642" t="n"/>
      <c r="F321" s="674" t="n">
        <v>0.73</v>
      </c>
      <c r="G321" s="38" t="n">
        <v>6</v>
      </c>
      <c r="H321" s="674" t="n">
        <v>4.38</v>
      </c>
      <c r="I321" s="674" t="n">
        <v>4.58</v>
      </c>
      <c r="J321" s="38" t="n">
        <v>156</v>
      </c>
      <c r="K321" s="39" t="inlineStr">
        <is>
          <t>СК2</t>
        </is>
      </c>
      <c r="L321" s="38" t="n">
        <v>35</v>
      </c>
      <c r="M321" s="85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1" s="676" t="n"/>
      <c r="O321" s="676" t="n"/>
      <c r="P321" s="676" t="n"/>
      <c r="Q321" s="642" t="n"/>
      <c r="R321" s="40" t="inlineStr"/>
      <c r="S321" s="40" t="inlineStr"/>
      <c r="T321" s="41" t="inlineStr">
        <is>
          <t>кг</t>
        </is>
      </c>
      <c r="U321" s="677" t="n">
        <v>0</v>
      </c>
      <c r="V321" s="678">
        <f>IFERROR(IF(U321="",0,CEILING((U321/$H321),1)*$H321),"")</f>
        <v/>
      </c>
      <c r="W321" s="42">
        <f>IFERROR(IF(V321=0,"",ROUNDUP(V321/H321,0)*0.00753),"")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28" t="n">
        <v>4607091384826</v>
      </c>
      <c r="E322" s="642" t="n"/>
      <c r="F322" s="674" t="n">
        <v>0.35</v>
      </c>
      <c r="G322" s="38" t="n">
        <v>8</v>
      </c>
      <c r="H322" s="674" t="n">
        <v>2.8</v>
      </c>
      <c r="I322" s="674" t="n">
        <v>2.9</v>
      </c>
      <c r="J322" s="38" t="n">
        <v>234</v>
      </c>
      <c r="K322" s="39" t="inlineStr">
        <is>
          <t>СК2</t>
        </is>
      </c>
      <c r="L322" s="38" t="n">
        <v>35</v>
      </c>
      <c r="M322" s="85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2" s="676" t="n"/>
      <c r="O322" s="676" t="n"/>
      <c r="P322" s="676" t="n"/>
      <c r="Q322" s="642" t="n"/>
      <c r="R322" s="40" t="inlineStr"/>
      <c r="S322" s="40" t="inlineStr"/>
      <c r="T322" s="41" t="inlineStr">
        <is>
          <t>кг</t>
        </is>
      </c>
      <c r="U322" s="677" t="n">
        <v>0</v>
      </c>
      <c r="V322" s="678">
        <f>IFERROR(IF(U322="",0,CEILING((U322/$H322),1)*$H322),"")</f>
        <v/>
      </c>
      <c r="W322" s="42">
        <f>IFERROR(IF(V322=0,"",ROUNDUP(V322/H322,0)*0.00502),"")</f>
        <v/>
      </c>
      <c r="X322" s="69" t="inlineStr"/>
      <c r="Y322" s="70" t="inlineStr"/>
      <c r="AC322" s="71" t="n"/>
      <c r="AZ322" s="244" t="inlineStr">
        <is>
          <t>КИ</t>
        </is>
      </c>
    </row>
    <row r="323">
      <c r="A323" s="322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9" t="n"/>
      <c r="M323" s="680" t="inlineStr">
        <is>
          <t>Итого</t>
        </is>
      </c>
      <c r="N323" s="650" t="n"/>
      <c r="O323" s="650" t="n"/>
      <c r="P323" s="650" t="n"/>
      <c r="Q323" s="650" t="n"/>
      <c r="R323" s="650" t="n"/>
      <c r="S323" s="651" t="n"/>
      <c r="T323" s="43" t="inlineStr">
        <is>
          <t>кор</t>
        </is>
      </c>
      <c r="U323" s="681">
        <f>IFERROR(U321/H321,"0")+IFERROR(U322/H322,"0")</f>
        <v/>
      </c>
      <c r="V323" s="681">
        <f>IFERROR(V321/H321,"0")+IFERROR(V322/H322,"0")</f>
        <v/>
      </c>
      <c r="W323" s="681">
        <f>IFERROR(IF(W321="",0,W321),"0")+IFERROR(IF(W322="",0,W322),"0")</f>
        <v/>
      </c>
      <c r="X323" s="682" t="n"/>
      <c r="Y323" s="682" t="n"/>
    </row>
    <row r="324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679" t="n"/>
      <c r="M324" s="680" t="inlineStr">
        <is>
          <t>Итого</t>
        </is>
      </c>
      <c r="N324" s="650" t="n"/>
      <c r="O324" s="650" t="n"/>
      <c r="P324" s="650" t="n"/>
      <c r="Q324" s="650" t="n"/>
      <c r="R324" s="650" t="n"/>
      <c r="S324" s="651" t="n"/>
      <c r="T324" s="43" t="inlineStr">
        <is>
          <t>кг</t>
        </is>
      </c>
      <c r="U324" s="681">
        <f>IFERROR(SUM(U321:U322),"0")</f>
        <v/>
      </c>
      <c r="V324" s="681">
        <f>IFERROR(SUM(V321:V322),"0")</f>
        <v/>
      </c>
      <c r="W324" s="43" t="n"/>
      <c r="X324" s="682" t="n"/>
      <c r="Y324" s="682" t="n"/>
    </row>
    <row r="325" ht="14.25" customHeight="1">
      <c r="A325" s="327" t="inlineStr">
        <is>
          <t>Сосиски</t>
        </is>
      </c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327" t="n"/>
      <c r="Y325" s="327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28" t="n">
        <v>4607091384246</v>
      </c>
      <c r="E326" s="642" t="n"/>
      <c r="F326" s="674" t="n">
        <v>1.3</v>
      </c>
      <c r="G326" s="38" t="n">
        <v>6</v>
      </c>
      <c r="H326" s="674" t="n">
        <v>7.8</v>
      </c>
      <c r="I326" s="674" t="n">
        <v>8.364000000000001</v>
      </c>
      <c r="J326" s="38" t="n">
        <v>56</v>
      </c>
      <c r="K326" s="39" t="inlineStr">
        <is>
          <t>СК2</t>
        </is>
      </c>
      <c r="L326" s="38" t="n">
        <v>40</v>
      </c>
      <c r="M326" s="85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6" s="676" t="n"/>
      <c r="O326" s="676" t="n"/>
      <c r="P326" s="676" t="n"/>
      <c r="Q326" s="642" t="n"/>
      <c r="R326" s="40" t="inlineStr"/>
      <c r="S326" s="40" t="inlineStr"/>
      <c r="T326" s="41" t="inlineStr">
        <is>
          <t>кг</t>
        </is>
      </c>
      <c r="U326" s="677" t="n">
        <v>0</v>
      </c>
      <c r="V326" s="678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28" t="n">
        <v>4680115881976</v>
      </c>
      <c r="E327" s="642" t="n"/>
      <c r="F327" s="674" t="n">
        <v>1.3</v>
      </c>
      <c r="G327" s="38" t="n">
        <v>6</v>
      </c>
      <c r="H327" s="674" t="n">
        <v>7.8</v>
      </c>
      <c r="I327" s="674" t="n">
        <v>8.279999999999999</v>
      </c>
      <c r="J327" s="38" t="n">
        <v>56</v>
      </c>
      <c r="K327" s="39" t="inlineStr">
        <is>
          <t>СК2</t>
        </is>
      </c>
      <c r="L327" s="38" t="n">
        <v>40</v>
      </c>
      <c r="M327" s="85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7" s="676" t="n"/>
      <c r="O327" s="676" t="n"/>
      <c r="P327" s="676" t="n"/>
      <c r="Q327" s="642" t="n"/>
      <c r="R327" s="40" t="inlineStr"/>
      <c r="S327" s="40" t="inlineStr"/>
      <c r="T327" s="41" t="inlineStr">
        <is>
          <t>кг</t>
        </is>
      </c>
      <c r="U327" s="677" t="n">
        <v>0</v>
      </c>
      <c r="V327" s="678">
        <f>IFERROR(IF(U327="",0,CEILING((U327/$H327),1)*$H327),"")</f>
        <v/>
      </c>
      <c r="W327" s="42">
        <f>IFERROR(IF(V327=0,"",ROUNDUP(V327/H327,0)*0.02175),"")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28" t="n">
        <v>4607091384253</v>
      </c>
      <c r="E328" s="642" t="n"/>
      <c r="F328" s="674" t="n">
        <v>0.4</v>
      </c>
      <c r="G328" s="38" t="n">
        <v>6</v>
      </c>
      <c r="H328" s="674" t="n">
        <v>2.4</v>
      </c>
      <c r="I328" s="674" t="n">
        <v>2.684</v>
      </c>
      <c r="J328" s="38" t="n">
        <v>156</v>
      </c>
      <c r="K328" s="39" t="inlineStr">
        <is>
          <t>СК2</t>
        </is>
      </c>
      <c r="L328" s="38" t="n">
        <v>40</v>
      </c>
      <c r="M328" s="85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8" s="676" t="n"/>
      <c r="O328" s="676" t="n"/>
      <c r="P328" s="676" t="n"/>
      <c r="Q328" s="642" t="n"/>
      <c r="R328" s="40" t="inlineStr"/>
      <c r="S328" s="40" t="inlineStr"/>
      <c r="T328" s="41" t="inlineStr">
        <is>
          <t>кг</t>
        </is>
      </c>
      <c r="U328" s="677" t="n">
        <v>0</v>
      </c>
      <c r="V328" s="678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28" t="n">
        <v>4680115881969</v>
      </c>
      <c r="E329" s="642" t="n"/>
      <c r="F329" s="674" t="n">
        <v>0.4</v>
      </c>
      <c r="G329" s="38" t="n">
        <v>6</v>
      </c>
      <c r="H329" s="674" t="n">
        <v>2.4</v>
      </c>
      <c r="I329" s="674" t="n">
        <v>2.6</v>
      </c>
      <c r="J329" s="38" t="n">
        <v>156</v>
      </c>
      <c r="K329" s="39" t="inlineStr">
        <is>
          <t>СК2</t>
        </is>
      </c>
      <c r="L329" s="38" t="n">
        <v>40</v>
      </c>
      <c r="M329" s="85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9" s="676" t="n"/>
      <c r="O329" s="676" t="n"/>
      <c r="P329" s="676" t="n"/>
      <c r="Q329" s="642" t="n"/>
      <c r="R329" s="40" t="inlineStr"/>
      <c r="S329" s="40" t="inlineStr"/>
      <c r="T329" s="41" t="inlineStr">
        <is>
          <t>кг</t>
        </is>
      </c>
      <c r="U329" s="677" t="n">
        <v>0</v>
      </c>
      <c r="V329" s="678">
        <f>IFERROR(IF(U329="",0,CEILING((U329/$H329),1)*$H329),"")</f>
        <v/>
      </c>
      <c r="W329" s="42">
        <f>IFERROR(IF(V329=0,"",ROUNDUP(V329/H329,0)*0.00753),"")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2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9" t="n"/>
      <c r="M330" s="680" t="inlineStr">
        <is>
          <t>Итого</t>
        </is>
      </c>
      <c r="N330" s="650" t="n"/>
      <c r="O330" s="650" t="n"/>
      <c r="P330" s="650" t="n"/>
      <c r="Q330" s="650" t="n"/>
      <c r="R330" s="650" t="n"/>
      <c r="S330" s="651" t="n"/>
      <c r="T330" s="43" t="inlineStr">
        <is>
          <t>кор</t>
        </is>
      </c>
      <c r="U330" s="681">
        <f>IFERROR(U326/H326,"0")+IFERROR(U327/H327,"0")+IFERROR(U328/H328,"0")+IFERROR(U329/H329,"0")</f>
        <v/>
      </c>
      <c r="V330" s="681">
        <f>IFERROR(V326/H326,"0")+IFERROR(V327/H327,"0")+IFERROR(V328/H328,"0")+IFERROR(V329/H329,"0")</f>
        <v/>
      </c>
      <c r="W330" s="681">
        <f>IFERROR(IF(W326="",0,W326),"0")+IFERROR(IF(W327="",0,W327),"0")+IFERROR(IF(W328="",0,W328),"0")+IFERROR(IF(W329="",0,W329),"0")</f>
        <v/>
      </c>
      <c r="X330" s="682" t="n"/>
      <c r="Y330" s="68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9" t="n"/>
      <c r="M331" s="680" t="inlineStr">
        <is>
          <t>Итого</t>
        </is>
      </c>
      <c r="N331" s="650" t="n"/>
      <c r="O331" s="650" t="n"/>
      <c r="P331" s="650" t="n"/>
      <c r="Q331" s="650" t="n"/>
      <c r="R331" s="650" t="n"/>
      <c r="S331" s="651" t="n"/>
      <c r="T331" s="43" t="inlineStr">
        <is>
          <t>кг</t>
        </is>
      </c>
      <c r="U331" s="681">
        <f>IFERROR(SUM(U326:U329),"0")</f>
        <v/>
      </c>
      <c r="V331" s="681">
        <f>IFERROR(SUM(V326:V329),"0")</f>
        <v/>
      </c>
      <c r="W331" s="43" t="n"/>
      <c r="X331" s="682" t="n"/>
      <c r="Y331" s="682" t="n"/>
    </row>
    <row r="332" ht="14.25" customHeight="1">
      <c r="A332" s="327" t="inlineStr">
        <is>
          <t>Сардельки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7" t="n"/>
      <c r="Y332" s="327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28" t="n">
        <v>4607091389357</v>
      </c>
      <c r="E333" s="642" t="n"/>
      <c r="F333" s="674" t="n">
        <v>1.3</v>
      </c>
      <c r="G333" s="38" t="n">
        <v>6</v>
      </c>
      <c r="H333" s="674" t="n">
        <v>7.8</v>
      </c>
      <c r="I333" s="674" t="n">
        <v>8.279999999999999</v>
      </c>
      <c r="J333" s="38" t="n">
        <v>56</v>
      </c>
      <c r="K333" s="39" t="inlineStr">
        <is>
          <t>СК2</t>
        </is>
      </c>
      <c r="L333" s="38" t="n">
        <v>40</v>
      </c>
      <c r="M333" s="85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3" s="676" t="n"/>
      <c r="O333" s="676" t="n"/>
      <c r="P333" s="676" t="n"/>
      <c r="Q333" s="642" t="n"/>
      <c r="R333" s="40" t="inlineStr"/>
      <c r="S333" s="40" t="inlineStr"/>
      <c r="T333" s="41" t="inlineStr">
        <is>
          <t>кг</t>
        </is>
      </c>
      <c r="U333" s="677" t="n">
        <v>0</v>
      </c>
      <c r="V333" s="67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71" t="n"/>
      <c r="AZ333" s="249" t="inlineStr">
        <is>
          <t>КИ</t>
        </is>
      </c>
    </row>
    <row r="334">
      <c r="A334" s="322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9" t="n"/>
      <c r="M334" s="680" t="inlineStr">
        <is>
          <t>Итого</t>
        </is>
      </c>
      <c r="N334" s="650" t="n"/>
      <c r="O334" s="650" t="n"/>
      <c r="P334" s="650" t="n"/>
      <c r="Q334" s="650" t="n"/>
      <c r="R334" s="650" t="n"/>
      <c r="S334" s="651" t="n"/>
      <c r="T334" s="43" t="inlineStr">
        <is>
          <t>кор</t>
        </is>
      </c>
      <c r="U334" s="681">
        <f>IFERROR(U333/H333,"0")</f>
        <v/>
      </c>
      <c r="V334" s="681">
        <f>IFERROR(V333/H333,"0")</f>
        <v/>
      </c>
      <c r="W334" s="681">
        <f>IFERROR(IF(W333="",0,W333),"0")</f>
        <v/>
      </c>
      <c r="X334" s="682" t="n"/>
      <c r="Y334" s="682" t="n"/>
    </row>
    <row r="335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679" t="n"/>
      <c r="M335" s="680" t="inlineStr">
        <is>
          <t>Итого</t>
        </is>
      </c>
      <c r="N335" s="650" t="n"/>
      <c r="O335" s="650" t="n"/>
      <c r="P335" s="650" t="n"/>
      <c r="Q335" s="650" t="n"/>
      <c r="R335" s="650" t="n"/>
      <c r="S335" s="651" t="n"/>
      <c r="T335" s="43" t="inlineStr">
        <is>
          <t>кг</t>
        </is>
      </c>
      <c r="U335" s="681">
        <f>IFERROR(SUM(U333:U333),"0")</f>
        <v/>
      </c>
      <c r="V335" s="681">
        <f>IFERROR(SUM(V333:V333),"0")</f>
        <v/>
      </c>
      <c r="W335" s="43" t="n"/>
      <c r="X335" s="682" t="n"/>
      <c r="Y335" s="682" t="n"/>
    </row>
    <row r="336" ht="27.75" customHeight="1">
      <c r="A336" s="341" t="inlineStr">
        <is>
          <t>Баварушка</t>
        </is>
      </c>
      <c r="B336" s="673" t="n"/>
      <c r="C336" s="673" t="n"/>
      <c r="D336" s="673" t="n"/>
      <c r="E336" s="673" t="n"/>
      <c r="F336" s="673" t="n"/>
      <c r="G336" s="673" t="n"/>
      <c r="H336" s="673" t="n"/>
      <c r="I336" s="673" t="n"/>
      <c r="J336" s="673" t="n"/>
      <c r="K336" s="673" t="n"/>
      <c r="L336" s="673" t="n"/>
      <c r="M336" s="673" t="n"/>
      <c r="N336" s="673" t="n"/>
      <c r="O336" s="673" t="n"/>
      <c r="P336" s="673" t="n"/>
      <c r="Q336" s="673" t="n"/>
      <c r="R336" s="673" t="n"/>
      <c r="S336" s="673" t="n"/>
      <c r="T336" s="673" t="n"/>
      <c r="U336" s="673" t="n"/>
      <c r="V336" s="673" t="n"/>
      <c r="W336" s="673" t="n"/>
      <c r="X336" s="55" t="n"/>
      <c r="Y336" s="55" t="n"/>
    </row>
    <row r="337" ht="16.5" customHeight="1">
      <c r="A337" s="335" t="inlineStr">
        <is>
          <t>Филейбургская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5" t="n"/>
      <c r="Y337" s="335" t="n"/>
    </row>
    <row r="338" ht="14.25" customHeight="1">
      <c r="A338" s="327" t="inlineStr">
        <is>
          <t>Вареные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27" t="n"/>
      <c r="Y338" s="327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28" t="n">
        <v>4607091389708</v>
      </c>
      <c r="E339" s="642" t="n"/>
      <c r="F339" s="674" t="n">
        <v>0.45</v>
      </c>
      <c r="G339" s="38" t="n">
        <v>6</v>
      </c>
      <c r="H339" s="674" t="n">
        <v>2.7</v>
      </c>
      <c r="I339" s="674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9" s="676" t="n"/>
      <c r="O339" s="676" t="n"/>
      <c r="P339" s="676" t="n"/>
      <c r="Q339" s="642" t="n"/>
      <c r="R339" s="40" t="inlineStr"/>
      <c r="S339" s="40" t="inlineStr"/>
      <c r="T339" s="41" t="inlineStr">
        <is>
          <t>кг</t>
        </is>
      </c>
      <c r="U339" s="677" t="n">
        <v>0</v>
      </c>
      <c r="V339" s="678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28" t="n">
        <v>4607091389692</v>
      </c>
      <c r="E340" s="642" t="n"/>
      <c r="F340" s="674" t="n">
        <v>0.45</v>
      </c>
      <c r="G340" s="38" t="n">
        <v>6</v>
      </c>
      <c r="H340" s="674" t="n">
        <v>2.7</v>
      </c>
      <c r="I340" s="674" t="n">
        <v>2.9</v>
      </c>
      <c r="J340" s="38" t="n">
        <v>156</v>
      </c>
      <c r="K340" s="39" t="inlineStr">
        <is>
          <t>СК1</t>
        </is>
      </c>
      <c r="L340" s="38" t="n">
        <v>50</v>
      </c>
      <c r="M340" s="86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0" s="676" t="n"/>
      <c r="O340" s="676" t="n"/>
      <c r="P340" s="676" t="n"/>
      <c r="Q340" s="642" t="n"/>
      <c r="R340" s="40" t="inlineStr"/>
      <c r="S340" s="40" t="inlineStr"/>
      <c r="T340" s="41" t="inlineStr">
        <is>
          <t>кг</t>
        </is>
      </c>
      <c r="U340" s="677" t="n">
        <v>0</v>
      </c>
      <c r="V340" s="678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>
      <c r="A341" s="322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9" t="n"/>
      <c r="M341" s="680" t="inlineStr">
        <is>
          <t>Итого</t>
        </is>
      </c>
      <c r="N341" s="650" t="n"/>
      <c r="O341" s="650" t="n"/>
      <c r="P341" s="650" t="n"/>
      <c r="Q341" s="650" t="n"/>
      <c r="R341" s="650" t="n"/>
      <c r="S341" s="651" t="n"/>
      <c r="T341" s="43" t="inlineStr">
        <is>
          <t>кор</t>
        </is>
      </c>
      <c r="U341" s="681">
        <f>IFERROR(U339/H339,"0")+IFERROR(U340/H340,"0")</f>
        <v/>
      </c>
      <c r="V341" s="681">
        <f>IFERROR(V339/H339,"0")+IFERROR(V340/H340,"0")</f>
        <v/>
      </c>
      <c r="W341" s="681">
        <f>IFERROR(IF(W339="",0,W339),"0")+IFERROR(IF(W340="",0,W340),"0")</f>
        <v/>
      </c>
      <c r="X341" s="682" t="n"/>
      <c r="Y341" s="68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9" t="n"/>
      <c r="M342" s="680" t="inlineStr">
        <is>
          <t>Итого</t>
        </is>
      </c>
      <c r="N342" s="650" t="n"/>
      <c r="O342" s="650" t="n"/>
      <c r="P342" s="650" t="n"/>
      <c r="Q342" s="650" t="n"/>
      <c r="R342" s="650" t="n"/>
      <c r="S342" s="651" t="n"/>
      <c r="T342" s="43" t="inlineStr">
        <is>
          <t>кг</t>
        </is>
      </c>
      <c r="U342" s="681">
        <f>IFERROR(SUM(U339:U340),"0")</f>
        <v/>
      </c>
      <c r="V342" s="681">
        <f>IFERROR(SUM(V339:V340),"0")</f>
        <v/>
      </c>
      <c r="W342" s="43" t="n"/>
      <c r="X342" s="682" t="n"/>
      <c r="Y342" s="682" t="n"/>
    </row>
    <row r="343" ht="14.25" customHeight="1">
      <c r="A343" s="327" t="inlineStr">
        <is>
          <t>Копченые колбасы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27" t="n"/>
      <c r="Y343" s="327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28" t="n">
        <v>4607091389753</v>
      </c>
      <c r="E344" s="642" t="n"/>
      <c r="F344" s="674" t="n">
        <v>0.7</v>
      </c>
      <c r="G344" s="38" t="n">
        <v>6</v>
      </c>
      <c r="H344" s="674" t="n">
        <v>4.2</v>
      </c>
      <c r="I344" s="674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6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4" s="676" t="n"/>
      <c r="O344" s="676" t="n"/>
      <c r="P344" s="676" t="n"/>
      <c r="Q344" s="642" t="n"/>
      <c r="R344" s="40" t="inlineStr"/>
      <c r="S344" s="40" t="inlineStr"/>
      <c r="T344" s="41" t="inlineStr">
        <is>
          <t>кг</t>
        </is>
      </c>
      <c r="U344" s="677" t="n">
        <v>0</v>
      </c>
      <c r="V344" s="678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28" t="n">
        <v>4607091389760</v>
      </c>
      <c r="E345" s="642" t="n"/>
      <c r="F345" s="674" t="n">
        <v>0.7</v>
      </c>
      <c r="G345" s="38" t="n">
        <v>6</v>
      </c>
      <c r="H345" s="674" t="n">
        <v>4.2</v>
      </c>
      <c r="I345" s="674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6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5" s="676" t="n"/>
      <c r="O345" s="676" t="n"/>
      <c r="P345" s="676" t="n"/>
      <c r="Q345" s="642" t="n"/>
      <c r="R345" s="40" t="inlineStr"/>
      <c r="S345" s="40" t="inlineStr"/>
      <c r="T345" s="41" t="inlineStr">
        <is>
          <t>кг</t>
        </is>
      </c>
      <c r="U345" s="677" t="n">
        <v>0</v>
      </c>
      <c r="V345" s="678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28" t="n">
        <v>4607091389746</v>
      </c>
      <c r="E346" s="642" t="n"/>
      <c r="F346" s="674" t="n">
        <v>0.7</v>
      </c>
      <c r="G346" s="38" t="n">
        <v>6</v>
      </c>
      <c r="H346" s="674" t="n">
        <v>4.2</v>
      </c>
      <c r="I346" s="674" t="n">
        <v>4.43</v>
      </c>
      <c r="J346" s="38" t="n">
        <v>156</v>
      </c>
      <c r="K346" s="39" t="inlineStr">
        <is>
          <t>СК2</t>
        </is>
      </c>
      <c r="L346" s="38" t="n">
        <v>45</v>
      </c>
      <c r="M346" s="86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6" s="676" t="n"/>
      <c r="O346" s="676" t="n"/>
      <c r="P346" s="676" t="n"/>
      <c r="Q346" s="642" t="n"/>
      <c r="R346" s="40" t="inlineStr"/>
      <c r="S346" s="40" t="inlineStr"/>
      <c r="T346" s="41" t="inlineStr">
        <is>
          <t>кг</t>
        </is>
      </c>
      <c r="U346" s="677" t="n">
        <v>0</v>
      </c>
      <c r="V346" s="67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28" t="n">
        <v>4680115882928</v>
      </c>
      <c r="E347" s="642" t="n"/>
      <c r="F347" s="674" t="n">
        <v>0.28</v>
      </c>
      <c r="G347" s="38" t="n">
        <v>6</v>
      </c>
      <c r="H347" s="674" t="n">
        <v>1.68</v>
      </c>
      <c r="I347" s="674" t="n">
        <v>2.6</v>
      </c>
      <c r="J347" s="38" t="n">
        <v>156</v>
      </c>
      <c r="K347" s="39" t="inlineStr">
        <is>
          <t>СК2</t>
        </is>
      </c>
      <c r="L347" s="38" t="n">
        <v>35</v>
      </c>
      <c r="M347" s="86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7" s="676" t="n"/>
      <c r="O347" s="676" t="n"/>
      <c r="P347" s="676" t="n"/>
      <c r="Q347" s="642" t="n"/>
      <c r="R347" s="40" t="inlineStr"/>
      <c r="S347" s="40" t="inlineStr"/>
      <c r="T347" s="41" t="inlineStr">
        <is>
          <t>кг</t>
        </is>
      </c>
      <c r="U347" s="677" t="n">
        <v>0</v>
      </c>
      <c r="V347" s="678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28" t="n">
        <v>4680115883147</v>
      </c>
      <c r="E348" s="642" t="n"/>
      <c r="F348" s="674" t="n">
        <v>0.28</v>
      </c>
      <c r="G348" s="38" t="n">
        <v>6</v>
      </c>
      <c r="H348" s="674" t="n">
        <v>1.68</v>
      </c>
      <c r="I348" s="674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8" s="676" t="n"/>
      <c r="O348" s="676" t="n"/>
      <c r="P348" s="676" t="n"/>
      <c r="Q348" s="642" t="n"/>
      <c r="R348" s="40" t="inlineStr"/>
      <c r="S348" s="40" t="inlineStr"/>
      <c r="T348" s="41" t="inlineStr">
        <is>
          <t>кг</t>
        </is>
      </c>
      <c r="U348" s="677" t="n">
        <v>0</v>
      </c>
      <c r="V348" s="678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28" t="n">
        <v>4607091384338</v>
      </c>
      <c r="E349" s="642" t="n"/>
      <c r="F349" s="674" t="n">
        <v>0.35</v>
      </c>
      <c r="G349" s="38" t="n">
        <v>6</v>
      </c>
      <c r="H349" s="674" t="n">
        <v>2.1</v>
      </c>
      <c r="I349" s="674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9" s="676" t="n"/>
      <c r="O349" s="676" t="n"/>
      <c r="P349" s="676" t="n"/>
      <c r="Q349" s="642" t="n"/>
      <c r="R349" s="40" t="inlineStr"/>
      <c r="S349" s="40" t="inlineStr"/>
      <c r="T349" s="41" t="inlineStr">
        <is>
          <t>кг</t>
        </is>
      </c>
      <c r="U349" s="677" t="n">
        <v>0</v>
      </c>
      <c r="V349" s="678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28" t="n">
        <v>4680115883154</v>
      </c>
      <c r="E350" s="642" t="n"/>
      <c r="F350" s="674" t="n">
        <v>0.28</v>
      </c>
      <c r="G350" s="38" t="n">
        <v>6</v>
      </c>
      <c r="H350" s="674" t="n">
        <v>1.68</v>
      </c>
      <c r="I350" s="674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0" s="676" t="n"/>
      <c r="O350" s="676" t="n"/>
      <c r="P350" s="676" t="n"/>
      <c r="Q350" s="642" t="n"/>
      <c r="R350" s="40" t="inlineStr"/>
      <c r="S350" s="40" t="inlineStr"/>
      <c r="T350" s="41" t="inlineStr">
        <is>
          <t>кг</t>
        </is>
      </c>
      <c r="U350" s="677" t="n">
        <v>0</v>
      </c>
      <c r="V350" s="678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28" t="n">
        <v>4607091389524</v>
      </c>
      <c r="E351" s="642" t="n"/>
      <c r="F351" s="674" t="n">
        <v>0.35</v>
      </c>
      <c r="G351" s="38" t="n">
        <v>6</v>
      </c>
      <c r="H351" s="674" t="n">
        <v>2.1</v>
      </c>
      <c r="I351" s="67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1" s="676" t="n"/>
      <c r="O351" s="676" t="n"/>
      <c r="P351" s="676" t="n"/>
      <c r="Q351" s="642" t="n"/>
      <c r="R351" s="40" t="inlineStr"/>
      <c r="S351" s="40" t="inlineStr"/>
      <c r="T351" s="41" t="inlineStr">
        <is>
          <t>кг</t>
        </is>
      </c>
      <c r="U351" s="677" t="n">
        <v>0</v>
      </c>
      <c r="V351" s="67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28" t="n">
        <v>4680115883161</v>
      </c>
      <c r="E352" s="642" t="n"/>
      <c r="F352" s="674" t="n">
        <v>0.28</v>
      </c>
      <c r="G352" s="38" t="n">
        <v>6</v>
      </c>
      <c r="H352" s="674" t="n">
        <v>1.68</v>
      </c>
      <c r="I352" s="67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2" s="676" t="n"/>
      <c r="O352" s="676" t="n"/>
      <c r="P352" s="676" t="n"/>
      <c r="Q352" s="642" t="n"/>
      <c r="R352" s="40" t="inlineStr"/>
      <c r="S352" s="40" t="inlineStr"/>
      <c r="T352" s="41" t="inlineStr">
        <is>
          <t>кг</t>
        </is>
      </c>
      <c r="U352" s="677" t="n">
        <v>0</v>
      </c>
      <c r="V352" s="67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28" t="n">
        <v>4607091384345</v>
      </c>
      <c r="E353" s="642" t="n"/>
      <c r="F353" s="674" t="n">
        <v>0.35</v>
      </c>
      <c r="G353" s="38" t="n">
        <v>6</v>
      </c>
      <c r="H353" s="674" t="n">
        <v>2.1</v>
      </c>
      <c r="I353" s="67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7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3" s="676" t="n"/>
      <c r="O353" s="676" t="n"/>
      <c r="P353" s="676" t="n"/>
      <c r="Q353" s="642" t="n"/>
      <c r="R353" s="40" t="inlineStr"/>
      <c r="S353" s="40" t="inlineStr"/>
      <c r="T353" s="41" t="inlineStr">
        <is>
          <t>кг</t>
        </is>
      </c>
      <c r="U353" s="677" t="n">
        <v>0</v>
      </c>
      <c r="V353" s="67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28" t="n">
        <v>4680115883178</v>
      </c>
      <c r="E354" s="642" t="n"/>
      <c r="F354" s="674" t="n">
        <v>0.28</v>
      </c>
      <c r="G354" s="38" t="n">
        <v>6</v>
      </c>
      <c r="H354" s="674" t="n">
        <v>1.68</v>
      </c>
      <c r="I354" s="674" t="n">
        <v>1.81</v>
      </c>
      <c r="J354" s="38" t="n">
        <v>234</v>
      </c>
      <c r="K354" s="39" t="inlineStr">
        <is>
          <t>СК2</t>
        </is>
      </c>
      <c r="L354" s="38" t="n">
        <v>45</v>
      </c>
      <c r="M354" s="87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4" s="676" t="n"/>
      <c r="O354" s="676" t="n"/>
      <c r="P354" s="676" t="n"/>
      <c r="Q354" s="642" t="n"/>
      <c r="R354" s="40" t="inlineStr"/>
      <c r="S354" s="40" t="inlineStr"/>
      <c r="T354" s="41" t="inlineStr">
        <is>
          <t>кг</t>
        </is>
      </c>
      <c r="U354" s="677" t="n">
        <v>0</v>
      </c>
      <c r="V354" s="67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28" t="n">
        <v>4607091389531</v>
      </c>
      <c r="E355" s="642" t="n"/>
      <c r="F355" s="674" t="n">
        <v>0.35</v>
      </c>
      <c r="G355" s="38" t="n">
        <v>6</v>
      </c>
      <c r="H355" s="674" t="n">
        <v>2.1</v>
      </c>
      <c r="I355" s="674" t="n">
        <v>2.23</v>
      </c>
      <c r="J355" s="38" t="n">
        <v>234</v>
      </c>
      <c r="K355" s="39" t="inlineStr">
        <is>
          <t>СК2</t>
        </is>
      </c>
      <c r="L355" s="38" t="n">
        <v>45</v>
      </c>
      <c r="M355" s="87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5" s="676" t="n"/>
      <c r="O355" s="676" t="n"/>
      <c r="P355" s="676" t="n"/>
      <c r="Q355" s="642" t="n"/>
      <c r="R355" s="40" t="inlineStr"/>
      <c r="S355" s="40" t="inlineStr"/>
      <c r="T355" s="41" t="inlineStr">
        <is>
          <t>кг</t>
        </is>
      </c>
      <c r="U355" s="677" t="n">
        <v>0</v>
      </c>
      <c r="V355" s="678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28" t="n">
        <v>4680115883185</v>
      </c>
      <c r="E356" s="642" t="n"/>
      <c r="F356" s="674" t="n">
        <v>0.28</v>
      </c>
      <c r="G356" s="38" t="n">
        <v>6</v>
      </c>
      <c r="H356" s="674" t="n">
        <v>1.68</v>
      </c>
      <c r="I356" s="674" t="n">
        <v>1.81</v>
      </c>
      <c r="J356" s="38" t="n">
        <v>234</v>
      </c>
      <c r="K356" s="39" t="inlineStr">
        <is>
          <t>СК2</t>
        </is>
      </c>
      <c r="L356" s="38" t="n">
        <v>45</v>
      </c>
      <c r="M356" s="873" t="inlineStr">
        <is>
          <t>В/к колбасы «Филейбургская с душистым чесноком» срез Фикс.вес 0,28 фиброуз в/у Баварушка</t>
        </is>
      </c>
      <c r="N356" s="676" t="n"/>
      <c r="O356" s="676" t="n"/>
      <c r="P356" s="676" t="n"/>
      <c r="Q356" s="642" t="n"/>
      <c r="R356" s="40" t="inlineStr"/>
      <c r="S356" s="40" t="inlineStr"/>
      <c r="T356" s="41" t="inlineStr">
        <is>
          <t>кг</t>
        </is>
      </c>
      <c r="U356" s="677" t="n">
        <v>0</v>
      </c>
      <c r="V356" s="678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4" t="inlineStr">
        <is>
          <t>КИ</t>
        </is>
      </c>
    </row>
    <row r="357">
      <c r="A357" s="322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9" t="n"/>
      <c r="M357" s="680" t="inlineStr">
        <is>
          <t>Итого</t>
        </is>
      </c>
      <c r="N357" s="650" t="n"/>
      <c r="O357" s="650" t="n"/>
      <c r="P357" s="650" t="n"/>
      <c r="Q357" s="650" t="n"/>
      <c r="R357" s="650" t="n"/>
      <c r="S357" s="651" t="n"/>
      <c r="T357" s="43" t="inlineStr">
        <is>
          <t>кор</t>
        </is>
      </c>
      <c r="U357" s="681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/>
      </c>
      <c r="V357" s="681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1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/>
      </c>
      <c r="X357" s="682" t="n"/>
      <c r="Y357" s="682" t="n"/>
    </row>
    <row r="35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9" t="n"/>
      <c r="M358" s="680" t="inlineStr">
        <is>
          <t>Итого</t>
        </is>
      </c>
      <c r="N358" s="650" t="n"/>
      <c r="O358" s="650" t="n"/>
      <c r="P358" s="650" t="n"/>
      <c r="Q358" s="650" t="n"/>
      <c r="R358" s="650" t="n"/>
      <c r="S358" s="651" t="n"/>
      <c r="T358" s="43" t="inlineStr">
        <is>
          <t>кг</t>
        </is>
      </c>
      <c r="U358" s="681">
        <f>IFERROR(SUM(U344:U356),"0")</f>
        <v/>
      </c>
      <c r="V358" s="681">
        <f>IFERROR(SUM(V344:V356),"0")</f>
        <v/>
      </c>
      <c r="W358" s="43" t="n"/>
      <c r="X358" s="682" t="n"/>
      <c r="Y358" s="682" t="n"/>
    </row>
    <row r="359" ht="14.25" customHeight="1">
      <c r="A359" s="327" t="inlineStr">
        <is>
          <t>Сосиски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27" t="n"/>
      <c r="Y359" s="327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28" t="n">
        <v>4607091389685</v>
      </c>
      <c r="E360" s="642" t="n"/>
      <c r="F360" s="674" t="n">
        <v>1.3</v>
      </c>
      <c r="G360" s="38" t="n">
        <v>6</v>
      </c>
      <c r="H360" s="674" t="n">
        <v>7.8</v>
      </c>
      <c r="I360" s="674" t="n">
        <v>8.346</v>
      </c>
      <c r="J360" s="38" t="n">
        <v>56</v>
      </c>
      <c r="K360" s="39" t="inlineStr">
        <is>
          <t>СК3</t>
        </is>
      </c>
      <c r="L360" s="38" t="n">
        <v>45</v>
      </c>
      <c r="M360" s="87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0" s="676" t="n"/>
      <c r="O360" s="676" t="n"/>
      <c r="P360" s="676" t="n"/>
      <c r="Q360" s="642" t="n"/>
      <c r="R360" s="40" t="inlineStr"/>
      <c r="S360" s="40" t="inlineStr"/>
      <c r="T360" s="41" t="inlineStr">
        <is>
          <t>кг</t>
        </is>
      </c>
      <c r="U360" s="677" t="n">
        <v>0</v>
      </c>
      <c r="V360" s="678">
        <f>IFERROR(IF(U360="",0,CEILING((U360/$H360),1)*$H360),"")</f>
        <v/>
      </c>
      <c r="W360" s="42">
        <f>IFERROR(IF(V360=0,"",ROUNDUP(V360/H360,0)*0.02175),"")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28" t="n">
        <v>4607091389654</v>
      </c>
      <c r="E361" s="642" t="n"/>
      <c r="F361" s="674" t="n">
        <v>0.33</v>
      </c>
      <c r="G361" s="38" t="n">
        <v>6</v>
      </c>
      <c r="H361" s="674" t="n">
        <v>1.98</v>
      </c>
      <c r="I361" s="674" t="n">
        <v>2.258</v>
      </c>
      <c r="J361" s="38" t="n">
        <v>156</v>
      </c>
      <c r="K361" s="39" t="inlineStr">
        <is>
          <t>СК3</t>
        </is>
      </c>
      <c r="L361" s="38" t="n">
        <v>45</v>
      </c>
      <c r="M361" s="87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1" s="676" t="n"/>
      <c r="O361" s="676" t="n"/>
      <c r="P361" s="676" t="n"/>
      <c r="Q361" s="642" t="n"/>
      <c r="R361" s="40" t="inlineStr"/>
      <c r="S361" s="40" t="inlineStr"/>
      <c r="T361" s="41" t="inlineStr">
        <is>
          <t>кг</t>
        </is>
      </c>
      <c r="U361" s="677" t="n">
        <v>0</v>
      </c>
      <c r="V361" s="678">
        <f>IFERROR(IF(U361="",0,CEILING((U361/$H361),1)*$H361),"")</f>
        <v/>
      </c>
      <c r="W361" s="42">
        <f>IFERROR(IF(V361=0,"",ROUNDUP(V361/H361,0)*0.00753),"")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28" t="n">
        <v>4607091384352</v>
      </c>
      <c r="E362" s="642" t="n"/>
      <c r="F362" s="674" t="n">
        <v>0.6</v>
      </c>
      <c r="G362" s="38" t="n">
        <v>4</v>
      </c>
      <c r="H362" s="674" t="n">
        <v>2.4</v>
      </c>
      <c r="I362" s="674" t="n">
        <v>2.646</v>
      </c>
      <c r="J362" s="38" t="n">
        <v>120</v>
      </c>
      <c r="K362" s="39" t="inlineStr">
        <is>
          <t>СК3</t>
        </is>
      </c>
      <c r="L362" s="38" t="n">
        <v>45</v>
      </c>
      <c r="M362" s="87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2" s="676" t="n"/>
      <c r="O362" s="676" t="n"/>
      <c r="P362" s="676" t="n"/>
      <c r="Q362" s="642" t="n"/>
      <c r="R362" s="40" t="inlineStr"/>
      <c r="S362" s="40" t="inlineStr"/>
      <c r="T362" s="41" t="inlineStr">
        <is>
          <t>кг</t>
        </is>
      </c>
      <c r="U362" s="677" t="n">
        <v>0</v>
      </c>
      <c r="V362" s="678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28" t="n">
        <v>4607091389661</v>
      </c>
      <c r="E363" s="642" t="n"/>
      <c r="F363" s="674" t="n">
        <v>0.55</v>
      </c>
      <c r="G363" s="38" t="n">
        <v>4</v>
      </c>
      <c r="H363" s="674" t="n">
        <v>2.2</v>
      </c>
      <c r="I363" s="674" t="n">
        <v>2.492</v>
      </c>
      <c r="J363" s="38" t="n">
        <v>120</v>
      </c>
      <c r="K363" s="39" t="inlineStr">
        <is>
          <t>СК3</t>
        </is>
      </c>
      <c r="L363" s="38" t="n">
        <v>45</v>
      </c>
      <c r="M363" s="87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3" s="676" t="n"/>
      <c r="O363" s="676" t="n"/>
      <c r="P363" s="676" t="n"/>
      <c r="Q363" s="642" t="n"/>
      <c r="R363" s="40" t="inlineStr"/>
      <c r="S363" s="40" t="inlineStr"/>
      <c r="T363" s="41" t="inlineStr">
        <is>
          <t>кг</t>
        </is>
      </c>
      <c r="U363" s="677" t="n">
        <v>0</v>
      </c>
      <c r="V363" s="678">
        <f>IFERROR(IF(U363="",0,CEILING((U363/$H363),1)*$H363),"")</f>
        <v/>
      </c>
      <c r="W363" s="42">
        <f>IFERROR(IF(V363=0,"",ROUNDUP(V363/H363,0)*0.00937),"")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2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9" t="n"/>
      <c r="M364" s="680" t="inlineStr">
        <is>
          <t>Итого</t>
        </is>
      </c>
      <c r="N364" s="650" t="n"/>
      <c r="O364" s="650" t="n"/>
      <c r="P364" s="650" t="n"/>
      <c r="Q364" s="650" t="n"/>
      <c r="R364" s="650" t="n"/>
      <c r="S364" s="651" t="n"/>
      <c r="T364" s="43" t="inlineStr">
        <is>
          <t>кор</t>
        </is>
      </c>
      <c r="U364" s="681">
        <f>IFERROR(U360/H360,"0")+IFERROR(U361/H361,"0")+IFERROR(U362/H362,"0")+IFERROR(U363/H363,"0")</f>
        <v/>
      </c>
      <c r="V364" s="681">
        <f>IFERROR(V360/H360,"0")+IFERROR(V361/H361,"0")+IFERROR(V362/H362,"0")+IFERROR(V363/H363,"0")</f>
        <v/>
      </c>
      <c r="W364" s="681">
        <f>IFERROR(IF(W360="",0,W360),"0")+IFERROR(IF(W361="",0,W361),"0")+IFERROR(IF(W362="",0,W362),"0")+IFERROR(IF(W363="",0,W363),"0")</f>
        <v/>
      </c>
      <c r="X364" s="682" t="n"/>
      <c r="Y364" s="682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9" t="n"/>
      <c r="M365" s="680" t="inlineStr">
        <is>
          <t>Итого</t>
        </is>
      </c>
      <c r="N365" s="650" t="n"/>
      <c r="O365" s="650" t="n"/>
      <c r="P365" s="650" t="n"/>
      <c r="Q365" s="650" t="n"/>
      <c r="R365" s="650" t="n"/>
      <c r="S365" s="651" t="n"/>
      <c r="T365" s="43" t="inlineStr">
        <is>
          <t>кг</t>
        </is>
      </c>
      <c r="U365" s="681">
        <f>IFERROR(SUM(U360:U363),"0")</f>
        <v/>
      </c>
      <c r="V365" s="681">
        <f>IFERROR(SUM(V360:V363),"0")</f>
        <v/>
      </c>
      <c r="W365" s="43" t="n"/>
      <c r="X365" s="682" t="n"/>
      <c r="Y365" s="682" t="n"/>
    </row>
    <row r="366" ht="14.25" customHeight="1">
      <c r="A366" s="327" t="inlineStr">
        <is>
          <t>Сардельки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7" t="n"/>
      <c r="Y366" s="327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28" t="n">
        <v>4680115881648</v>
      </c>
      <c r="E367" s="642" t="n"/>
      <c r="F367" s="674" t="n">
        <v>1</v>
      </c>
      <c r="G367" s="38" t="n">
        <v>4</v>
      </c>
      <c r="H367" s="674" t="n">
        <v>4</v>
      </c>
      <c r="I367" s="674" t="n">
        <v>4.404</v>
      </c>
      <c r="J367" s="38" t="n">
        <v>104</v>
      </c>
      <c r="K367" s="39" t="inlineStr">
        <is>
          <t>СК2</t>
        </is>
      </c>
      <c r="L367" s="38" t="n">
        <v>35</v>
      </c>
      <c r="M367" s="87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7" s="676" t="n"/>
      <c r="O367" s="676" t="n"/>
      <c r="P367" s="676" t="n"/>
      <c r="Q367" s="642" t="n"/>
      <c r="R367" s="40" t="inlineStr"/>
      <c r="S367" s="40" t="inlineStr"/>
      <c r="T367" s="41" t="inlineStr">
        <is>
          <t>кг</t>
        </is>
      </c>
      <c r="U367" s="677" t="n">
        <v>0</v>
      </c>
      <c r="V367" s="678">
        <f>IFERROR(IF(U367="",0,CEILING((U367/$H367),1)*$H367),"")</f>
        <v/>
      </c>
      <c r="W367" s="42">
        <f>IFERROR(IF(V367=0,"",ROUNDUP(V367/H367,0)*0.01196),"")</f>
        <v/>
      </c>
      <c r="X367" s="69" t="inlineStr"/>
      <c r="Y367" s="70" t="inlineStr"/>
      <c r="AC367" s="71" t="n"/>
      <c r="AZ367" s="269" t="inlineStr">
        <is>
          <t>КИ</t>
        </is>
      </c>
    </row>
    <row r="368">
      <c r="A368" s="322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9" t="n"/>
      <c r="M368" s="680" t="inlineStr">
        <is>
          <t>Итого</t>
        </is>
      </c>
      <c r="N368" s="650" t="n"/>
      <c r="O368" s="650" t="n"/>
      <c r="P368" s="650" t="n"/>
      <c r="Q368" s="650" t="n"/>
      <c r="R368" s="650" t="n"/>
      <c r="S368" s="651" t="n"/>
      <c r="T368" s="43" t="inlineStr">
        <is>
          <t>кор</t>
        </is>
      </c>
      <c r="U368" s="681">
        <f>IFERROR(U367/H367,"0")</f>
        <v/>
      </c>
      <c r="V368" s="681">
        <f>IFERROR(V367/H367,"0")</f>
        <v/>
      </c>
      <c r="W368" s="681">
        <f>IFERROR(IF(W367="",0,W367),"0")</f>
        <v/>
      </c>
      <c r="X368" s="682" t="n"/>
      <c r="Y368" s="682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9" t="n"/>
      <c r="M369" s="680" t="inlineStr">
        <is>
          <t>Итого</t>
        </is>
      </c>
      <c r="N369" s="650" t="n"/>
      <c r="O369" s="650" t="n"/>
      <c r="P369" s="650" t="n"/>
      <c r="Q369" s="650" t="n"/>
      <c r="R369" s="650" t="n"/>
      <c r="S369" s="651" t="n"/>
      <c r="T369" s="43" t="inlineStr">
        <is>
          <t>кг</t>
        </is>
      </c>
      <c r="U369" s="681">
        <f>IFERROR(SUM(U367:U367),"0")</f>
        <v/>
      </c>
      <c r="V369" s="681">
        <f>IFERROR(SUM(V367:V367),"0")</f>
        <v/>
      </c>
      <c r="W369" s="43" t="n"/>
      <c r="X369" s="682" t="n"/>
      <c r="Y369" s="682" t="n"/>
    </row>
    <row r="370" ht="14.25" customHeight="1">
      <c r="A370" s="327" t="inlineStr">
        <is>
          <t>Сырокопченые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27" t="n"/>
      <c r="Y370" s="327" t="n"/>
    </row>
    <row r="371" ht="27" customHeight="1">
      <c r="A371" s="64" t="inlineStr">
        <is>
          <t>SU003058</t>
        </is>
      </c>
      <c r="B371" s="64" t="inlineStr">
        <is>
          <t>P003620</t>
        </is>
      </c>
      <c r="C371" s="37" t="n">
        <v>4301032042</v>
      </c>
      <c r="D371" s="328" t="n">
        <v>4680115883017</v>
      </c>
      <c r="E371" s="642" t="n"/>
      <c r="F371" s="674" t="n">
        <v>0.03</v>
      </c>
      <c r="G371" s="38" t="n">
        <v>20</v>
      </c>
      <c r="H371" s="674" t="n">
        <v>0.6</v>
      </c>
      <c r="I371" s="674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1" s="676" t="n"/>
      <c r="O371" s="676" t="n"/>
      <c r="P371" s="676" t="n"/>
      <c r="Q371" s="642" t="n"/>
      <c r="R371" s="40" t="inlineStr"/>
      <c r="S371" s="40" t="inlineStr"/>
      <c r="T371" s="41" t="inlineStr">
        <is>
          <t>кг</t>
        </is>
      </c>
      <c r="U371" s="677" t="n">
        <v>0</v>
      </c>
      <c r="V371" s="678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SU003061</t>
        </is>
      </c>
      <c r="B372" s="64" t="inlineStr">
        <is>
          <t>P003621</t>
        </is>
      </c>
      <c r="C372" s="37" t="n">
        <v>4301032043</v>
      </c>
      <c r="D372" s="328" t="n">
        <v>4680115883031</v>
      </c>
      <c r="E372" s="642" t="n"/>
      <c r="F372" s="674" t="n">
        <v>0.03</v>
      </c>
      <c r="G372" s="38" t="n">
        <v>20</v>
      </c>
      <c r="H372" s="674" t="n">
        <v>0.6</v>
      </c>
      <c r="I372" s="674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8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2" s="676" t="n"/>
      <c r="O372" s="676" t="n"/>
      <c r="P372" s="676" t="n"/>
      <c r="Q372" s="642" t="n"/>
      <c r="R372" s="40" t="inlineStr"/>
      <c r="S372" s="40" t="inlineStr"/>
      <c r="T372" s="41" t="inlineStr">
        <is>
          <t>кг</t>
        </is>
      </c>
      <c r="U372" s="677" t="n">
        <v>0</v>
      </c>
      <c r="V372" s="678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 ht="27" customHeight="1">
      <c r="A373" s="64" t="inlineStr">
        <is>
          <t>SU003057</t>
        </is>
      </c>
      <c r="B373" s="64" t="inlineStr">
        <is>
          <t>P003619</t>
        </is>
      </c>
      <c r="C373" s="37" t="n">
        <v>4301032041</v>
      </c>
      <c r="D373" s="328" t="n">
        <v>4680115883024</v>
      </c>
      <c r="E373" s="642" t="n"/>
      <c r="F373" s="674" t="n">
        <v>0.03</v>
      </c>
      <c r="G373" s="38" t="n">
        <v>20</v>
      </c>
      <c r="H373" s="674" t="n">
        <v>0.6</v>
      </c>
      <c r="I373" s="674" t="n">
        <v>0.63</v>
      </c>
      <c r="J373" s="38" t="n">
        <v>350</v>
      </c>
      <c r="K373" s="39" t="inlineStr">
        <is>
          <t>ДК</t>
        </is>
      </c>
      <c r="L373" s="38" t="n">
        <v>60</v>
      </c>
      <c r="M373" s="88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3" s="676" t="n"/>
      <c r="O373" s="676" t="n"/>
      <c r="P373" s="676" t="n"/>
      <c r="Q373" s="642" t="n"/>
      <c r="R373" s="40" t="inlineStr"/>
      <c r="S373" s="40" t="inlineStr"/>
      <c r="T373" s="41" t="inlineStr">
        <is>
          <t>кг</t>
        </is>
      </c>
      <c r="U373" s="677" t="n">
        <v>0</v>
      </c>
      <c r="V373" s="678">
        <f>IFERROR(IF(U373="",0,CEILING((U373/$H373),1)*$H373),"")</f>
        <v/>
      </c>
      <c r="W373" s="42">
        <f>IFERROR(IF(V373=0,"",ROUNDUP(V373/H373,0)*0.00349),"")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2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9" t="n"/>
      <c r="M374" s="680" t="inlineStr">
        <is>
          <t>Итого</t>
        </is>
      </c>
      <c r="N374" s="650" t="n"/>
      <c r="O374" s="650" t="n"/>
      <c r="P374" s="650" t="n"/>
      <c r="Q374" s="650" t="n"/>
      <c r="R374" s="650" t="n"/>
      <c r="S374" s="651" t="n"/>
      <c r="T374" s="43" t="inlineStr">
        <is>
          <t>кор</t>
        </is>
      </c>
      <c r="U374" s="681">
        <f>IFERROR(U371/H371,"0")+IFERROR(U372/H372,"0")+IFERROR(U373/H373,"0")</f>
        <v/>
      </c>
      <c r="V374" s="681">
        <f>IFERROR(V371/H371,"0")+IFERROR(V372/H372,"0")+IFERROR(V373/H373,"0")</f>
        <v/>
      </c>
      <c r="W374" s="681">
        <f>IFERROR(IF(W371="",0,W371),"0")+IFERROR(IF(W372="",0,W372),"0")+IFERROR(IF(W373="",0,W373),"0")</f>
        <v/>
      </c>
      <c r="X374" s="682" t="n"/>
      <c r="Y374" s="682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9" t="n"/>
      <c r="M375" s="680" t="inlineStr">
        <is>
          <t>Итого</t>
        </is>
      </c>
      <c r="N375" s="650" t="n"/>
      <c r="O375" s="650" t="n"/>
      <c r="P375" s="650" t="n"/>
      <c r="Q375" s="650" t="n"/>
      <c r="R375" s="650" t="n"/>
      <c r="S375" s="651" t="n"/>
      <c r="T375" s="43" t="inlineStr">
        <is>
          <t>кг</t>
        </is>
      </c>
      <c r="U375" s="681">
        <f>IFERROR(SUM(U371:U373),"0")</f>
        <v/>
      </c>
      <c r="V375" s="681">
        <f>IFERROR(SUM(V371:V373),"0")</f>
        <v/>
      </c>
      <c r="W375" s="43" t="n"/>
      <c r="X375" s="682" t="n"/>
      <c r="Y375" s="682" t="n"/>
    </row>
    <row r="376" ht="14.25" customHeight="1">
      <c r="A376" s="327" t="inlineStr">
        <is>
          <t>Сыровяленые колбасы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7" t="n"/>
      <c r="Y376" s="327" t="n"/>
    </row>
    <row r="377" ht="27" customHeight="1">
      <c r="A377" s="64" t="inlineStr">
        <is>
          <t>SU003060</t>
        </is>
      </c>
      <c r="B377" s="64" t="inlineStr">
        <is>
          <t>P003624</t>
        </is>
      </c>
      <c r="C377" s="37" t="n">
        <v>4301170009</v>
      </c>
      <c r="D377" s="328" t="n">
        <v>4680115882997</v>
      </c>
      <c r="E377" s="642" t="n"/>
      <c r="F377" s="674" t="n">
        <v>0.13</v>
      </c>
      <c r="G377" s="38" t="n">
        <v>10</v>
      </c>
      <c r="H377" s="674" t="n">
        <v>1.3</v>
      </c>
      <c r="I377" s="674" t="n">
        <v>1.46</v>
      </c>
      <c r="J377" s="38" t="n">
        <v>200</v>
      </c>
      <c r="K377" s="39" t="inlineStr">
        <is>
          <t>ДК</t>
        </is>
      </c>
      <c r="L377" s="38" t="n">
        <v>150</v>
      </c>
      <c r="M377" s="882" t="inlineStr">
        <is>
          <t>с/в колбасы «Филейбургская с филе сочного окорока» ф/в 0,13 н/о ТМ «Баварушка»</t>
        </is>
      </c>
      <c r="N377" s="676" t="n"/>
      <c r="O377" s="676" t="n"/>
      <c r="P377" s="676" t="n"/>
      <c r="Q377" s="642" t="n"/>
      <c r="R377" s="40" t="inlineStr"/>
      <c r="S377" s="40" t="inlineStr"/>
      <c r="T377" s="41" t="inlineStr">
        <is>
          <t>кг</t>
        </is>
      </c>
      <c r="U377" s="677" t="n">
        <v>0</v>
      </c>
      <c r="V377" s="678">
        <f>IFERROR(IF(U377="",0,CEILING((U377/$H377),1)*$H377),"")</f>
        <v/>
      </c>
      <c r="W377" s="42">
        <f>IFERROR(IF(V377=0,"",ROUNDUP(V377/H377,0)*0.00673),"")</f>
        <v/>
      </c>
      <c r="X377" s="69" t="inlineStr"/>
      <c r="Y377" s="70" t="inlineStr"/>
      <c r="AC377" s="71" t="n"/>
      <c r="AZ377" s="273" t="inlineStr">
        <is>
          <t>КИ</t>
        </is>
      </c>
    </row>
    <row r="378">
      <c r="A378" s="322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9" t="n"/>
      <c r="M378" s="680" t="inlineStr">
        <is>
          <t>Итого</t>
        </is>
      </c>
      <c r="N378" s="650" t="n"/>
      <c r="O378" s="650" t="n"/>
      <c r="P378" s="650" t="n"/>
      <c r="Q378" s="650" t="n"/>
      <c r="R378" s="650" t="n"/>
      <c r="S378" s="651" t="n"/>
      <c r="T378" s="43" t="inlineStr">
        <is>
          <t>кор</t>
        </is>
      </c>
      <c r="U378" s="681">
        <f>IFERROR(U377/H377,"0")</f>
        <v/>
      </c>
      <c r="V378" s="681">
        <f>IFERROR(V377/H377,"0")</f>
        <v/>
      </c>
      <c r="W378" s="681">
        <f>IFERROR(IF(W377="",0,W377),"0")</f>
        <v/>
      </c>
      <c r="X378" s="682" t="n"/>
      <c r="Y378" s="682" t="n"/>
    </row>
    <row r="379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9" t="n"/>
      <c r="M379" s="680" t="inlineStr">
        <is>
          <t>Итого</t>
        </is>
      </c>
      <c r="N379" s="650" t="n"/>
      <c r="O379" s="650" t="n"/>
      <c r="P379" s="650" t="n"/>
      <c r="Q379" s="650" t="n"/>
      <c r="R379" s="650" t="n"/>
      <c r="S379" s="651" t="n"/>
      <c r="T379" s="43" t="inlineStr">
        <is>
          <t>кг</t>
        </is>
      </c>
      <c r="U379" s="681">
        <f>IFERROR(SUM(U377:U377),"0")</f>
        <v/>
      </c>
      <c r="V379" s="681">
        <f>IFERROR(SUM(V377:V377),"0")</f>
        <v/>
      </c>
      <c r="W379" s="43" t="n"/>
      <c r="X379" s="682" t="n"/>
      <c r="Y379" s="682" t="n"/>
    </row>
    <row r="380" ht="16.5" customHeight="1">
      <c r="A380" s="335" t="inlineStr">
        <is>
          <t>Балыкбургская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5" t="n"/>
      <c r="Y380" s="335" t="n"/>
    </row>
    <row r="381" ht="14.25" customHeight="1">
      <c r="A381" s="327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27" t="n"/>
      <c r="Y381" s="327" t="n"/>
    </row>
    <row r="382" ht="27" customHeight="1">
      <c r="A382" s="64" t="inlineStr">
        <is>
          <t>SU002542</t>
        </is>
      </c>
      <c r="B382" s="64" t="inlineStr">
        <is>
          <t>P002847</t>
        </is>
      </c>
      <c r="C382" s="37" t="n">
        <v>4301020196</v>
      </c>
      <c r="D382" s="328" t="n">
        <v>4607091389388</v>
      </c>
      <c r="E382" s="642" t="n"/>
      <c r="F382" s="674" t="n">
        <v>1.3</v>
      </c>
      <c r="G382" s="38" t="n">
        <v>4</v>
      </c>
      <c r="H382" s="674" t="n">
        <v>5.2</v>
      </c>
      <c r="I382" s="674" t="n">
        <v>5.608</v>
      </c>
      <c r="J382" s="38" t="n">
        <v>104</v>
      </c>
      <c r="K382" s="39" t="inlineStr">
        <is>
          <t>СК3</t>
        </is>
      </c>
      <c r="L382" s="38" t="n">
        <v>35</v>
      </c>
      <c r="M382" s="88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2" s="676" t="n"/>
      <c r="O382" s="676" t="n"/>
      <c r="P382" s="676" t="n"/>
      <c r="Q382" s="642" t="n"/>
      <c r="R382" s="40" t="inlineStr"/>
      <c r="S382" s="40" t="inlineStr"/>
      <c r="T382" s="41" t="inlineStr">
        <is>
          <t>кг</t>
        </is>
      </c>
      <c r="U382" s="677" t="n">
        <v>0</v>
      </c>
      <c r="V382" s="678">
        <f>IFERROR(IF(U382="",0,CEILING((U382/$H382),1)*$H382),"")</f>
        <v/>
      </c>
      <c r="W382" s="42">
        <f>IFERROR(IF(V382=0,"",ROUNDUP(V382/H382,0)*0.01196),"")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SU002319</t>
        </is>
      </c>
      <c r="B383" s="64" t="inlineStr">
        <is>
          <t>P002597</t>
        </is>
      </c>
      <c r="C383" s="37" t="n">
        <v>4301020185</v>
      </c>
      <c r="D383" s="328" t="n">
        <v>4607091389364</v>
      </c>
      <c r="E383" s="642" t="n"/>
      <c r="F383" s="674" t="n">
        <v>0.42</v>
      </c>
      <c r="G383" s="38" t="n">
        <v>6</v>
      </c>
      <c r="H383" s="674" t="n">
        <v>2.52</v>
      </c>
      <c r="I383" s="674" t="n">
        <v>2.75</v>
      </c>
      <c r="J383" s="38" t="n">
        <v>156</v>
      </c>
      <c r="K383" s="39" t="inlineStr">
        <is>
          <t>СК3</t>
        </is>
      </c>
      <c r="L383" s="38" t="n">
        <v>35</v>
      </c>
      <c r="M383" s="88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3" s="676" t="n"/>
      <c r="O383" s="676" t="n"/>
      <c r="P383" s="676" t="n"/>
      <c r="Q383" s="642" t="n"/>
      <c r="R383" s="40" t="inlineStr"/>
      <c r="S383" s="40" t="inlineStr"/>
      <c r="T383" s="41" t="inlineStr">
        <is>
          <t>кг</t>
        </is>
      </c>
      <c r="U383" s="677" t="n">
        <v>0</v>
      </c>
      <c r="V383" s="678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>
      <c r="A384" s="322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9" t="n"/>
      <c r="M384" s="680" t="inlineStr">
        <is>
          <t>Итого</t>
        </is>
      </c>
      <c r="N384" s="650" t="n"/>
      <c r="O384" s="650" t="n"/>
      <c r="P384" s="650" t="n"/>
      <c r="Q384" s="650" t="n"/>
      <c r="R384" s="650" t="n"/>
      <c r="S384" s="651" t="n"/>
      <c r="T384" s="43" t="inlineStr">
        <is>
          <t>кор</t>
        </is>
      </c>
      <c r="U384" s="681">
        <f>IFERROR(U382/H382,"0")+IFERROR(U383/H383,"0")</f>
        <v/>
      </c>
      <c r="V384" s="681">
        <f>IFERROR(V382/H382,"0")+IFERROR(V383/H383,"0")</f>
        <v/>
      </c>
      <c r="W384" s="681">
        <f>IFERROR(IF(W382="",0,W382),"0")+IFERROR(IF(W383="",0,W383),"0")</f>
        <v/>
      </c>
      <c r="X384" s="682" t="n"/>
      <c r="Y384" s="68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9" t="n"/>
      <c r="M385" s="680" t="inlineStr">
        <is>
          <t>Итого</t>
        </is>
      </c>
      <c r="N385" s="650" t="n"/>
      <c r="O385" s="650" t="n"/>
      <c r="P385" s="650" t="n"/>
      <c r="Q385" s="650" t="n"/>
      <c r="R385" s="650" t="n"/>
      <c r="S385" s="651" t="n"/>
      <c r="T385" s="43" t="inlineStr">
        <is>
          <t>кг</t>
        </is>
      </c>
      <c r="U385" s="681">
        <f>IFERROR(SUM(U382:U383),"0")</f>
        <v/>
      </c>
      <c r="V385" s="681">
        <f>IFERROR(SUM(V382:V383),"0")</f>
        <v/>
      </c>
      <c r="W385" s="43" t="n"/>
      <c r="X385" s="682" t="n"/>
      <c r="Y385" s="682" t="n"/>
    </row>
    <row r="386" ht="14.25" customHeight="1">
      <c r="A386" s="327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27" t="n"/>
      <c r="Y386" s="327" t="n"/>
    </row>
    <row r="387" ht="27" customHeight="1">
      <c r="A387" s="64" t="inlineStr">
        <is>
          <t>SU002612</t>
        </is>
      </c>
      <c r="B387" s="64" t="inlineStr">
        <is>
          <t>P003140</t>
        </is>
      </c>
      <c r="C387" s="37" t="n">
        <v>4301031212</v>
      </c>
      <c r="D387" s="328" t="n">
        <v>4607091389739</v>
      </c>
      <c r="E387" s="642" t="n"/>
      <c r="F387" s="674" t="n">
        <v>0.7</v>
      </c>
      <c r="G387" s="38" t="n">
        <v>6</v>
      </c>
      <c r="H387" s="674" t="n">
        <v>4.2</v>
      </c>
      <c r="I387" s="674" t="n">
        <v>4.43</v>
      </c>
      <c r="J387" s="38" t="n">
        <v>156</v>
      </c>
      <c r="K387" s="39" t="inlineStr">
        <is>
          <t>СК1</t>
        </is>
      </c>
      <c r="L387" s="38" t="n">
        <v>45</v>
      </c>
      <c r="M387" s="88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7" s="676" t="n"/>
      <c r="O387" s="676" t="n"/>
      <c r="P387" s="676" t="n"/>
      <c r="Q387" s="642" t="n"/>
      <c r="R387" s="40" t="inlineStr"/>
      <c r="S387" s="40" t="inlineStr"/>
      <c r="T387" s="41" t="inlineStr">
        <is>
          <t>кг</t>
        </is>
      </c>
      <c r="U387" s="677" t="n">
        <v>0</v>
      </c>
      <c r="V387" s="678">
        <f>IFERROR(IF(U387="",0,CEILING((U387/$H387),1)*$H387),"")</f>
        <v/>
      </c>
      <c r="W387" s="42">
        <f>IFERROR(IF(V387=0,"",ROUNDUP(V387/H387,0)*0.00753),"")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SU003071</t>
        </is>
      </c>
      <c r="B388" s="64" t="inlineStr">
        <is>
          <t>P003612</t>
        </is>
      </c>
      <c r="C388" s="37" t="n">
        <v>4301031247</v>
      </c>
      <c r="D388" s="328" t="n">
        <v>4680115883048</v>
      </c>
      <c r="E388" s="642" t="n"/>
      <c r="F388" s="674" t="n">
        <v>1</v>
      </c>
      <c r="G388" s="38" t="n">
        <v>4</v>
      </c>
      <c r="H388" s="674" t="n">
        <v>4</v>
      </c>
      <c r="I388" s="674" t="n">
        <v>4.21</v>
      </c>
      <c r="J388" s="38" t="n">
        <v>120</v>
      </c>
      <c r="K388" s="39" t="inlineStr">
        <is>
          <t>СК2</t>
        </is>
      </c>
      <c r="L388" s="38" t="n">
        <v>40</v>
      </c>
      <c r="M388" s="88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8" s="676" t="n"/>
      <c r="O388" s="676" t="n"/>
      <c r="P388" s="676" t="n"/>
      <c r="Q388" s="642" t="n"/>
      <c r="R388" s="40" t="inlineStr"/>
      <c r="S388" s="40" t="inlineStr"/>
      <c r="T388" s="41" t="inlineStr">
        <is>
          <t>кг</t>
        </is>
      </c>
      <c r="U388" s="677" t="n">
        <v>0</v>
      </c>
      <c r="V388" s="678">
        <f>IFERROR(IF(U388="",0,CEILING((U388/$H388),1)*$H388),"")</f>
        <v/>
      </c>
      <c r="W388" s="42">
        <f>IFERROR(IF(V388=0,"",ROUNDUP(V388/H388,0)*0.00937),"")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SU002545</t>
        </is>
      </c>
      <c r="B389" s="64" t="inlineStr">
        <is>
          <t>P003137</t>
        </is>
      </c>
      <c r="C389" s="37" t="n">
        <v>4301031176</v>
      </c>
      <c r="D389" s="328" t="n">
        <v>4607091389425</v>
      </c>
      <c r="E389" s="642" t="n"/>
      <c r="F389" s="674" t="n">
        <v>0.35</v>
      </c>
      <c r="G389" s="38" t="n">
        <v>6</v>
      </c>
      <c r="H389" s="674" t="n">
        <v>2.1</v>
      </c>
      <c r="I389" s="674" t="n">
        <v>2.23</v>
      </c>
      <c r="J389" s="38" t="n">
        <v>234</v>
      </c>
      <c r="K389" s="39" t="inlineStr">
        <is>
          <t>СК2</t>
        </is>
      </c>
      <c r="L389" s="38" t="n">
        <v>45</v>
      </c>
      <c r="M389" s="88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9" s="676" t="n"/>
      <c r="O389" s="676" t="n"/>
      <c r="P389" s="676" t="n"/>
      <c r="Q389" s="642" t="n"/>
      <c r="R389" s="40" t="inlineStr"/>
      <c r="S389" s="40" t="inlineStr"/>
      <c r="T389" s="41" t="inlineStr">
        <is>
          <t>кг</t>
        </is>
      </c>
      <c r="U389" s="677" t="n">
        <v>0</v>
      </c>
      <c r="V389" s="678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SU002917</t>
        </is>
      </c>
      <c r="B390" s="64" t="inlineStr">
        <is>
          <t>P003343</t>
        </is>
      </c>
      <c r="C390" s="37" t="n">
        <v>4301031215</v>
      </c>
      <c r="D390" s="328" t="n">
        <v>4680115882911</v>
      </c>
      <c r="E390" s="642" t="n"/>
      <c r="F390" s="674" t="n">
        <v>0.4</v>
      </c>
      <c r="G390" s="38" t="n">
        <v>6</v>
      </c>
      <c r="H390" s="674" t="n">
        <v>2.4</v>
      </c>
      <c r="I390" s="674" t="n">
        <v>2.53</v>
      </c>
      <c r="J390" s="38" t="n">
        <v>234</v>
      </c>
      <c r="K390" s="39" t="inlineStr">
        <is>
          <t>СК2</t>
        </is>
      </c>
      <c r="L390" s="38" t="n">
        <v>40</v>
      </c>
      <c r="M390" s="888" t="inlineStr">
        <is>
          <t>П/к колбасы «Балыкбургская по-баварски» Фикс.вес 0,4 н/о мгс ТМ «Баварушка»</t>
        </is>
      </c>
      <c r="N390" s="676" t="n"/>
      <c r="O390" s="676" t="n"/>
      <c r="P390" s="676" t="n"/>
      <c r="Q390" s="642" t="n"/>
      <c r="R390" s="40" t="inlineStr"/>
      <c r="S390" s="40" t="inlineStr"/>
      <c r="T390" s="41" t="inlineStr">
        <is>
          <t>кг</t>
        </is>
      </c>
      <c r="U390" s="677" t="n">
        <v>0</v>
      </c>
      <c r="V390" s="678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SU002726</t>
        </is>
      </c>
      <c r="B391" s="64" t="inlineStr">
        <is>
          <t>P003095</t>
        </is>
      </c>
      <c r="C391" s="37" t="n">
        <v>4301031167</v>
      </c>
      <c r="D391" s="328" t="n">
        <v>4680115880771</v>
      </c>
      <c r="E391" s="642" t="n"/>
      <c r="F391" s="674" t="n">
        <v>0.28</v>
      </c>
      <c r="G391" s="38" t="n">
        <v>6</v>
      </c>
      <c r="H391" s="674" t="n">
        <v>1.68</v>
      </c>
      <c r="I391" s="674" t="n">
        <v>1.81</v>
      </c>
      <c r="J391" s="38" t="n">
        <v>234</v>
      </c>
      <c r="K391" s="39" t="inlineStr">
        <is>
          <t>СК2</t>
        </is>
      </c>
      <c r="L391" s="38" t="n">
        <v>45</v>
      </c>
      <c r="M391" s="88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1" s="676" t="n"/>
      <c r="O391" s="676" t="n"/>
      <c r="P391" s="676" t="n"/>
      <c r="Q391" s="642" t="n"/>
      <c r="R391" s="40" t="inlineStr"/>
      <c r="S391" s="40" t="inlineStr"/>
      <c r="T391" s="41" t="inlineStr">
        <is>
          <t>кг</t>
        </is>
      </c>
      <c r="U391" s="677" t="n">
        <v>0</v>
      </c>
      <c r="V391" s="678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SU002604</t>
        </is>
      </c>
      <c r="B392" s="64" t="inlineStr">
        <is>
          <t>P003135</t>
        </is>
      </c>
      <c r="C392" s="37" t="n">
        <v>4301031173</v>
      </c>
      <c r="D392" s="328" t="n">
        <v>4607091389500</v>
      </c>
      <c r="E392" s="642" t="n"/>
      <c r="F392" s="674" t="n">
        <v>0.35</v>
      </c>
      <c r="G392" s="38" t="n">
        <v>6</v>
      </c>
      <c r="H392" s="674" t="n">
        <v>2.1</v>
      </c>
      <c r="I392" s="674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9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2" s="676" t="n"/>
      <c r="O392" s="676" t="n"/>
      <c r="P392" s="676" t="n"/>
      <c r="Q392" s="642" t="n"/>
      <c r="R392" s="40" t="inlineStr"/>
      <c r="S392" s="40" t="inlineStr"/>
      <c r="T392" s="41" t="inlineStr">
        <is>
          <t>кг</t>
        </is>
      </c>
      <c r="U392" s="677" t="n">
        <v>0</v>
      </c>
      <c r="V392" s="678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 ht="27" customHeight="1">
      <c r="A393" s="64" t="inlineStr">
        <is>
          <t>SU002358</t>
        </is>
      </c>
      <c r="B393" s="64" t="inlineStr">
        <is>
          <t>P002642</t>
        </is>
      </c>
      <c r="C393" s="37" t="n">
        <v>4301031103</v>
      </c>
      <c r="D393" s="328" t="n">
        <v>4680115881983</v>
      </c>
      <c r="E393" s="642" t="n"/>
      <c r="F393" s="674" t="n">
        <v>0.28</v>
      </c>
      <c r="G393" s="38" t="n">
        <v>4</v>
      </c>
      <c r="H393" s="674" t="n">
        <v>1.12</v>
      </c>
      <c r="I393" s="674" t="n">
        <v>1.252</v>
      </c>
      <c r="J393" s="38" t="n">
        <v>234</v>
      </c>
      <c r="K393" s="39" t="inlineStr">
        <is>
          <t>СК2</t>
        </is>
      </c>
      <c r="L393" s="38" t="n">
        <v>40</v>
      </c>
      <c r="M393" s="89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3" s="676" t="n"/>
      <c r="O393" s="676" t="n"/>
      <c r="P393" s="676" t="n"/>
      <c r="Q393" s="642" t="n"/>
      <c r="R393" s="40" t="inlineStr"/>
      <c r="S393" s="40" t="inlineStr"/>
      <c r="T393" s="41" t="inlineStr">
        <is>
          <t>кг</t>
        </is>
      </c>
      <c r="U393" s="677" t="n">
        <v>0</v>
      </c>
      <c r="V393" s="678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2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9" t="n"/>
      <c r="M394" s="680" t="inlineStr">
        <is>
          <t>Итого</t>
        </is>
      </c>
      <c r="N394" s="650" t="n"/>
      <c r="O394" s="650" t="n"/>
      <c r="P394" s="650" t="n"/>
      <c r="Q394" s="650" t="n"/>
      <c r="R394" s="650" t="n"/>
      <c r="S394" s="651" t="n"/>
      <c r="T394" s="43" t="inlineStr">
        <is>
          <t>кор</t>
        </is>
      </c>
      <c r="U394" s="681">
        <f>IFERROR(U387/H387,"0")+IFERROR(U388/H388,"0")+IFERROR(U389/H389,"0")+IFERROR(U390/H390,"0")+IFERROR(U391/H391,"0")+IFERROR(U392/H392,"0")+IFERROR(U393/H393,"0")</f>
        <v/>
      </c>
      <c r="V394" s="681">
        <f>IFERROR(V387/H387,"0")+IFERROR(V388/H388,"0")+IFERROR(V389/H389,"0")+IFERROR(V390/H390,"0")+IFERROR(V391/H391,"0")+IFERROR(V392/H392,"0")+IFERROR(V393/H393,"0")</f>
        <v/>
      </c>
      <c r="W394" s="681">
        <f>IFERROR(IF(W387="",0,W387),"0")+IFERROR(IF(W388="",0,W388),"0")+IFERROR(IF(W389="",0,W389),"0")+IFERROR(IF(W390="",0,W390),"0")+IFERROR(IF(W391="",0,W391),"0")+IFERROR(IF(W392="",0,W392),"0")+IFERROR(IF(W393="",0,W393),"0")</f>
        <v/>
      </c>
      <c r="X394" s="682" t="n"/>
      <c r="Y394" s="682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9" t="n"/>
      <c r="M395" s="680" t="inlineStr">
        <is>
          <t>Итого</t>
        </is>
      </c>
      <c r="N395" s="650" t="n"/>
      <c r="O395" s="650" t="n"/>
      <c r="P395" s="650" t="n"/>
      <c r="Q395" s="650" t="n"/>
      <c r="R395" s="650" t="n"/>
      <c r="S395" s="651" t="n"/>
      <c r="T395" s="43" t="inlineStr">
        <is>
          <t>кг</t>
        </is>
      </c>
      <c r="U395" s="681">
        <f>IFERROR(SUM(U387:U393),"0")</f>
        <v/>
      </c>
      <c r="V395" s="681">
        <f>IFERROR(SUM(V387:V393),"0")</f>
        <v/>
      </c>
      <c r="W395" s="43" t="n"/>
      <c r="X395" s="682" t="n"/>
      <c r="Y395" s="682" t="n"/>
    </row>
    <row r="396" ht="14.25" customHeight="1">
      <c r="A396" s="327" t="inlineStr">
        <is>
          <t>Сырокопченые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7" t="n"/>
      <c r="Y396" s="327" t="n"/>
    </row>
    <row r="397" ht="27" customHeight="1">
      <c r="A397" s="64" t="inlineStr">
        <is>
          <t>SU003059</t>
        </is>
      </c>
      <c r="B397" s="64" t="inlineStr">
        <is>
          <t>P003623</t>
        </is>
      </c>
      <c r="C397" s="37" t="n">
        <v>4301032044</v>
      </c>
      <c r="D397" s="328" t="n">
        <v>4680115883000</v>
      </c>
      <c r="E397" s="642" t="n"/>
      <c r="F397" s="674" t="n">
        <v>0.03</v>
      </c>
      <c r="G397" s="38" t="n">
        <v>20</v>
      </c>
      <c r="H397" s="674" t="n">
        <v>0.6</v>
      </c>
      <c r="I397" s="674" t="n">
        <v>0.63</v>
      </c>
      <c r="J397" s="38" t="n">
        <v>350</v>
      </c>
      <c r="K397" s="39" t="inlineStr">
        <is>
          <t>ДК</t>
        </is>
      </c>
      <c r="L397" s="38" t="n">
        <v>60</v>
      </c>
      <c r="M397" s="89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7" s="676" t="n"/>
      <c r="O397" s="676" t="n"/>
      <c r="P397" s="676" t="n"/>
      <c r="Q397" s="642" t="n"/>
      <c r="R397" s="40" t="inlineStr"/>
      <c r="S397" s="40" t="inlineStr"/>
      <c r="T397" s="41" t="inlineStr">
        <is>
          <t>кг</t>
        </is>
      </c>
      <c r="U397" s="677" t="n">
        <v>0</v>
      </c>
      <c r="V397" s="678">
        <f>IFERROR(IF(U397="",0,CEILING((U397/$H397),1)*$H397),"")</f>
        <v/>
      </c>
      <c r="W397" s="42">
        <f>IFERROR(IF(V397=0,"",ROUNDUP(V397/H397,0)*0.00349),"")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2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9" t="n"/>
      <c r="M398" s="680" t="inlineStr">
        <is>
          <t>Итого</t>
        </is>
      </c>
      <c r="N398" s="650" t="n"/>
      <c r="O398" s="650" t="n"/>
      <c r="P398" s="650" t="n"/>
      <c r="Q398" s="650" t="n"/>
      <c r="R398" s="650" t="n"/>
      <c r="S398" s="651" t="n"/>
      <c r="T398" s="43" t="inlineStr">
        <is>
          <t>кор</t>
        </is>
      </c>
      <c r="U398" s="681">
        <f>IFERROR(U397/H397,"0")</f>
        <v/>
      </c>
      <c r="V398" s="681">
        <f>IFERROR(V397/H397,"0")</f>
        <v/>
      </c>
      <c r="W398" s="681">
        <f>IFERROR(IF(W397="",0,W397),"0")</f>
        <v/>
      </c>
      <c r="X398" s="682" t="n"/>
      <c r="Y398" s="682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9" t="n"/>
      <c r="M399" s="680" t="inlineStr">
        <is>
          <t>Итого</t>
        </is>
      </c>
      <c r="N399" s="650" t="n"/>
      <c r="O399" s="650" t="n"/>
      <c r="P399" s="650" t="n"/>
      <c r="Q399" s="650" t="n"/>
      <c r="R399" s="650" t="n"/>
      <c r="S399" s="651" t="n"/>
      <c r="T399" s="43" t="inlineStr">
        <is>
          <t>кг</t>
        </is>
      </c>
      <c r="U399" s="681">
        <f>IFERROR(SUM(U397:U397),"0")</f>
        <v/>
      </c>
      <c r="V399" s="681">
        <f>IFERROR(SUM(V397:V397),"0")</f>
        <v/>
      </c>
      <c r="W399" s="43" t="n"/>
      <c r="X399" s="682" t="n"/>
      <c r="Y399" s="682" t="n"/>
    </row>
    <row r="400" ht="14.25" customHeight="1">
      <c r="A400" s="327" t="inlineStr">
        <is>
          <t>Сыровяленые колбасы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7" t="n"/>
      <c r="Y400" s="327" t="n"/>
    </row>
    <row r="401" ht="27" customHeight="1">
      <c r="A401" s="64" t="inlineStr">
        <is>
          <t>SU003056</t>
        </is>
      </c>
      <c r="B401" s="64" t="inlineStr">
        <is>
          <t>P003622</t>
        </is>
      </c>
      <c r="C401" s="37" t="n">
        <v>4301170008</v>
      </c>
      <c r="D401" s="328" t="n">
        <v>4680115882980</v>
      </c>
      <c r="E401" s="642" t="n"/>
      <c r="F401" s="674" t="n">
        <v>0.13</v>
      </c>
      <c r="G401" s="38" t="n">
        <v>10</v>
      </c>
      <c r="H401" s="674" t="n">
        <v>1.3</v>
      </c>
      <c r="I401" s="674" t="n">
        <v>1.46</v>
      </c>
      <c r="J401" s="38" t="n">
        <v>200</v>
      </c>
      <c r="K401" s="39" t="inlineStr">
        <is>
          <t>ДК</t>
        </is>
      </c>
      <c r="L401" s="38" t="n">
        <v>150</v>
      </c>
      <c r="M401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1" s="676" t="n"/>
      <c r="O401" s="676" t="n"/>
      <c r="P401" s="676" t="n"/>
      <c r="Q401" s="642" t="n"/>
      <c r="R401" s="40" t="inlineStr"/>
      <c r="S401" s="40" t="inlineStr"/>
      <c r="T401" s="41" t="inlineStr">
        <is>
          <t>кг</t>
        </is>
      </c>
      <c r="U401" s="677" t="n">
        <v>0</v>
      </c>
      <c r="V401" s="678">
        <f>IFERROR(IF(U401="",0,CEILING((U401/$H401),1)*$H401),"")</f>
        <v/>
      </c>
      <c r="W401" s="42">
        <f>IFERROR(IF(V401=0,"",ROUNDUP(V401/H401,0)*0.00673),"")</f>
        <v/>
      </c>
      <c r="X401" s="69" t="inlineStr"/>
      <c r="Y401" s="70" t="inlineStr"/>
      <c r="AC401" s="71" t="n"/>
      <c r="AZ401" s="284" t="inlineStr">
        <is>
          <t>КИ</t>
        </is>
      </c>
    </row>
    <row r="402">
      <c r="A402" s="322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9" t="n"/>
      <c r="M402" s="680" t="inlineStr">
        <is>
          <t>Итого</t>
        </is>
      </c>
      <c r="N402" s="650" t="n"/>
      <c r="O402" s="650" t="n"/>
      <c r="P402" s="650" t="n"/>
      <c r="Q402" s="650" t="n"/>
      <c r="R402" s="650" t="n"/>
      <c r="S402" s="651" t="n"/>
      <c r="T402" s="43" t="inlineStr">
        <is>
          <t>кор</t>
        </is>
      </c>
      <c r="U402" s="681">
        <f>IFERROR(U401/H401,"0")</f>
        <v/>
      </c>
      <c r="V402" s="681">
        <f>IFERROR(V401/H401,"0")</f>
        <v/>
      </c>
      <c r="W402" s="681">
        <f>IFERROR(IF(W401="",0,W401),"0")</f>
        <v/>
      </c>
      <c r="X402" s="682" t="n"/>
      <c r="Y402" s="682" t="n"/>
    </row>
    <row r="40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679" t="n"/>
      <c r="M403" s="680" t="inlineStr">
        <is>
          <t>Итого</t>
        </is>
      </c>
      <c r="N403" s="650" t="n"/>
      <c r="O403" s="650" t="n"/>
      <c r="P403" s="650" t="n"/>
      <c r="Q403" s="650" t="n"/>
      <c r="R403" s="650" t="n"/>
      <c r="S403" s="651" t="n"/>
      <c r="T403" s="43" t="inlineStr">
        <is>
          <t>кг</t>
        </is>
      </c>
      <c r="U403" s="681">
        <f>IFERROR(SUM(U401:U401),"0")</f>
        <v/>
      </c>
      <c r="V403" s="681">
        <f>IFERROR(SUM(V401:V401),"0")</f>
        <v/>
      </c>
      <c r="W403" s="43" t="n"/>
      <c r="X403" s="682" t="n"/>
      <c r="Y403" s="682" t="n"/>
    </row>
    <row r="404" ht="27.75" customHeight="1">
      <c r="A404" s="341" t="inlineStr">
        <is>
          <t>Дугушка</t>
        </is>
      </c>
      <c r="B404" s="673" t="n"/>
      <c r="C404" s="673" t="n"/>
      <c r="D404" s="673" t="n"/>
      <c r="E404" s="673" t="n"/>
      <c r="F404" s="673" t="n"/>
      <c r="G404" s="673" t="n"/>
      <c r="H404" s="673" t="n"/>
      <c r="I404" s="673" t="n"/>
      <c r="J404" s="673" t="n"/>
      <c r="K404" s="673" t="n"/>
      <c r="L404" s="673" t="n"/>
      <c r="M404" s="673" t="n"/>
      <c r="N404" s="673" t="n"/>
      <c r="O404" s="673" t="n"/>
      <c r="P404" s="673" t="n"/>
      <c r="Q404" s="673" t="n"/>
      <c r="R404" s="673" t="n"/>
      <c r="S404" s="673" t="n"/>
      <c r="T404" s="673" t="n"/>
      <c r="U404" s="673" t="n"/>
      <c r="V404" s="673" t="n"/>
      <c r="W404" s="673" t="n"/>
      <c r="X404" s="55" t="n"/>
      <c r="Y404" s="55" t="n"/>
    </row>
    <row r="405" ht="16.5" customHeight="1">
      <c r="A405" s="335" t="inlineStr">
        <is>
          <t>Дугушка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5" t="n"/>
      <c r="Y405" s="335" t="n"/>
    </row>
    <row r="406" ht="14.25" customHeight="1">
      <c r="A406" s="327" t="inlineStr">
        <is>
          <t>Вареные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27" t="n"/>
      <c r="Y406" s="327" t="n"/>
    </row>
    <row r="407" ht="27" customHeight="1">
      <c r="A407" s="64" t="inlineStr">
        <is>
          <t>SU002011</t>
        </is>
      </c>
      <c r="B407" s="64" t="inlineStr">
        <is>
          <t>P002991</t>
        </is>
      </c>
      <c r="C407" s="37" t="n">
        <v>4301011371</v>
      </c>
      <c r="D407" s="328" t="n">
        <v>4607091389067</v>
      </c>
      <c r="E407" s="642" t="n"/>
      <c r="F407" s="674" t="n">
        <v>0.88</v>
      </c>
      <c r="G407" s="38" t="n">
        <v>6</v>
      </c>
      <c r="H407" s="674" t="n">
        <v>5.28</v>
      </c>
      <c r="I407" s="674" t="n">
        <v>5.64</v>
      </c>
      <c r="J407" s="38" t="n">
        <v>104</v>
      </c>
      <c r="K407" s="39" t="inlineStr">
        <is>
          <t>СК3</t>
        </is>
      </c>
      <c r="L407" s="38" t="n">
        <v>55</v>
      </c>
      <c r="M407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7" s="676" t="n"/>
      <c r="O407" s="676" t="n"/>
      <c r="P407" s="676" t="n"/>
      <c r="Q407" s="642" t="n"/>
      <c r="R407" s="40" t="inlineStr"/>
      <c r="S407" s="40" t="inlineStr"/>
      <c r="T407" s="41" t="inlineStr">
        <is>
          <t>кг</t>
        </is>
      </c>
      <c r="U407" s="677" t="n">
        <v>0</v>
      </c>
      <c r="V407" s="678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SU002094</t>
        </is>
      </c>
      <c r="B408" s="64" t="inlineStr">
        <is>
          <t>P002975</t>
        </is>
      </c>
      <c r="C408" s="37" t="n">
        <v>4301011363</v>
      </c>
      <c r="D408" s="328" t="n">
        <v>4607091383522</v>
      </c>
      <c r="E408" s="642" t="n"/>
      <c r="F408" s="674" t="n">
        <v>0.88</v>
      </c>
      <c r="G408" s="38" t="n">
        <v>6</v>
      </c>
      <c r="H408" s="674" t="n">
        <v>5.28</v>
      </c>
      <c r="I408" s="674" t="n">
        <v>5.64</v>
      </c>
      <c r="J408" s="38" t="n">
        <v>104</v>
      </c>
      <c r="K408" s="39" t="inlineStr">
        <is>
          <t>СК1</t>
        </is>
      </c>
      <c r="L408" s="38" t="n">
        <v>55</v>
      </c>
      <c r="M408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8" s="676" t="n"/>
      <c r="O408" s="676" t="n"/>
      <c r="P408" s="676" t="n"/>
      <c r="Q408" s="642" t="n"/>
      <c r="R408" s="40" t="inlineStr"/>
      <c r="S408" s="40" t="inlineStr"/>
      <c r="T408" s="41" t="inlineStr">
        <is>
          <t>кг</t>
        </is>
      </c>
      <c r="U408" s="677" t="n">
        <v>0</v>
      </c>
      <c r="V408" s="678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SU002182</t>
        </is>
      </c>
      <c r="B409" s="64" t="inlineStr">
        <is>
          <t>P002990</t>
        </is>
      </c>
      <c r="C409" s="37" t="n">
        <v>4301011431</v>
      </c>
      <c r="D409" s="328" t="n">
        <v>4607091384437</v>
      </c>
      <c r="E409" s="642" t="n"/>
      <c r="F409" s="674" t="n">
        <v>0.88</v>
      </c>
      <c r="G409" s="38" t="n">
        <v>6</v>
      </c>
      <c r="H409" s="674" t="n">
        <v>5.28</v>
      </c>
      <c r="I409" s="674" t="n">
        <v>5.64</v>
      </c>
      <c r="J409" s="38" t="n">
        <v>104</v>
      </c>
      <c r="K409" s="39" t="inlineStr">
        <is>
          <t>СК1</t>
        </is>
      </c>
      <c r="L409" s="38" t="n">
        <v>50</v>
      </c>
      <c r="M409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9" s="676" t="n"/>
      <c r="O409" s="676" t="n"/>
      <c r="P409" s="676" t="n"/>
      <c r="Q409" s="642" t="n"/>
      <c r="R409" s="40" t="inlineStr"/>
      <c r="S409" s="40" t="inlineStr"/>
      <c r="T409" s="41" t="inlineStr">
        <is>
          <t>кг</t>
        </is>
      </c>
      <c r="U409" s="677" t="n">
        <v>0</v>
      </c>
      <c r="V409" s="678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SU002010</t>
        </is>
      </c>
      <c r="B410" s="64" t="inlineStr">
        <is>
          <t>P002979</t>
        </is>
      </c>
      <c r="C410" s="37" t="n">
        <v>4301011365</v>
      </c>
      <c r="D410" s="328" t="n">
        <v>4607091389104</v>
      </c>
      <c r="E410" s="642" t="n"/>
      <c r="F410" s="674" t="n">
        <v>0.88</v>
      </c>
      <c r="G410" s="38" t="n">
        <v>6</v>
      </c>
      <c r="H410" s="674" t="n">
        <v>5.28</v>
      </c>
      <c r="I410" s="674" t="n">
        <v>5.64</v>
      </c>
      <c r="J410" s="38" t="n">
        <v>104</v>
      </c>
      <c r="K410" s="39" t="inlineStr">
        <is>
          <t>СК1</t>
        </is>
      </c>
      <c r="L410" s="38" t="n">
        <v>55</v>
      </c>
      <c r="M410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0" s="676" t="n"/>
      <c r="O410" s="676" t="n"/>
      <c r="P410" s="676" t="n"/>
      <c r="Q410" s="642" t="n"/>
      <c r="R410" s="40" t="inlineStr"/>
      <c r="S410" s="40" t="inlineStr"/>
      <c r="T410" s="41" t="inlineStr">
        <is>
          <t>кг</t>
        </is>
      </c>
      <c r="U410" s="677" t="n">
        <v>0</v>
      </c>
      <c r="V410" s="678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SU002632</t>
        </is>
      </c>
      <c r="B411" s="64" t="inlineStr">
        <is>
          <t>P002982</t>
        </is>
      </c>
      <c r="C411" s="37" t="n">
        <v>4301011367</v>
      </c>
      <c r="D411" s="328" t="n">
        <v>4680115880603</v>
      </c>
      <c r="E411" s="642" t="n"/>
      <c r="F411" s="674" t="n">
        <v>0.6</v>
      </c>
      <c r="G411" s="38" t="n">
        <v>6</v>
      </c>
      <c r="H411" s="674" t="n">
        <v>3.6</v>
      </c>
      <c r="I411" s="674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1" s="676" t="n"/>
      <c r="O411" s="676" t="n"/>
      <c r="P411" s="676" t="n"/>
      <c r="Q411" s="642" t="n"/>
      <c r="R411" s="40" t="inlineStr"/>
      <c r="S411" s="40" t="inlineStr"/>
      <c r="T411" s="41" t="inlineStr">
        <is>
          <t>кг</t>
        </is>
      </c>
      <c r="U411" s="677" t="n">
        <v>0</v>
      </c>
      <c r="V411" s="678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SU002220</t>
        </is>
      </c>
      <c r="B412" s="64" t="inlineStr">
        <is>
          <t>P002404</t>
        </is>
      </c>
      <c r="C412" s="37" t="n">
        <v>4301011168</v>
      </c>
      <c r="D412" s="328" t="n">
        <v>4607091389999</v>
      </c>
      <c r="E412" s="642" t="n"/>
      <c r="F412" s="674" t="n">
        <v>0.6</v>
      </c>
      <c r="G412" s="38" t="n">
        <v>6</v>
      </c>
      <c r="H412" s="674" t="n">
        <v>3.6</v>
      </c>
      <c r="I412" s="674" t="n">
        <v>3.84</v>
      </c>
      <c r="J412" s="38" t="n">
        <v>120</v>
      </c>
      <c r="K412" s="39" t="inlineStr">
        <is>
          <t>СК1</t>
        </is>
      </c>
      <c r="L412" s="38" t="n">
        <v>55</v>
      </c>
      <c r="M412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2" s="676" t="n"/>
      <c r="O412" s="676" t="n"/>
      <c r="P412" s="676" t="n"/>
      <c r="Q412" s="642" t="n"/>
      <c r="R412" s="40" t="inlineStr"/>
      <c r="S412" s="40" t="inlineStr"/>
      <c r="T412" s="41" t="inlineStr">
        <is>
          <t>кг</t>
        </is>
      </c>
      <c r="U412" s="677" t="n">
        <v>0</v>
      </c>
      <c r="V412" s="678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SU002635</t>
        </is>
      </c>
      <c r="B413" s="64" t="inlineStr">
        <is>
          <t>P002992</t>
        </is>
      </c>
      <c r="C413" s="37" t="n">
        <v>4301011372</v>
      </c>
      <c r="D413" s="328" t="n">
        <v>4680115882782</v>
      </c>
      <c r="E413" s="642" t="n"/>
      <c r="F413" s="674" t="n">
        <v>0.6</v>
      </c>
      <c r="G413" s="38" t="n">
        <v>6</v>
      </c>
      <c r="H413" s="674" t="n">
        <v>3.6</v>
      </c>
      <c r="I413" s="674" t="n">
        <v>3.84</v>
      </c>
      <c r="J413" s="38" t="n">
        <v>120</v>
      </c>
      <c r="K413" s="39" t="inlineStr">
        <is>
          <t>СК1</t>
        </is>
      </c>
      <c r="L413" s="38" t="n">
        <v>50</v>
      </c>
      <c r="M413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3" s="676" t="n"/>
      <c r="O413" s="676" t="n"/>
      <c r="P413" s="676" t="n"/>
      <c r="Q413" s="642" t="n"/>
      <c r="R413" s="40" t="inlineStr"/>
      <c r="S413" s="40" t="inlineStr"/>
      <c r="T413" s="41" t="inlineStr">
        <is>
          <t>кг</t>
        </is>
      </c>
      <c r="U413" s="677" t="n">
        <v>0</v>
      </c>
      <c r="V413" s="678">
        <f>IFERROR(IF(U413="",0,CEILING((U413/$H413),1)*$H413),"")</f>
        <v/>
      </c>
      <c r="W413" s="42">
        <f>IFERROR(IF(V413=0,"",ROUNDUP(V413/H413,0)*0.00937),"")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SU002020</t>
        </is>
      </c>
      <c r="B414" s="64" t="inlineStr">
        <is>
          <t>P002308</t>
        </is>
      </c>
      <c r="C414" s="37" t="n">
        <v>4301011190</v>
      </c>
      <c r="D414" s="328" t="n">
        <v>4607091389098</v>
      </c>
      <c r="E414" s="642" t="n"/>
      <c r="F414" s="674" t="n">
        <v>0.4</v>
      </c>
      <c r="G414" s="38" t="n">
        <v>6</v>
      </c>
      <c r="H414" s="674" t="n">
        <v>2.4</v>
      </c>
      <c r="I414" s="674" t="n">
        <v>2.6</v>
      </c>
      <c r="J414" s="38" t="n">
        <v>156</v>
      </c>
      <c r="K414" s="39" t="inlineStr">
        <is>
          <t>СК3</t>
        </is>
      </c>
      <c r="L414" s="38" t="n">
        <v>50</v>
      </c>
      <c r="M414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4" s="676" t="n"/>
      <c r="O414" s="676" t="n"/>
      <c r="P414" s="676" t="n"/>
      <c r="Q414" s="642" t="n"/>
      <c r="R414" s="40" t="inlineStr"/>
      <c r="S414" s="40" t="inlineStr"/>
      <c r="T414" s="41" t="inlineStr">
        <is>
          <t>кг</t>
        </is>
      </c>
      <c r="U414" s="677" t="n">
        <v>0</v>
      </c>
      <c r="V414" s="678">
        <f>IFERROR(IF(U414="",0,CEILING((U414/$H414),1)*$H414),"")</f>
        <v/>
      </c>
      <c r="W414" s="42">
        <f>IFERROR(IF(V414=0,"",ROUNDUP(V414/H414,0)*0.00753),"")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27" customHeight="1">
      <c r="A415" s="64" t="inlineStr">
        <is>
          <t>SU002631</t>
        </is>
      </c>
      <c r="B415" s="64" t="inlineStr">
        <is>
          <t>P002981</t>
        </is>
      </c>
      <c r="C415" s="37" t="n">
        <v>4301011366</v>
      </c>
      <c r="D415" s="328" t="n">
        <v>4607091389982</v>
      </c>
      <c r="E415" s="642" t="n"/>
      <c r="F415" s="674" t="n">
        <v>0.6</v>
      </c>
      <c r="G415" s="38" t="n">
        <v>6</v>
      </c>
      <c r="H415" s="674" t="n">
        <v>3.6</v>
      </c>
      <c r="I415" s="674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5" s="676" t="n"/>
      <c r="O415" s="676" t="n"/>
      <c r="P415" s="676" t="n"/>
      <c r="Q415" s="642" t="n"/>
      <c r="R415" s="40" t="inlineStr"/>
      <c r="S415" s="40" t="inlineStr"/>
      <c r="T415" s="41" t="inlineStr">
        <is>
          <t>кг</t>
        </is>
      </c>
      <c r="U415" s="677" t="n">
        <v>0</v>
      </c>
      <c r="V415" s="678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9" t="n"/>
      <c r="M416" s="680" t="inlineStr">
        <is>
          <t>Итого</t>
        </is>
      </c>
      <c r="N416" s="650" t="n"/>
      <c r="O416" s="650" t="n"/>
      <c r="P416" s="650" t="n"/>
      <c r="Q416" s="650" t="n"/>
      <c r="R416" s="650" t="n"/>
      <c r="S416" s="651" t="n"/>
      <c r="T416" s="43" t="inlineStr">
        <is>
          <t>кор</t>
        </is>
      </c>
      <c r="U416" s="681">
        <f>IFERROR(U407/H407,"0")+IFERROR(U408/H408,"0")+IFERROR(U409/H409,"0")+IFERROR(U410/H410,"0")+IFERROR(U411/H411,"0")+IFERROR(U412/H412,"0")+IFERROR(U413/H413,"0")+IFERROR(U414/H414,"0")+IFERROR(U415/H415,"0")</f>
        <v/>
      </c>
      <c r="V416" s="681">
        <f>IFERROR(V407/H407,"0")+IFERROR(V408/H408,"0")+IFERROR(V409/H409,"0")+IFERROR(V410/H410,"0")+IFERROR(V411/H411,"0")+IFERROR(V412/H412,"0")+IFERROR(V413/H413,"0")+IFERROR(V414/H414,"0")+IFERROR(V415/H415,"0")</f>
        <v/>
      </c>
      <c r="W416" s="681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/>
      </c>
      <c r="X416" s="682" t="n"/>
      <c r="Y416" s="68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9" t="n"/>
      <c r="M417" s="680" t="inlineStr">
        <is>
          <t>Итого</t>
        </is>
      </c>
      <c r="N417" s="650" t="n"/>
      <c r="O417" s="650" t="n"/>
      <c r="P417" s="650" t="n"/>
      <c r="Q417" s="650" t="n"/>
      <c r="R417" s="650" t="n"/>
      <c r="S417" s="651" t="n"/>
      <c r="T417" s="43" t="inlineStr">
        <is>
          <t>кг</t>
        </is>
      </c>
      <c r="U417" s="681">
        <f>IFERROR(SUM(U407:U415),"0")</f>
        <v/>
      </c>
      <c r="V417" s="681">
        <f>IFERROR(SUM(V407:V415),"0")</f>
        <v/>
      </c>
      <c r="W417" s="43" t="n"/>
      <c r="X417" s="682" t="n"/>
      <c r="Y417" s="682" t="n"/>
    </row>
    <row r="418" ht="14.25" customHeight="1">
      <c r="A418" s="327" t="inlineStr">
        <is>
          <t>Ветчины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27" t="n"/>
      <c r="Y418" s="327" t="n"/>
    </row>
    <row r="419" ht="16.5" customHeight="1">
      <c r="A419" s="64" t="inlineStr">
        <is>
          <t>SU002035</t>
        </is>
      </c>
      <c r="B419" s="64" t="inlineStr">
        <is>
          <t>P003146</t>
        </is>
      </c>
      <c r="C419" s="37" t="n">
        <v>4301020222</v>
      </c>
      <c r="D419" s="328" t="n">
        <v>4607091388930</v>
      </c>
      <c r="E419" s="642" t="n"/>
      <c r="F419" s="674" t="n">
        <v>0.88</v>
      </c>
      <c r="G419" s="38" t="n">
        <v>6</v>
      </c>
      <c r="H419" s="674" t="n">
        <v>5.28</v>
      </c>
      <c r="I419" s="674" t="n">
        <v>5.64</v>
      </c>
      <c r="J419" s="38" t="n">
        <v>104</v>
      </c>
      <c r="K419" s="39" t="inlineStr">
        <is>
          <t>СК1</t>
        </is>
      </c>
      <c r="L419" s="38" t="n">
        <v>55</v>
      </c>
      <c r="M419" s="903">
        <f>HYPERLINK("https://abi.ru/products/Охлажденные/Дугушка/Дугушка/Ветчины/P003146/","Ветчины Дугушка Дугушка Вес б/о Дугушка")</f>
        <v/>
      </c>
      <c r="N419" s="676" t="n"/>
      <c r="O419" s="676" t="n"/>
      <c r="P419" s="676" t="n"/>
      <c r="Q419" s="642" t="n"/>
      <c r="R419" s="40" t="inlineStr"/>
      <c r="S419" s="40" t="inlineStr"/>
      <c r="T419" s="41" t="inlineStr">
        <is>
          <t>кг</t>
        </is>
      </c>
      <c r="U419" s="677" t="n">
        <v>0</v>
      </c>
      <c r="V419" s="678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16.5" customHeight="1">
      <c r="A420" s="64" t="inlineStr">
        <is>
          <t>SU002643</t>
        </is>
      </c>
      <c r="B420" s="64" t="inlineStr">
        <is>
          <t>P002993</t>
        </is>
      </c>
      <c r="C420" s="37" t="n">
        <v>4301020206</v>
      </c>
      <c r="D420" s="328" t="n">
        <v>4680115880054</v>
      </c>
      <c r="E420" s="642" t="n"/>
      <c r="F420" s="674" t="n">
        <v>0.6</v>
      </c>
      <c r="G420" s="38" t="n">
        <v>6</v>
      </c>
      <c r="H420" s="674" t="n">
        <v>3.6</v>
      </c>
      <c r="I420" s="674" t="n">
        <v>3.84</v>
      </c>
      <c r="J420" s="38" t="n">
        <v>120</v>
      </c>
      <c r="K420" s="39" t="inlineStr">
        <is>
          <t>СК1</t>
        </is>
      </c>
      <c r="L420" s="38" t="n">
        <v>55</v>
      </c>
      <c r="M420" s="904">
        <f>HYPERLINK("https://abi.ru/products/Охлажденные/Дугушка/Дугушка/Ветчины/P002993/","Ветчины «Дугушка» Фикс.вес 0,6 П/а ТМ «Дугушка»")</f>
        <v/>
      </c>
      <c r="N420" s="676" t="n"/>
      <c r="O420" s="676" t="n"/>
      <c r="P420" s="676" t="n"/>
      <c r="Q420" s="642" t="n"/>
      <c r="R420" s="40" t="inlineStr"/>
      <c r="S420" s="40" t="inlineStr"/>
      <c r="T420" s="41" t="inlineStr">
        <is>
          <t>кг</t>
        </is>
      </c>
      <c r="U420" s="677" t="n">
        <v>0</v>
      </c>
      <c r="V420" s="678">
        <f>IFERROR(IF(U420="",0,CEILING((U420/$H420),1)*$H420),"")</f>
        <v/>
      </c>
      <c r="W420" s="42">
        <f>IFERROR(IF(V420=0,"",ROUNDUP(V420/H420,0)*0.00937),"")</f>
        <v/>
      </c>
      <c r="X420" s="69" t="inlineStr"/>
      <c r="Y420" s="70" t="inlineStr"/>
      <c r="AC420" s="71" t="n"/>
      <c r="AZ420" s="295" t="inlineStr">
        <is>
          <t>КИ</t>
        </is>
      </c>
    </row>
    <row r="421">
      <c r="A421" s="322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9" t="n"/>
      <c r="M421" s="680" t="inlineStr">
        <is>
          <t>Итого</t>
        </is>
      </c>
      <c r="N421" s="650" t="n"/>
      <c r="O421" s="650" t="n"/>
      <c r="P421" s="650" t="n"/>
      <c r="Q421" s="650" t="n"/>
      <c r="R421" s="650" t="n"/>
      <c r="S421" s="651" t="n"/>
      <c r="T421" s="43" t="inlineStr">
        <is>
          <t>кор</t>
        </is>
      </c>
      <c r="U421" s="681">
        <f>IFERROR(U419/H419,"0")+IFERROR(U420/H420,"0")</f>
        <v/>
      </c>
      <c r="V421" s="681">
        <f>IFERROR(V419/H419,"0")+IFERROR(V420/H420,"0")</f>
        <v/>
      </c>
      <c r="W421" s="681">
        <f>IFERROR(IF(W419="",0,W419),"0")+IFERROR(IF(W420="",0,W420),"0")</f>
        <v/>
      </c>
      <c r="X421" s="682" t="n"/>
      <c r="Y421" s="682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679" t="n"/>
      <c r="M422" s="680" t="inlineStr">
        <is>
          <t>Итого</t>
        </is>
      </c>
      <c r="N422" s="650" t="n"/>
      <c r="O422" s="650" t="n"/>
      <c r="P422" s="650" t="n"/>
      <c r="Q422" s="650" t="n"/>
      <c r="R422" s="650" t="n"/>
      <c r="S422" s="651" t="n"/>
      <c r="T422" s="43" t="inlineStr">
        <is>
          <t>кг</t>
        </is>
      </c>
      <c r="U422" s="681">
        <f>IFERROR(SUM(U419:U420),"0")</f>
        <v/>
      </c>
      <c r="V422" s="681">
        <f>IFERROR(SUM(V419:V420),"0")</f>
        <v/>
      </c>
      <c r="W422" s="43" t="n"/>
      <c r="X422" s="682" t="n"/>
      <c r="Y422" s="682" t="n"/>
    </row>
    <row r="423" ht="14.25" customHeight="1">
      <c r="A423" s="327" t="inlineStr">
        <is>
          <t>Копченые колбасы</t>
        </is>
      </c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327" t="n"/>
      <c r="Y423" s="327" t="n"/>
    </row>
    <row r="424" ht="27" customHeight="1">
      <c r="A424" s="64" t="inlineStr">
        <is>
          <t>SU002150</t>
        </is>
      </c>
      <c r="B424" s="64" t="inlineStr">
        <is>
          <t>P003636</t>
        </is>
      </c>
      <c r="C424" s="37" t="n">
        <v>4301031252</v>
      </c>
      <c r="D424" s="328" t="n">
        <v>4680115883116</v>
      </c>
      <c r="E424" s="642" t="n"/>
      <c r="F424" s="674" t="n">
        <v>0.88</v>
      </c>
      <c r="G424" s="38" t="n">
        <v>6</v>
      </c>
      <c r="H424" s="674" t="n">
        <v>5.28</v>
      </c>
      <c r="I424" s="674" t="n">
        <v>5.64</v>
      </c>
      <c r="J424" s="38" t="n">
        <v>104</v>
      </c>
      <c r="K424" s="39" t="inlineStr">
        <is>
          <t>СК1</t>
        </is>
      </c>
      <c r="L424" s="38" t="n">
        <v>60</v>
      </c>
      <c r="M424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4" s="676" t="n"/>
      <c r="O424" s="676" t="n"/>
      <c r="P424" s="676" t="n"/>
      <c r="Q424" s="642" t="n"/>
      <c r="R424" s="40" t="inlineStr"/>
      <c r="S424" s="40" t="inlineStr"/>
      <c r="T424" s="41" t="inlineStr">
        <is>
          <t>кг</t>
        </is>
      </c>
      <c r="U424" s="677" t="n">
        <v>0</v>
      </c>
      <c r="V424" s="678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SU002158</t>
        </is>
      </c>
      <c r="B425" s="64" t="inlineStr">
        <is>
          <t>P003632</t>
        </is>
      </c>
      <c r="C425" s="37" t="n">
        <v>4301031248</v>
      </c>
      <c r="D425" s="328" t="n">
        <v>4680115883093</v>
      </c>
      <c r="E425" s="642" t="n"/>
      <c r="F425" s="674" t="n">
        <v>0.88</v>
      </c>
      <c r="G425" s="38" t="n">
        <v>6</v>
      </c>
      <c r="H425" s="674" t="n">
        <v>5.28</v>
      </c>
      <c r="I425" s="674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5" s="676" t="n"/>
      <c r="O425" s="676" t="n"/>
      <c r="P425" s="676" t="n"/>
      <c r="Q425" s="642" t="n"/>
      <c r="R425" s="40" t="inlineStr"/>
      <c r="S425" s="40" t="inlineStr"/>
      <c r="T425" s="41" t="inlineStr">
        <is>
          <t>кг</t>
        </is>
      </c>
      <c r="U425" s="677" t="n">
        <v>0</v>
      </c>
      <c r="V425" s="678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SU002151</t>
        </is>
      </c>
      <c r="B426" s="64" t="inlineStr">
        <is>
          <t>P003634</t>
        </is>
      </c>
      <c r="C426" s="37" t="n">
        <v>4301031250</v>
      </c>
      <c r="D426" s="328" t="n">
        <v>4680115883109</v>
      </c>
      <c r="E426" s="642" t="n"/>
      <c r="F426" s="674" t="n">
        <v>0.88</v>
      </c>
      <c r="G426" s="38" t="n">
        <v>6</v>
      </c>
      <c r="H426" s="674" t="n">
        <v>5.28</v>
      </c>
      <c r="I426" s="674" t="n">
        <v>5.64</v>
      </c>
      <c r="J426" s="38" t="n">
        <v>104</v>
      </c>
      <c r="K426" s="39" t="inlineStr">
        <is>
          <t>СК2</t>
        </is>
      </c>
      <c r="L426" s="38" t="n">
        <v>60</v>
      </c>
      <c r="M426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6" s="676" t="n"/>
      <c r="O426" s="676" t="n"/>
      <c r="P426" s="676" t="n"/>
      <c r="Q426" s="642" t="n"/>
      <c r="R426" s="40" t="inlineStr"/>
      <c r="S426" s="40" t="inlineStr"/>
      <c r="T426" s="41" t="inlineStr">
        <is>
          <t>кг</t>
        </is>
      </c>
      <c r="U426" s="677" t="n">
        <v>0</v>
      </c>
      <c r="V426" s="678">
        <f>IFERROR(IF(U426="",0,CEILING((U426/$H426),1)*$H426),"")</f>
        <v/>
      </c>
      <c r="W426" s="42">
        <f>IFERROR(IF(V426=0,"",ROUNDUP(V426/H426,0)*0.01196),"")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SU002916</t>
        </is>
      </c>
      <c r="B427" s="64" t="inlineStr">
        <is>
          <t>P003633</t>
        </is>
      </c>
      <c r="C427" s="37" t="n">
        <v>4301031249</v>
      </c>
      <c r="D427" s="328" t="n">
        <v>4680115882072</v>
      </c>
      <c r="E427" s="642" t="n"/>
      <c r="F427" s="674" t="n">
        <v>0.6</v>
      </c>
      <c r="G427" s="38" t="n">
        <v>6</v>
      </c>
      <c r="H427" s="674" t="n">
        <v>3.6</v>
      </c>
      <c r="I427" s="674" t="n">
        <v>3.84</v>
      </c>
      <c r="J427" s="38" t="n">
        <v>120</v>
      </c>
      <c r="K427" s="39" t="inlineStr">
        <is>
          <t>СК1</t>
        </is>
      </c>
      <c r="L427" s="38" t="n">
        <v>60</v>
      </c>
      <c r="M427" s="908" t="inlineStr">
        <is>
          <t>В/к колбасы «Рубленая Запеченная» Фикс.вес 0,6 Вектор ТМ «Дугушка»</t>
        </is>
      </c>
      <c r="N427" s="676" t="n"/>
      <c r="O427" s="676" t="n"/>
      <c r="P427" s="676" t="n"/>
      <c r="Q427" s="642" t="n"/>
      <c r="R427" s="40" t="inlineStr"/>
      <c r="S427" s="40" t="inlineStr"/>
      <c r="T427" s="41" t="inlineStr">
        <is>
          <t>кг</t>
        </is>
      </c>
      <c r="U427" s="677" t="n">
        <v>0</v>
      </c>
      <c r="V427" s="678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SU002919</t>
        </is>
      </c>
      <c r="B428" s="64" t="inlineStr">
        <is>
          <t>P003635</t>
        </is>
      </c>
      <c r="C428" s="37" t="n">
        <v>4301031251</v>
      </c>
      <c r="D428" s="328" t="n">
        <v>4680115882102</v>
      </c>
      <c r="E428" s="642" t="n"/>
      <c r="F428" s="674" t="n">
        <v>0.6</v>
      </c>
      <c r="G428" s="38" t="n">
        <v>6</v>
      </c>
      <c r="H428" s="674" t="n">
        <v>3.6</v>
      </c>
      <c r="I428" s="674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9" t="inlineStr">
        <is>
          <t>В/к колбасы «Салями Запеченая» Фикс.вес 0,6 Вектор ТМ «Дугушка»</t>
        </is>
      </c>
      <c r="N428" s="676" t="n"/>
      <c r="O428" s="676" t="n"/>
      <c r="P428" s="676" t="n"/>
      <c r="Q428" s="642" t="n"/>
      <c r="R428" s="40" t="inlineStr"/>
      <c r="S428" s="40" t="inlineStr"/>
      <c r="T428" s="41" t="inlineStr">
        <is>
          <t>кг</t>
        </is>
      </c>
      <c r="U428" s="677" t="n">
        <v>0</v>
      </c>
      <c r="V428" s="678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27" customHeight="1">
      <c r="A429" s="64" t="inlineStr">
        <is>
          <t>SU002918</t>
        </is>
      </c>
      <c r="B429" s="64" t="inlineStr">
        <is>
          <t>P003637</t>
        </is>
      </c>
      <c r="C429" s="37" t="n">
        <v>4301031253</v>
      </c>
      <c r="D429" s="328" t="n">
        <v>4680115882096</v>
      </c>
      <c r="E429" s="642" t="n"/>
      <c r="F429" s="674" t="n">
        <v>0.6</v>
      </c>
      <c r="G429" s="38" t="n">
        <v>6</v>
      </c>
      <c r="H429" s="674" t="n">
        <v>3.6</v>
      </c>
      <c r="I429" s="674" t="n">
        <v>3.81</v>
      </c>
      <c r="J429" s="38" t="n">
        <v>120</v>
      </c>
      <c r="K429" s="39" t="inlineStr">
        <is>
          <t>СК2</t>
        </is>
      </c>
      <c r="L429" s="38" t="n">
        <v>60</v>
      </c>
      <c r="M429" s="910" t="inlineStr">
        <is>
          <t>В/к колбасы «Сервелат Запеченный» Фикс.вес 0,6 Вектор ТМ «Дугушка»</t>
        </is>
      </c>
      <c r="N429" s="676" t="n"/>
      <c r="O429" s="676" t="n"/>
      <c r="P429" s="676" t="n"/>
      <c r="Q429" s="642" t="n"/>
      <c r="R429" s="40" t="inlineStr"/>
      <c r="S429" s="40" t="inlineStr"/>
      <c r="T429" s="41" t="inlineStr">
        <is>
          <t>кг</t>
        </is>
      </c>
      <c r="U429" s="677" t="n">
        <v>0</v>
      </c>
      <c r="V429" s="678">
        <f>IFERROR(IF(U429="",0,CEILING((U429/$H429),1)*$H429),"")</f>
        <v/>
      </c>
      <c r="W429" s="42">
        <f>IFERROR(IF(V429=0,"",ROUNDUP(V429/H429,0)*0.00937),"")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9" t="n"/>
      <c r="M430" s="680" t="inlineStr">
        <is>
          <t>Итого</t>
        </is>
      </c>
      <c r="N430" s="650" t="n"/>
      <c r="O430" s="650" t="n"/>
      <c r="P430" s="650" t="n"/>
      <c r="Q430" s="650" t="n"/>
      <c r="R430" s="650" t="n"/>
      <c r="S430" s="651" t="n"/>
      <c r="T430" s="43" t="inlineStr">
        <is>
          <t>кор</t>
        </is>
      </c>
      <c r="U430" s="681">
        <f>IFERROR(U424/H424,"0")+IFERROR(U425/H425,"0")+IFERROR(U426/H426,"0")+IFERROR(U427/H427,"0")+IFERROR(U428/H428,"0")+IFERROR(U429/H429,"0")</f>
        <v/>
      </c>
      <c r="V430" s="681">
        <f>IFERROR(V424/H424,"0")+IFERROR(V425/H425,"0")+IFERROR(V426/H426,"0")+IFERROR(V427/H427,"0")+IFERROR(V428/H428,"0")+IFERROR(V429/H429,"0")</f>
        <v/>
      </c>
      <c r="W430" s="681">
        <f>IFERROR(IF(W424="",0,W424),"0")+IFERROR(IF(W425="",0,W425),"0")+IFERROR(IF(W426="",0,W426),"0")+IFERROR(IF(W427="",0,W427),"0")+IFERROR(IF(W428="",0,W428),"0")+IFERROR(IF(W429="",0,W429),"0")</f>
        <v/>
      </c>
      <c r="X430" s="682" t="n"/>
      <c r="Y430" s="682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9" t="n"/>
      <c r="M431" s="680" t="inlineStr">
        <is>
          <t>Итого</t>
        </is>
      </c>
      <c r="N431" s="650" t="n"/>
      <c r="O431" s="650" t="n"/>
      <c r="P431" s="650" t="n"/>
      <c r="Q431" s="650" t="n"/>
      <c r="R431" s="650" t="n"/>
      <c r="S431" s="651" t="n"/>
      <c r="T431" s="43" t="inlineStr">
        <is>
          <t>кг</t>
        </is>
      </c>
      <c r="U431" s="681">
        <f>IFERROR(SUM(U424:U429),"0")</f>
        <v/>
      </c>
      <c r="V431" s="681">
        <f>IFERROR(SUM(V424:V429),"0")</f>
        <v/>
      </c>
      <c r="W431" s="43" t="n"/>
      <c r="X431" s="682" t="n"/>
      <c r="Y431" s="682" t="n"/>
    </row>
    <row r="432" ht="14.25" customHeight="1">
      <c r="A432" s="327" t="inlineStr">
        <is>
          <t>Сосиски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27" t="n"/>
      <c r="Y432" s="327" t="n"/>
    </row>
    <row r="433" ht="16.5" customHeight="1">
      <c r="A433" s="64" t="inlineStr">
        <is>
          <t>SU002218</t>
        </is>
      </c>
      <c r="B433" s="64" t="inlineStr">
        <is>
          <t>P002854</t>
        </is>
      </c>
      <c r="C433" s="37" t="n">
        <v>4301051230</v>
      </c>
      <c r="D433" s="328" t="n">
        <v>4607091383409</v>
      </c>
      <c r="E433" s="642" t="n"/>
      <c r="F433" s="674" t="n">
        <v>1.3</v>
      </c>
      <c r="G433" s="38" t="n">
        <v>6</v>
      </c>
      <c r="H433" s="674" t="n">
        <v>7.8</v>
      </c>
      <c r="I433" s="674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N433" s="676" t="n"/>
      <c r="O433" s="676" t="n"/>
      <c r="P433" s="676" t="n"/>
      <c r="Q433" s="642" t="n"/>
      <c r="R433" s="40" t="inlineStr"/>
      <c r="S433" s="40" t="inlineStr"/>
      <c r="T433" s="41" t="inlineStr">
        <is>
          <t>кг</t>
        </is>
      </c>
      <c r="U433" s="677" t="n">
        <v>0</v>
      </c>
      <c r="V433" s="678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 ht="16.5" customHeight="1">
      <c r="A434" s="64" t="inlineStr">
        <is>
          <t>SU002219</t>
        </is>
      </c>
      <c r="B434" s="64" t="inlineStr">
        <is>
          <t>P002855</t>
        </is>
      </c>
      <c r="C434" s="37" t="n">
        <v>4301051231</v>
      </c>
      <c r="D434" s="328" t="n">
        <v>4607091383416</v>
      </c>
      <c r="E434" s="642" t="n"/>
      <c r="F434" s="674" t="n">
        <v>1.3</v>
      </c>
      <c r="G434" s="38" t="n">
        <v>6</v>
      </c>
      <c r="H434" s="674" t="n">
        <v>7.8</v>
      </c>
      <c r="I434" s="674" t="n">
        <v>8.346</v>
      </c>
      <c r="J434" s="38" t="n">
        <v>56</v>
      </c>
      <c r="K434" s="39" t="inlineStr">
        <is>
          <t>СК2</t>
        </is>
      </c>
      <c r="L434" s="38" t="n">
        <v>45</v>
      </c>
      <c r="M434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4" s="676" t="n"/>
      <c r="O434" s="676" t="n"/>
      <c r="P434" s="676" t="n"/>
      <c r="Q434" s="642" t="n"/>
      <c r="R434" s="40" t="inlineStr"/>
      <c r="S434" s="40" t="inlineStr"/>
      <c r="T434" s="41" t="inlineStr">
        <is>
          <t>кг</t>
        </is>
      </c>
      <c r="U434" s="677" t="n">
        <v>0</v>
      </c>
      <c r="V434" s="678">
        <f>IFERROR(IF(U434="",0,CEILING((U434/$H434),1)*$H434),"")</f>
        <v/>
      </c>
      <c r="W434" s="42">
        <f>IFERROR(IF(V434=0,"",ROUNDUP(V434/H434,0)*0.02175),"")</f>
        <v/>
      </c>
      <c r="X434" s="69" t="inlineStr"/>
      <c r="Y434" s="70" t="inlineStr"/>
      <c r="AC434" s="71" t="n"/>
      <c r="AZ434" s="303" t="inlineStr">
        <is>
          <t>КИ</t>
        </is>
      </c>
    </row>
    <row r="435">
      <c r="A435" s="322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9" t="n"/>
      <c r="M435" s="680" t="inlineStr">
        <is>
          <t>Итого</t>
        </is>
      </c>
      <c r="N435" s="650" t="n"/>
      <c r="O435" s="650" t="n"/>
      <c r="P435" s="650" t="n"/>
      <c r="Q435" s="650" t="n"/>
      <c r="R435" s="650" t="n"/>
      <c r="S435" s="651" t="n"/>
      <c r="T435" s="43" t="inlineStr">
        <is>
          <t>кор</t>
        </is>
      </c>
      <c r="U435" s="681">
        <f>IFERROR(U433/H433,"0")+IFERROR(U434/H434,"0")</f>
        <v/>
      </c>
      <c r="V435" s="681">
        <f>IFERROR(V433/H433,"0")+IFERROR(V434/H434,"0")</f>
        <v/>
      </c>
      <c r="W435" s="681">
        <f>IFERROR(IF(W433="",0,W433),"0")+IFERROR(IF(W434="",0,W434),"0")</f>
        <v/>
      </c>
      <c r="X435" s="682" t="n"/>
      <c r="Y435" s="682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9" t="n"/>
      <c r="M436" s="680" t="inlineStr">
        <is>
          <t>Итого</t>
        </is>
      </c>
      <c r="N436" s="650" t="n"/>
      <c r="O436" s="650" t="n"/>
      <c r="P436" s="650" t="n"/>
      <c r="Q436" s="650" t="n"/>
      <c r="R436" s="650" t="n"/>
      <c r="S436" s="651" t="n"/>
      <c r="T436" s="43" t="inlineStr">
        <is>
          <t>кг</t>
        </is>
      </c>
      <c r="U436" s="681">
        <f>IFERROR(SUM(U433:U434),"0")</f>
        <v/>
      </c>
      <c r="V436" s="681">
        <f>IFERROR(SUM(V433:V434),"0")</f>
        <v/>
      </c>
      <c r="W436" s="43" t="n"/>
      <c r="X436" s="682" t="n"/>
      <c r="Y436" s="682" t="n"/>
    </row>
    <row r="437" ht="27.75" customHeight="1">
      <c r="A437" s="341" t="inlineStr">
        <is>
          <t>Зареченские</t>
        </is>
      </c>
      <c r="B437" s="673" t="n"/>
      <c r="C437" s="673" t="n"/>
      <c r="D437" s="673" t="n"/>
      <c r="E437" s="673" t="n"/>
      <c r="F437" s="673" t="n"/>
      <c r="G437" s="673" t="n"/>
      <c r="H437" s="673" t="n"/>
      <c r="I437" s="673" t="n"/>
      <c r="J437" s="673" t="n"/>
      <c r="K437" s="673" t="n"/>
      <c r="L437" s="673" t="n"/>
      <c r="M437" s="673" t="n"/>
      <c r="N437" s="673" t="n"/>
      <c r="O437" s="673" t="n"/>
      <c r="P437" s="673" t="n"/>
      <c r="Q437" s="673" t="n"/>
      <c r="R437" s="673" t="n"/>
      <c r="S437" s="673" t="n"/>
      <c r="T437" s="673" t="n"/>
      <c r="U437" s="673" t="n"/>
      <c r="V437" s="673" t="n"/>
      <c r="W437" s="673" t="n"/>
      <c r="X437" s="55" t="n"/>
      <c r="Y437" s="55" t="n"/>
    </row>
    <row r="438" ht="16.5" customHeight="1">
      <c r="A438" s="335" t="inlineStr">
        <is>
          <t>Зареченские продукты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5" t="n"/>
      <c r="Y438" s="335" t="n"/>
    </row>
    <row r="439" ht="14.25" customHeight="1">
      <c r="A439" s="327" t="inlineStr">
        <is>
          <t>Вареные колбасы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27" t="n"/>
      <c r="Y439" s="327" t="n"/>
    </row>
    <row r="440" ht="27" customHeight="1">
      <c r="A440" s="64" t="inlineStr">
        <is>
          <t>SU002807</t>
        </is>
      </c>
      <c r="B440" s="64" t="inlineStr">
        <is>
          <t>P003210</t>
        </is>
      </c>
      <c r="C440" s="37" t="n">
        <v>4301011434</v>
      </c>
      <c r="D440" s="328" t="n">
        <v>4680115881099</v>
      </c>
      <c r="E440" s="642" t="n"/>
      <c r="F440" s="674" t="n">
        <v>1.5</v>
      </c>
      <c r="G440" s="38" t="n">
        <v>8</v>
      </c>
      <c r="H440" s="674" t="n">
        <v>12</v>
      </c>
      <c r="I440" s="674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1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0" s="676" t="n"/>
      <c r="O440" s="676" t="n"/>
      <c r="P440" s="676" t="n"/>
      <c r="Q440" s="642" t="n"/>
      <c r="R440" s="40" t="inlineStr"/>
      <c r="S440" s="40" t="inlineStr"/>
      <c r="T440" s="41" t="inlineStr">
        <is>
          <t>кг</t>
        </is>
      </c>
      <c r="U440" s="677" t="n">
        <v>0</v>
      </c>
      <c r="V440" s="678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27" customHeight="1">
      <c r="A441" s="64" t="inlineStr">
        <is>
          <t>SU002808</t>
        </is>
      </c>
      <c r="B441" s="64" t="inlineStr">
        <is>
          <t>P003214</t>
        </is>
      </c>
      <c r="C441" s="37" t="n">
        <v>4301011435</v>
      </c>
      <c r="D441" s="328" t="n">
        <v>4680115881150</v>
      </c>
      <c r="E441" s="642" t="n"/>
      <c r="F441" s="674" t="n">
        <v>1.5</v>
      </c>
      <c r="G441" s="38" t="n">
        <v>8</v>
      </c>
      <c r="H441" s="674" t="n">
        <v>12</v>
      </c>
      <c r="I441" s="674" t="n">
        <v>12.48</v>
      </c>
      <c r="J441" s="38" t="n">
        <v>56</v>
      </c>
      <c r="K441" s="39" t="inlineStr">
        <is>
          <t>СК1</t>
        </is>
      </c>
      <c r="L441" s="38" t="n">
        <v>50</v>
      </c>
      <c r="M441" s="91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1" s="676" t="n"/>
      <c r="O441" s="676" t="n"/>
      <c r="P441" s="676" t="n"/>
      <c r="Q441" s="642" t="n"/>
      <c r="R441" s="40" t="inlineStr"/>
      <c r="S441" s="40" t="inlineStr"/>
      <c r="T441" s="41" t="inlineStr">
        <is>
          <t>кг</t>
        </is>
      </c>
      <c r="U441" s="677" t="n">
        <v>0</v>
      </c>
      <c r="V441" s="678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9" t="n"/>
      <c r="M442" s="680" t="inlineStr">
        <is>
          <t>Итого</t>
        </is>
      </c>
      <c r="N442" s="650" t="n"/>
      <c r="O442" s="650" t="n"/>
      <c r="P442" s="650" t="n"/>
      <c r="Q442" s="650" t="n"/>
      <c r="R442" s="650" t="n"/>
      <c r="S442" s="651" t="n"/>
      <c r="T442" s="43" t="inlineStr">
        <is>
          <t>кор</t>
        </is>
      </c>
      <c r="U442" s="681">
        <f>IFERROR(U440/H440,"0")+IFERROR(U441/H441,"0")</f>
        <v/>
      </c>
      <c r="V442" s="681">
        <f>IFERROR(V440/H440,"0")+IFERROR(V441/H441,"0")</f>
        <v/>
      </c>
      <c r="W442" s="681">
        <f>IFERROR(IF(W440="",0,W440),"0")+IFERROR(IF(W441="",0,W441),"0")</f>
        <v/>
      </c>
      <c r="X442" s="682" t="n"/>
      <c r="Y442" s="682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9" t="n"/>
      <c r="M443" s="680" t="inlineStr">
        <is>
          <t>Итого</t>
        </is>
      </c>
      <c r="N443" s="650" t="n"/>
      <c r="O443" s="650" t="n"/>
      <c r="P443" s="650" t="n"/>
      <c r="Q443" s="650" t="n"/>
      <c r="R443" s="650" t="n"/>
      <c r="S443" s="651" t="n"/>
      <c r="T443" s="43" t="inlineStr">
        <is>
          <t>кг</t>
        </is>
      </c>
      <c r="U443" s="681">
        <f>IFERROR(SUM(U440:U441),"0")</f>
        <v/>
      </c>
      <c r="V443" s="681">
        <f>IFERROR(SUM(V440:V441),"0")</f>
        <v/>
      </c>
      <c r="W443" s="43" t="n"/>
      <c r="X443" s="682" t="n"/>
      <c r="Y443" s="682" t="n"/>
    </row>
    <row r="444" ht="14.25" customHeight="1">
      <c r="A444" s="327" t="inlineStr">
        <is>
          <t>Ветчины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27" t="n"/>
      <c r="Y444" s="327" t="n"/>
    </row>
    <row r="445" ht="27" customHeight="1">
      <c r="A445" s="64" t="inlineStr">
        <is>
          <t>SU002811</t>
        </is>
      </c>
      <c r="B445" s="64" t="inlineStr">
        <is>
          <t>P003588</t>
        </is>
      </c>
      <c r="C445" s="37" t="n">
        <v>4301020260</v>
      </c>
      <c r="D445" s="328" t="n">
        <v>4640242180526</v>
      </c>
      <c r="E445" s="642" t="n"/>
      <c r="F445" s="674" t="n">
        <v>1.8</v>
      </c>
      <c r="G445" s="38" t="n">
        <v>6</v>
      </c>
      <c r="H445" s="674" t="n">
        <v>10.8</v>
      </c>
      <c r="I445" s="674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15" t="inlineStr">
        <is>
          <t>Ветчины «Нежная» Весовой п/а ТМ «Зареченские» большой батон</t>
        </is>
      </c>
      <c r="N445" s="676" t="n"/>
      <c r="O445" s="676" t="n"/>
      <c r="P445" s="676" t="n"/>
      <c r="Q445" s="642" t="n"/>
      <c r="R445" s="40" t="inlineStr"/>
      <c r="S445" s="40" t="inlineStr"/>
      <c r="T445" s="41" t="inlineStr">
        <is>
          <t>кг</t>
        </is>
      </c>
      <c r="U445" s="677" t="n">
        <v>0</v>
      </c>
      <c r="V445" s="678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SU002811</t>
        </is>
      </c>
      <c r="B446" s="64" t="inlineStr">
        <is>
          <t>P003208</t>
        </is>
      </c>
      <c r="C446" s="37" t="n">
        <v>4301020231</v>
      </c>
      <c r="D446" s="328" t="n">
        <v>4680115881129</v>
      </c>
      <c r="E446" s="642" t="n"/>
      <c r="F446" s="674" t="n">
        <v>1.8</v>
      </c>
      <c r="G446" s="38" t="n">
        <v>6</v>
      </c>
      <c r="H446" s="674" t="n">
        <v>10.8</v>
      </c>
      <c r="I446" s="674" t="n">
        <v>11.28</v>
      </c>
      <c r="J446" s="38" t="n">
        <v>56</v>
      </c>
      <c r="K446" s="39" t="inlineStr">
        <is>
          <t>СК1</t>
        </is>
      </c>
      <c r="L446" s="38" t="n">
        <v>50</v>
      </c>
      <c r="M446" s="916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6" s="676" t="n"/>
      <c r="O446" s="676" t="n"/>
      <c r="P446" s="676" t="n"/>
      <c r="Q446" s="642" t="n"/>
      <c r="R446" s="40" t="inlineStr"/>
      <c r="S446" s="40" t="inlineStr"/>
      <c r="T446" s="41" t="inlineStr">
        <is>
          <t>кг</t>
        </is>
      </c>
      <c r="U446" s="677" t="n">
        <v>0</v>
      </c>
      <c r="V446" s="678">
        <f>IFERROR(IF(U446="",0,CEILING((U446/$H446),1)*$H446),"")</f>
        <v/>
      </c>
      <c r="W446" s="42">
        <f>IFERROR(IF(V446=0,"",ROUNDUP(V446/H446,0)*0.02175),"")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P003207</t>
        </is>
      </c>
      <c r="C447" s="37" t="n">
        <v>4301020230</v>
      </c>
      <c r="D447" s="328" t="n">
        <v>4680115881112</v>
      </c>
      <c r="E447" s="642" t="n"/>
      <c r="F447" s="674" t="n">
        <v>1.35</v>
      </c>
      <c r="G447" s="38" t="n">
        <v>8</v>
      </c>
      <c r="H447" s="674" t="n">
        <v>10.8</v>
      </c>
      <c r="I447" s="674" t="n">
        <v>11.28</v>
      </c>
      <c r="J447" s="38" t="n">
        <v>56</v>
      </c>
      <c r="K447" s="39" t="inlineStr">
        <is>
          <t>СК1</t>
        </is>
      </c>
      <c r="L447" s="38" t="n">
        <v>50</v>
      </c>
      <c r="M447" s="917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7" s="676" t="n"/>
      <c r="O447" s="676" t="n"/>
      <c r="P447" s="676" t="n"/>
      <c r="Q447" s="642" t="n"/>
      <c r="R447" s="40" t="inlineStr"/>
      <c r="S447" s="40" t="inlineStr"/>
      <c r="T447" s="41" t="inlineStr">
        <is>
          <t>кг</t>
        </is>
      </c>
      <c r="U447" s="677" t="n">
        <v>0</v>
      </c>
      <c r="V447" s="678">
        <f>IFERROR(IF(U447="",0,CEILING((U447/$H447),1)*$H447),"")</f>
        <v/>
      </c>
      <c r="W447" s="42">
        <f>IFERROR(IF(V447=0,"",ROUNDUP(V447/H447,0)*0.02175),"")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2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9" t="n"/>
      <c r="M448" s="680" t="inlineStr">
        <is>
          <t>Итого</t>
        </is>
      </c>
      <c r="N448" s="650" t="n"/>
      <c r="O448" s="650" t="n"/>
      <c r="P448" s="650" t="n"/>
      <c r="Q448" s="650" t="n"/>
      <c r="R448" s="650" t="n"/>
      <c r="S448" s="651" t="n"/>
      <c r="T448" s="43" t="inlineStr">
        <is>
          <t>кор</t>
        </is>
      </c>
      <c r="U448" s="681">
        <f>IFERROR(U445/H445,"0")+IFERROR(U446/H446,"0")+IFERROR(U447/H447,"0")</f>
        <v/>
      </c>
      <c r="V448" s="681">
        <f>IFERROR(V445/H445,"0")+IFERROR(V446/H446,"0")+IFERROR(V447/H447,"0")</f>
        <v/>
      </c>
      <c r="W448" s="681">
        <f>IFERROR(IF(W445="",0,W445),"0")+IFERROR(IF(W446="",0,W446),"0")+IFERROR(IF(W447="",0,W447),"0")</f>
        <v/>
      </c>
      <c r="X448" s="682" t="n"/>
      <c r="Y448" s="682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9" t="n"/>
      <c r="M449" s="680" t="inlineStr">
        <is>
          <t>Итого</t>
        </is>
      </c>
      <c r="N449" s="650" t="n"/>
      <c r="O449" s="650" t="n"/>
      <c r="P449" s="650" t="n"/>
      <c r="Q449" s="650" t="n"/>
      <c r="R449" s="650" t="n"/>
      <c r="S449" s="651" t="n"/>
      <c r="T449" s="43" t="inlineStr">
        <is>
          <t>кг</t>
        </is>
      </c>
      <c r="U449" s="681">
        <f>IFERROR(SUM(U445:U447),"0")</f>
        <v/>
      </c>
      <c r="V449" s="681">
        <f>IFERROR(SUM(V445:V447),"0")</f>
        <v/>
      </c>
      <c r="W449" s="43" t="n"/>
      <c r="X449" s="682" t="n"/>
      <c r="Y449" s="682" t="n"/>
    </row>
    <row r="450" ht="14.25" customHeight="1">
      <c r="A450" s="327" t="inlineStr">
        <is>
          <t>Копченые колбасы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7" t="n"/>
      <c r="Y450" s="327" t="n"/>
    </row>
    <row r="451" ht="27" customHeight="1">
      <c r="A451" s="64" t="inlineStr">
        <is>
          <t>SU002805</t>
        </is>
      </c>
      <c r="B451" s="64" t="inlineStr">
        <is>
          <t>P003206</t>
        </is>
      </c>
      <c r="C451" s="37" t="n">
        <v>4301031192</v>
      </c>
      <c r="D451" s="328" t="n">
        <v>4680115881167</v>
      </c>
      <c r="E451" s="642" t="n"/>
      <c r="F451" s="674" t="n">
        <v>0.73</v>
      </c>
      <c r="G451" s="38" t="n">
        <v>6</v>
      </c>
      <c r="H451" s="674" t="n">
        <v>4.38</v>
      </c>
      <c r="I451" s="674" t="n">
        <v>4.64</v>
      </c>
      <c r="J451" s="38" t="n">
        <v>156</v>
      </c>
      <c r="K451" s="39" t="inlineStr">
        <is>
          <t>СК2</t>
        </is>
      </c>
      <c r="L451" s="38" t="n">
        <v>40</v>
      </c>
      <c r="M451" s="918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1" s="676" t="n"/>
      <c r="O451" s="676" t="n"/>
      <c r="P451" s="676" t="n"/>
      <c r="Q451" s="642" t="n"/>
      <c r="R451" s="40" t="inlineStr"/>
      <c r="S451" s="40" t="inlineStr"/>
      <c r="T451" s="41" t="inlineStr">
        <is>
          <t>кг</t>
        </is>
      </c>
      <c r="U451" s="677" t="n">
        <v>0</v>
      </c>
      <c r="V451" s="678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8" t="n">
        <v>4640242180595</v>
      </c>
      <c r="E452" s="642" t="n"/>
      <c r="F452" s="674" t="n">
        <v>0.7</v>
      </c>
      <c r="G452" s="38" t="n">
        <v>6</v>
      </c>
      <c r="H452" s="674" t="n">
        <v>4.2</v>
      </c>
      <c r="I452" s="674" t="n">
        <v>4.46</v>
      </c>
      <c r="J452" s="38" t="n">
        <v>156</v>
      </c>
      <c r="K452" s="39" t="inlineStr">
        <is>
          <t>СК2</t>
        </is>
      </c>
      <c r="L452" s="38" t="n">
        <v>40</v>
      </c>
      <c r="M452" s="919" t="inlineStr">
        <is>
          <t>В/к колбасы «Сервелат Рижский» НТУ Весовые Фиброуз в/у ТМ «Зареченские»</t>
        </is>
      </c>
      <c r="N452" s="676" t="n"/>
      <c r="O452" s="676" t="n"/>
      <c r="P452" s="676" t="n"/>
      <c r="Q452" s="642" t="n"/>
      <c r="R452" s="40" t="inlineStr"/>
      <c r="S452" s="40" t="inlineStr"/>
      <c r="T452" s="41" t="inlineStr">
        <is>
          <t>кг</t>
        </is>
      </c>
      <c r="U452" s="677" t="n">
        <v>0</v>
      </c>
      <c r="V452" s="678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2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9" t="n"/>
      <c r="M453" s="680" t="inlineStr">
        <is>
          <t>Итого</t>
        </is>
      </c>
      <c r="N453" s="650" t="n"/>
      <c r="O453" s="650" t="n"/>
      <c r="P453" s="650" t="n"/>
      <c r="Q453" s="650" t="n"/>
      <c r="R453" s="650" t="n"/>
      <c r="S453" s="651" t="n"/>
      <c r="T453" s="43" t="inlineStr">
        <is>
          <t>кор</t>
        </is>
      </c>
      <c r="U453" s="681">
        <f>IFERROR(U451/H451,"0")+IFERROR(U452/H452,"0")</f>
        <v/>
      </c>
      <c r="V453" s="681">
        <f>IFERROR(V451/H451,"0")+IFERROR(V452/H452,"0")</f>
        <v/>
      </c>
      <c r="W453" s="681">
        <f>IFERROR(IF(W451="",0,W451),"0")+IFERROR(IF(W452="",0,W452),"0")</f>
        <v/>
      </c>
      <c r="X453" s="682" t="n"/>
      <c r="Y453" s="682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9" t="n"/>
      <c r="M454" s="680" t="inlineStr">
        <is>
          <t>Итого</t>
        </is>
      </c>
      <c r="N454" s="650" t="n"/>
      <c r="O454" s="650" t="n"/>
      <c r="P454" s="650" t="n"/>
      <c r="Q454" s="650" t="n"/>
      <c r="R454" s="650" t="n"/>
      <c r="S454" s="651" t="n"/>
      <c r="T454" s="43" t="inlineStr">
        <is>
          <t>кг</t>
        </is>
      </c>
      <c r="U454" s="681">
        <f>IFERROR(SUM(U451:U452),"0")</f>
        <v/>
      </c>
      <c r="V454" s="681">
        <f>IFERROR(SUM(V451:V452),"0")</f>
        <v/>
      </c>
      <c r="W454" s="43" t="n"/>
      <c r="X454" s="682" t="n"/>
      <c r="Y454" s="682" t="n"/>
    </row>
    <row r="455" ht="14.25" customHeight="1">
      <c r="A455" s="327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7" t="n"/>
      <c r="Y455" s="327" t="n"/>
    </row>
    <row r="456" ht="27" customHeight="1">
      <c r="A456" s="64" t="inlineStr">
        <is>
          <t>SU002803</t>
        </is>
      </c>
      <c r="B456" s="64" t="inlineStr">
        <is>
          <t>P003204</t>
        </is>
      </c>
      <c r="C456" s="37" t="n">
        <v>4301051381</v>
      </c>
      <c r="D456" s="328" t="n">
        <v>4680115881068</v>
      </c>
      <c r="E456" s="642" t="n"/>
      <c r="F456" s="674" t="n">
        <v>1.3</v>
      </c>
      <c r="G456" s="38" t="n">
        <v>6</v>
      </c>
      <c r="H456" s="674" t="n">
        <v>7.8</v>
      </c>
      <c r="I456" s="674" t="n">
        <v>8.279999999999999</v>
      </c>
      <c r="J456" s="38" t="n">
        <v>56</v>
      </c>
      <c r="K456" s="39" t="inlineStr">
        <is>
          <t>СК2</t>
        </is>
      </c>
      <c r="L456" s="38" t="n">
        <v>30</v>
      </c>
      <c r="M456" s="920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6" s="676" t="n"/>
      <c r="O456" s="676" t="n"/>
      <c r="P456" s="676" t="n"/>
      <c r="Q456" s="642" t="n"/>
      <c r="R456" s="40" t="inlineStr"/>
      <c r="S456" s="40" t="inlineStr"/>
      <c r="T456" s="41" t="inlineStr">
        <is>
          <t>кг</t>
        </is>
      </c>
      <c r="U456" s="677" t="n">
        <v>0</v>
      </c>
      <c r="V456" s="678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1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P003205</t>
        </is>
      </c>
      <c r="C457" s="37" t="n">
        <v>4301051382</v>
      </c>
      <c r="D457" s="328" t="n">
        <v>4680115881075</v>
      </c>
      <c r="E457" s="642" t="n"/>
      <c r="F457" s="674" t="n">
        <v>0.5</v>
      </c>
      <c r="G457" s="38" t="n">
        <v>6</v>
      </c>
      <c r="H457" s="674" t="n">
        <v>3</v>
      </c>
      <c r="I457" s="674" t="n">
        <v>3.2</v>
      </c>
      <c r="J457" s="38" t="n">
        <v>156</v>
      </c>
      <c r="K457" s="39" t="inlineStr">
        <is>
          <t>СК2</t>
        </is>
      </c>
      <c r="L457" s="38" t="n">
        <v>30</v>
      </c>
      <c r="M457" s="921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7" s="676" t="n"/>
      <c r="O457" s="676" t="n"/>
      <c r="P457" s="676" t="n"/>
      <c r="Q457" s="642" t="n"/>
      <c r="R457" s="40" t="inlineStr"/>
      <c r="S457" s="40" t="inlineStr"/>
      <c r="T457" s="41" t="inlineStr">
        <is>
          <t>кг</t>
        </is>
      </c>
      <c r="U457" s="677" t="n">
        <v>0</v>
      </c>
      <c r="V457" s="678">
        <f>IFERROR(IF(U457="",0,CEILING((U457/$H457),1)*$H457),"")</f>
        <v/>
      </c>
      <c r="W457" s="42">
        <f>IFERROR(IF(V457=0,"",ROUNDUP(V457/H457,0)*0.00753),"")</f>
        <v/>
      </c>
      <c r="X457" s="69" t="inlineStr"/>
      <c r="Y457" s="70" t="inlineStr"/>
      <c r="AC457" s="71" t="n"/>
      <c r="AZ457" s="312" t="inlineStr">
        <is>
          <t>КИ</t>
        </is>
      </c>
    </row>
    <row r="458">
      <c r="A458" s="322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9" t="n"/>
      <c r="M458" s="680" t="inlineStr">
        <is>
          <t>Итого</t>
        </is>
      </c>
      <c r="N458" s="650" t="n"/>
      <c r="O458" s="650" t="n"/>
      <c r="P458" s="650" t="n"/>
      <c r="Q458" s="650" t="n"/>
      <c r="R458" s="650" t="n"/>
      <c r="S458" s="651" t="n"/>
      <c r="T458" s="43" t="inlineStr">
        <is>
          <t>кор</t>
        </is>
      </c>
      <c r="U458" s="681">
        <f>IFERROR(U456/H456,"0")+IFERROR(U457/H457,"0")</f>
        <v/>
      </c>
      <c r="V458" s="681">
        <f>IFERROR(V456/H456,"0")+IFERROR(V457/H457,"0")</f>
        <v/>
      </c>
      <c r="W458" s="681">
        <f>IFERROR(IF(W456="",0,W456),"0")+IFERROR(IF(W457="",0,W457),"0")</f>
        <v/>
      </c>
      <c r="X458" s="682" t="n"/>
      <c r="Y458" s="682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9" t="n"/>
      <c r="M459" s="680" t="inlineStr">
        <is>
          <t>Итого</t>
        </is>
      </c>
      <c r="N459" s="650" t="n"/>
      <c r="O459" s="650" t="n"/>
      <c r="P459" s="650" t="n"/>
      <c r="Q459" s="650" t="n"/>
      <c r="R459" s="650" t="n"/>
      <c r="S459" s="651" t="n"/>
      <c r="T459" s="43" t="inlineStr">
        <is>
          <t>кг</t>
        </is>
      </c>
      <c r="U459" s="681">
        <f>IFERROR(SUM(U456:U457),"0")</f>
        <v/>
      </c>
      <c r="V459" s="681">
        <f>IFERROR(SUM(V456:V457),"0")</f>
        <v/>
      </c>
      <c r="W459" s="43" t="n"/>
      <c r="X459" s="682" t="n"/>
      <c r="Y459" s="682" t="n"/>
    </row>
    <row r="460" ht="16.5" customHeight="1">
      <c r="A460" s="335" t="inlineStr">
        <is>
          <t>Выгодная цена</t>
        </is>
      </c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335" t="n"/>
      <c r="Y460" s="335" t="n"/>
    </row>
    <row r="461" ht="14.25" customHeight="1">
      <c r="A461" s="327" t="inlineStr">
        <is>
          <t>Копченые колбасы</t>
        </is>
      </c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327" t="n"/>
      <c r="Y461" s="327" t="n"/>
    </row>
    <row r="462" ht="27" customHeight="1">
      <c r="A462" s="64" t="inlineStr">
        <is>
          <t>SU002654</t>
        </is>
      </c>
      <c r="B462" s="64" t="inlineStr">
        <is>
          <t>P003020</t>
        </is>
      </c>
      <c r="C462" s="37" t="n">
        <v>4301031156</v>
      </c>
      <c r="D462" s="328" t="n">
        <v>4680115880856</v>
      </c>
      <c r="E462" s="642" t="n"/>
      <c r="F462" s="674" t="n">
        <v>0.7</v>
      </c>
      <c r="G462" s="38" t="n">
        <v>6</v>
      </c>
      <c r="H462" s="674" t="n">
        <v>4.2</v>
      </c>
      <c r="I462" s="674" t="n">
        <v>4.46</v>
      </c>
      <c r="J462" s="38" t="n">
        <v>156</v>
      </c>
      <c r="K462" s="39" t="inlineStr">
        <is>
          <t>СК2</t>
        </is>
      </c>
      <c r="L462" s="38" t="n">
        <v>35</v>
      </c>
      <c r="M462" s="922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/>
      </c>
      <c r="N462" s="676" t="n"/>
      <c r="O462" s="676" t="n"/>
      <c r="P462" s="676" t="n"/>
      <c r="Q462" s="642" t="n"/>
      <c r="R462" s="40" t="inlineStr"/>
      <c r="S462" s="40" t="inlineStr"/>
      <c r="T462" s="41" t="inlineStr">
        <is>
          <t>кг</t>
        </is>
      </c>
      <c r="U462" s="677" t="n">
        <v>0</v>
      </c>
      <c r="V462" s="678">
        <f>IFERROR(IF(U462="",0,CEILING((U462/$H462),1)*$H462),"")</f>
        <v/>
      </c>
      <c r="W462" s="42">
        <f>IFERROR(IF(V462=0,"",ROUNDUP(V462/H462,0)*0.00753),"")</f>
        <v/>
      </c>
      <c r="X462" s="69" t="inlineStr"/>
      <c r="Y462" s="70" t="inlineStr"/>
      <c r="AC462" s="71" t="n"/>
      <c r="AZ462" s="313" t="inlineStr">
        <is>
          <t>КИ</t>
        </is>
      </c>
    </row>
    <row r="463">
      <c r="A463" s="322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79" t="n"/>
      <c r="M463" s="680" t="inlineStr">
        <is>
          <t>Итого</t>
        </is>
      </c>
      <c r="N463" s="650" t="n"/>
      <c r="O463" s="650" t="n"/>
      <c r="P463" s="650" t="n"/>
      <c r="Q463" s="650" t="n"/>
      <c r="R463" s="650" t="n"/>
      <c r="S463" s="651" t="n"/>
      <c r="T463" s="43" t="inlineStr">
        <is>
          <t>кор</t>
        </is>
      </c>
      <c r="U463" s="681">
        <f>IFERROR(U462/H462,"0")</f>
        <v/>
      </c>
      <c r="V463" s="681">
        <f>IFERROR(V462/H462,"0")</f>
        <v/>
      </c>
      <c r="W463" s="681">
        <f>IFERROR(IF(W462="",0,W462),"0")</f>
        <v/>
      </c>
      <c r="X463" s="682" t="n"/>
      <c r="Y463" s="682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79" t="n"/>
      <c r="M464" s="680" t="inlineStr">
        <is>
          <t>Итого</t>
        </is>
      </c>
      <c r="N464" s="650" t="n"/>
      <c r="O464" s="650" t="n"/>
      <c r="P464" s="650" t="n"/>
      <c r="Q464" s="650" t="n"/>
      <c r="R464" s="650" t="n"/>
      <c r="S464" s="651" t="n"/>
      <c r="T464" s="43" t="inlineStr">
        <is>
          <t>кг</t>
        </is>
      </c>
      <c r="U464" s="681">
        <f>IFERROR(SUM(U462:U462),"0")</f>
        <v/>
      </c>
      <c r="V464" s="681">
        <f>IFERROR(SUM(V462:V462),"0")</f>
        <v/>
      </c>
      <c r="W464" s="43" t="n"/>
      <c r="X464" s="682" t="n"/>
      <c r="Y464" s="682" t="n"/>
    </row>
    <row r="465" ht="14.25" customHeight="1">
      <c r="A465" s="327" t="inlineStr">
        <is>
          <t>Сосиски</t>
        </is>
      </c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327" t="n"/>
      <c r="Y465" s="327" t="n"/>
    </row>
    <row r="466" ht="16.5" customHeight="1">
      <c r="A466" s="64" t="inlineStr">
        <is>
          <t>SU002655</t>
        </is>
      </c>
      <c r="B466" s="64" t="inlineStr">
        <is>
          <t>P003022</t>
        </is>
      </c>
      <c r="C466" s="37" t="n">
        <v>4301051310</v>
      </c>
      <c r="D466" s="328" t="n">
        <v>4680115880870</v>
      </c>
      <c r="E466" s="642" t="n"/>
      <c r="F466" s="674" t="n">
        <v>1.3</v>
      </c>
      <c r="G466" s="38" t="n">
        <v>6</v>
      </c>
      <c r="H466" s="674" t="n">
        <v>7.8</v>
      </c>
      <c r="I466" s="674" t="n">
        <v>8.364000000000001</v>
      </c>
      <c r="J466" s="38" t="n">
        <v>56</v>
      </c>
      <c r="K466" s="39" t="inlineStr">
        <is>
          <t>СК3</t>
        </is>
      </c>
      <c r="L466" s="38" t="n">
        <v>40</v>
      </c>
      <c r="M466" s="923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6" s="676" t="n"/>
      <c r="O466" s="676" t="n"/>
      <c r="P466" s="676" t="n"/>
      <c r="Q466" s="642" t="n"/>
      <c r="R466" s="40" t="inlineStr"/>
      <c r="S466" s="40" t="inlineStr"/>
      <c r="T466" s="41" t="inlineStr">
        <is>
          <t>кг</t>
        </is>
      </c>
      <c r="U466" s="677" t="n">
        <v>0</v>
      </c>
      <c r="V466" s="678">
        <f>IFERROR(IF(U466="",0,CEILING((U466/$H466),1)*$H466),"")</f>
        <v/>
      </c>
      <c r="W466" s="42">
        <f>IFERROR(IF(V466=0,"",ROUNDUP(V466/H466,0)*0.02175),"")</f>
        <v/>
      </c>
      <c r="X466" s="69" t="inlineStr"/>
      <c r="Y466" s="70" t="inlineStr"/>
      <c r="AC466" s="71" t="n"/>
      <c r="AZ466" s="314" t="inlineStr">
        <is>
          <t>КИ</t>
        </is>
      </c>
    </row>
    <row r="467">
      <c r="A467" s="322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79" t="n"/>
      <c r="M467" s="680" t="inlineStr">
        <is>
          <t>Итого</t>
        </is>
      </c>
      <c r="N467" s="650" t="n"/>
      <c r="O467" s="650" t="n"/>
      <c r="P467" s="650" t="n"/>
      <c r="Q467" s="650" t="n"/>
      <c r="R467" s="650" t="n"/>
      <c r="S467" s="651" t="n"/>
      <c r="T467" s="43" t="inlineStr">
        <is>
          <t>кор</t>
        </is>
      </c>
      <c r="U467" s="681">
        <f>IFERROR(U466/H466,"0")</f>
        <v/>
      </c>
      <c r="V467" s="681">
        <f>IFERROR(V466/H466,"0")</f>
        <v/>
      </c>
      <c r="W467" s="681">
        <f>IFERROR(IF(W466="",0,W466),"0")</f>
        <v/>
      </c>
      <c r="X467" s="682" t="n"/>
      <c r="Y467" s="682" t="n"/>
    </row>
    <row r="46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79" t="n"/>
      <c r="M468" s="680" t="inlineStr">
        <is>
          <t>Итого</t>
        </is>
      </c>
      <c r="N468" s="650" t="n"/>
      <c r="O468" s="650" t="n"/>
      <c r="P468" s="650" t="n"/>
      <c r="Q468" s="650" t="n"/>
      <c r="R468" s="650" t="n"/>
      <c r="S468" s="651" t="n"/>
      <c r="T468" s="43" t="inlineStr">
        <is>
          <t>кг</t>
        </is>
      </c>
      <c r="U468" s="681">
        <f>IFERROR(SUM(U466:U466),"0")</f>
        <v/>
      </c>
      <c r="V468" s="681">
        <f>IFERROR(SUM(V466:V466),"0")</f>
        <v/>
      </c>
      <c r="W468" s="43" t="n"/>
      <c r="X468" s="682" t="n"/>
      <c r="Y468" s="682" t="n"/>
    </row>
    <row r="469" ht="15" customHeight="1">
      <c r="A469" s="326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639" t="n"/>
      <c r="M469" s="924" t="inlineStr">
        <is>
          <t>ИТОГО НЕТТО</t>
        </is>
      </c>
      <c r="N469" s="633" t="n"/>
      <c r="O469" s="633" t="n"/>
      <c r="P469" s="633" t="n"/>
      <c r="Q469" s="633" t="n"/>
      <c r="R469" s="633" t="n"/>
      <c r="S469" s="634" t="n"/>
      <c r="T469" s="43" t="inlineStr">
        <is>
          <t>кг</t>
        </is>
      </c>
      <c r="U469" s="681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/>
      </c>
      <c r="V469" s="681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/>
      </c>
      <c r="W469" s="43" t="n"/>
      <c r="X469" s="682" t="n"/>
      <c r="Y469" s="682" t="n"/>
    </row>
    <row r="470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639" t="n"/>
      <c r="M470" s="924" t="inlineStr">
        <is>
          <t>ИТОГО БРУТТО</t>
        </is>
      </c>
      <c r="N470" s="633" t="n"/>
      <c r="O470" s="633" t="n"/>
      <c r="P470" s="633" t="n"/>
      <c r="Q470" s="633" t="n"/>
      <c r="R470" s="633" t="n"/>
      <c r="S470" s="634" t="n"/>
      <c r="T470" s="43" t="inlineStr">
        <is>
          <t>кг</t>
        </is>
      </c>
      <c r="U470" s="68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/>
      </c>
      <c r="V470" s="68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/>
      </c>
      <c r="W470" s="43" t="n"/>
      <c r="X470" s="682" t="n"/>
      <c r="Y470" s="682" t="n"/>
    </row>
    <row r="471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639" t="n"/>
      <c r="M471" s="924" t="inlineStr">
        <is>
          <t>Кол-во паллет</t>
        </is>
      </c>
      <c r="N471" s="633" t="n"/>
      <c r="O471" s="633" t="n"/>
      <c r="P471" s="633" t="n"/>
      <c r="Q471" s="633" t="n"/>
      <c r="R471" s="633" t="n"/>
      <c r="S471" s="634" t="n"/>
      <c r="T471" s="43" t="inlineStr">
        <is>
          <t>шт</t>
        </is>
      </c>
      <c r="U471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/>
      </c>
      <c r="V471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/>
      </c>
      <c r="W471" s="43" t="n"/>
      <c r="X471" s="682" t="n"/>
      <c r="Y471" s="682" t="n"/>
    </row>
    <row r="472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639" t="n"/>
      <c r="M472" s="924" t="inlineStr">
        <is>
          <t>Вес брутто  с паллетами</t>
        </is>
      </c>
      <c r="N472" s="633" t="n"/>
      <c r="O472" s="633" t="n"/>
      <c r="P472" s="633" t="n"/>
      <c r="Q472" s="633" t="n"/>
      <c r="R472" s="633" t="n"/>
      <c r="S472" s="634" t="n"/>
      <c r="T472" s="43" t="inlineStr">
        <is>
          <t>кг</t>
        </is>
      </c>
      <c r="U472" s="681">
        <f>GrossWeightTotal+PalletQtyTotal*25</f>
        <v/>
      </c>
      <c r="V472" s="681">
        <f>GrossWeightTotalR+PalletQtyTotalR*25</f>
        <v/>
      </c>
      <c r="W472" s="43" t="n"/>
      <c r="X472" s="682" t="n"/>
      <c r="Y472" s="682" t="n"/>
    </row>
    <row r="4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639" t="n"/>
      <c r="M473" s="924" t="inlineStr">
        <is>
          <t>Кол-во коробок</t>
        </is>
      </c>
      <c r="N473" s="633" t="n"/>
      <c r="O473" s="633" t="n"/>
      <c r="P473" s="633" t="n"/>
      <c r="Q473" s="633" t="n"/>
      <c r="R473" s="633" t="n"/>
      <c r="S473" s="634" t="n"/>
      <c r="T473" s="43" t="inlineStr">
        <is>
          <t>шт</t>
        </is>
      </c>
      <c r="U473" s="681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/>
      </c>
      <c r="V473" s="681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/>
      </c>
      <c r="W473" s="43" t="n"/>
      <c r="X473" s="682" t="n"/>
      <c r="Y473" s="682" t="n"/>
    </row>
    <row r="474" ht="14.25" customHeight="1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639" t="n"/>
      <c r="M474" s="924" t="inlineStr">
        <is>
          <t>Объем заказа</t>
        </is>
      </c>
      <c r="N474" s="633" t="n"/>
      <c r="O474" s="633" t="n"/>
      <c r="P474" s="633" t="n"/>
      <c r="Q474" s="633" t="n"/>
      <c r="R474" s="633" t="n"/>
      <c r="S474" s="634" t="n"/>
      <c r="T474" s="46" t="inlineStr">
        <is>
          <t>м3</t>
        </is>
      </c>
      <c r="U474" s="43" t="n"/>
      <c r="V474" s="43" t="n"/>
      <c r="W474" s="43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/>
      </c>
      <c r="X474" s="682" t="n"/>
      <c r="Y474" s="682" t="n"/>
    </row>
    <row r="475" ht="13.5" customHeight="1" thickBot="1"/>
    <row r="476" ht="27" customHeight="1" thickBot="1" thickTop="1">
      <c r="A476" s="47" t="inlineStr">
        <is>
          <t>ТОРГОВАЯ МАРКА</t>
        </is>
      </c>
      <c r="B476" s="315" t="inlineStr">
        <is>
          <t>Ядрена копоть</t>
        </is>
      </c>
      <c r="C476" s="315" t="inlineStr">
        <is>
          <t>Вязанка</t>
        </is>
      </c>
      <c r="D476" s="925" t="n"/>
      <c r="E476" s="925" t="n"/>
      <c r="F476" s="926" t="n"/>
      <c r="G476" s="315" t="inlineStr">
        <is>
          <t>Стародворье</t>
        </is>
      </c>
      <c r="H476" s="925" t="n"/>
      <c r="I476" s="925" t="n"/>
      <c r="J476" s="925" t="n"/>
      <c r="K476" s="925" t="n"/>
      <c r="L476" s="926" t="n"/>
      <c r="M476" s="315" t="inlineStr">
        <is>
          <t>Особый рецепт</t>
        </is>
      </c>
      <c r="N476" s="926" t="n"/>
      <c r="O476" s="315" t="inlineStr">
        <is>
          <t>Баварушка</t>
        </is>
      </c>
      <c r="P476" s="926" t="n"/>
      <c r="Q476" s="315" t="inlineStr">
        <is>
          <t>Дугушка</t>
        </is>
      </c>
      <c r="R476" s="315" t="inlineStr">
        <is>
          <t>Зареченские</t>
        </is>
      </c>
      <c r="S476" s="926" t="n"/>
      <c r="T476" s="1" t="n"/>
      <c r="Y476" s="61" t="n"/>
      <c r="AB476" s="1" t="n"/>
    </row>
    <row r="477" ht="14.25" customHeight="1" thickTop="1">
      <c r="A477" s="316" t="inlineStr">
        <is>
          <t>СЕРИЯ</t>
        </is>
      </c>
      <c r="B477" s="315" t="inlineStr">
        <is>
          <t>Ядрена копоть</t>
        </is>
      </c>
      <c r="C477" s="315" t="inlineStr">
        <is>
          <t>Столичная</t>
        </is>
      </c>
      <c r="D477" s="315" t="inlineStr">
        <is>
          <t>Классическая</t>
        </is>
      </c>
      <c r="E477" s="315" t="inlineStr">
        <is>
          <t>Вязанка</t>
        </is>
      </c>
      <c r="F477" s="315" t="inlineStr">
        <is>
          <t>Сливушки</t>
        </is>
      </c>
      <c r="G477" s="315" t="inlineStr">
        <is>
          <t>Золоченная в печи</t>
        </is>
      </c>
      <c r="H477" s="315" t="inlineStr">
        <is>
          <t>Мясорубская</t>
        </is>
      </c>
      <c r="I477" s="315" t="inlineStr">
        <is>
          <t>Сочинка</t>
        </is>
      </c>
      <c r="J477" s="315" t="inlineStr">
        <is>
          <t>Бордо</t>
        </is>
      </c>
      <c r="K477" s="315" t="inlineStr">
        <is>
          <t>Фирменная</t>
        </is>
      </c>
      <c r="L477" s="315" t="inlineStr">
        <is>
          <t>Бавария</t>
        </is>
      </c>
      <c r="M477" s="315" t="inlineStr">
        <is>
          <t>Особая</t>
        </is>
      </c>
      <c r="N477" s="315" t="inlineStr">
        <is>
          <t>Особая Без свинины</t>
        </is>
      </c>
      <c r="O477" s="315" t="inlineStr">
        <is>
          <t>Филейбургская</t>
        </is>
      </c>
      <c r="P477" s="315" t="inlineStr">
        <is>
          <t>Балыкбургская</t>
        </is>
      </c>
      <c r="Q477" s="315" t="inlineStr">
        <is>
          <t>Дугушка</t>
        </is>
      </c>
      <c r="R477" s="315" t="inlineStr">
        <is>
          <t>Зареченские продукты</t>
        </is>
      </c>
      <c r="S477" s="315" t="inlineStr">
        <is>
          <t>Выгодная цена</t>
        </is>
      </c>
      <c r="T477" s="1" t="n"/>
      <c r="Y477" s="61" t="n"/>
      <c r="AB477" s="1" t="n"/>
    </row>
    <row r="478" ht="13.5" customHeight="1" thickBot="1">
      <c r="A478" s="927" t="n"/>
      <c r="B478" s="928" t="n"/>
      <c r="C478" s="928" t="n"/>
      <c r="D478" s="928" t="n"/>
      <c r="E478" s="928" t="n"/>
      <c r="F478" s="928" t="n"/>
      <c r="G478" s="928" t="n"/>
      <c r="H478" s="928" t="n"/>
      <c r="I478" s="928" t="n"/>
      <c r="J478" s="928" t="n"/>
      <c r="K478" s="928" t="n"/>
      <c r="L478" s="928" t="n"/>
      <c r="M478" s="928" t="n"/>
      <c r="N478" s="928" t="n"/>
      <c r="O478" s="928" t="n"/>
      <c r="P478" s="928" t="n"/>
      <c r="Q478" s="928" t="n"/>
      <c r="R478" s="928" t="n"/>
      <c r="S478" s="928" t="n"/>
      <c r="T478" s="1" t="n"/>
      <c r="Y478" s="61" t="n"/>
      <c r="AB478" s="1" t="n"/>
    </row>
    <row r="479" ht="18" customHeight="1" thickBot="1" thickTop="1">
      <c r="A479" s="47" t="inlineStr">
        <is>
          <t>ИТОГО, кг</t>
        </is>
      </c>
      <c r="B479" s="53">
        <f>IFERROR(V22*1,"0")+IFERROR(V26*1,"0")+IFERROR(V27*1,"0")+IFERROR(V28*1,"0")+IFERROR(V29*1,"0")+IFERROR(V30*1,"0")+IFERROR(V31*1,"0")+IFERROR(V35*1,"0")+IFERROR(V39*1,"0")+IFERROR(V43*1,"0")</f>
        <v/>
      </c>
      <c r="C479" s="53">
        <f>IFERROR(V49*1,"0")+IFERROR(V50*1,"0")</f>
        <v/>
      </c>
      <c r="D479" s="53">
        <f>IFERROR(V55*1,"0")+IFERROR(V56*1,"0")+IFERROR(V57*1,"0")+IFERROR(V58*1,"0")</f>
        <v/>
      </c>
      <c r="E479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/>
      </c>
      <c r="F479" s="53">
        <f>IFERROR(V125*1,"0")+IFERROR(V126*1,"0")+IFERROR(V127*1,"0")+IFERROR(V128*1,"0")</f>
        <v/>
      </c>
      <c r="G479" s="53">
        <f>IFERROR(V134*1,"0")+IFERROR(V135*1,"0")+IFERROR(V136*1,"0")</f>
        <v/>
      </c>
      <c r="H479" s="53">
        <f>IFERROR(V141*1,"0")+IFERROR(V142*1,"0")+IFERROR(V143*1,"0")+IFERROR(V144*1,"0")+IFERROR(V145*1,"0")+IFERROR(V146*1,"0")+IFERROR(V147*1,"0")+IFERROR(V148*1,"0")</f>
        <v/>
      </c>
      <c r="I479" s="53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/>
      </c>
      <c r="J479" s="53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/>
      </c>
      <c r="K479" s="53">
        <f>IFERROR(V253*1,"0")+IFERROR(V254*1,"0")+IFERROR(V255*1,"0")+IFERROR(V256*1,"0")+IFERROR(V257*1,"0")+IFERROR(V258*1,"0")+IFERROR(V259*1,"0")+IFERROR(V263*1,"0")+IFERROR(V264*1,"0")</f>
        <v/>
      </c>
      <c r="L479" s="53">
        <f>IFERROR(V269*1,"0")+IFERROR(V273*1,"0")+IFERROR(V274*1,"0")+IFERROR(V275*1,"0")+IFERROR(V279*1,"0")+IFERROR(V283*1,"0")</f>
        <v/>
      </c>
      <c r="M479" s="53">
        <f>IFERROR(V289*1,"0")+IFERROR(V290*1,"0")+IFERROR(V291*1,"0")+IFERROR(V292*1,"0")+IFERROR(V293*1,"0")+IFERROR(V294*1,"0")+IFERROR(V295*1,"0")+IFERROR(V296*1,"0")+IFERROR(V300*1,"0")+IFERROR(V301*1,"0")+IFERROR(V305*1,"0")+IFERROR(V309*1,"0")</f>
        <v/>
      </c>
      <c r="N479" s="53">
        <f>IFERROR(V314*1,"0")+IFERROR(V315*1,"0")+IFERROR(V316*1,"0")+IFERROR(V317*1,"0")+IFERROR(V321*1,"0")+IFERROR(V322*1,"0")+IFERROR(V326*1,"0")+IFERROR(V327*1,"0")+IFERROR(V328*1,"0")+IFERROR(V329*1,"0")+IFERROR(V333*1,"0")</f>
        <v/>
      </c>
      <c r="O479" s="53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/>
      </c>
      <c r="P479" s="53">
        <f>IFERROR(V382*1,"0")+IFERROR(V383*1,"0")+IFERROR(V387*1,"0")+IFERROR(V388*1,"0")+IFERROR(V389*1,"0")+IFERROR(V390*1,"0")+IFERROR(V391*1,"0")+IFERROR(V392*1,"0")+IFERROR(V393*1,"0")+IFERROR(V397*1,"0")+IFERROR(V401*1,"0")</f>
        <v/>
      </c>
      <c r="Q479" s="53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/>
      </c>
      <c r="R479" s="53">
        <f>IFERROR(V440*1,"0")+IFERROR(V441*1,"0")+IFERROR(V445*1,"0")+IFERROR(V446*1,"0")+IFERROR(V447*1,"0")+IFERROR(V451*1,"0")+IFERROR(V452*1,"0")+IFERROR(V456*1,"0")+IFERROR(V457*1,"0")</f>
        <v/>
      </c>
      <c r="S479" s="53">
        <f>IFERROR(V462*1,"0")+IFERROR(V466*1,"0")</f>
        <v/>
      </c>
      <c r="T479" s="1" t="n"/>
      <c r="Y479" s="61" t="n"/>
      <c r="AB479" s="1" t="n"/>
    </row>
    <row r="48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sEqEGSMuGTuiGhirCBEPXA==" formatRows="1" sort="0" spinCount="100000" hashValue="Md33lYi7uRgwPdjtncDlQRvDr9InNaM1fBFx1JK6Dmug+JSpelWiCQLLfanq0tfIiCYwskTAjZ4k2+szbe5KCg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(сеть) Крым Респ, Симферополь г, Данилова ул, д. 43В, лит В, офис 4,</t>
        </is>
      </c>
      <c r="C7" s="54" t="inlineStr">
        <is>
          <t>590704_3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4,</t>
        </is>
      </c>
      <c r="C11" s="54" t="inlineStr">
        <is>
          <t>590704_3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6V8VsQYaCIqJJ0CPmkWng==" formatRows="1" sort="0" spinCount="100000" hashValue="XvZBDCzL8UEpYuDtSswBXGgsFUd7VcGEGxSR26nxXIn3vuUqY6TJ2VVh2e/xxzUCC8Q6vRn5gQQVaAjUzzO3e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2023-10-06T09:14:06Z</dcterms:modified>
  <cp:lastModifiedBy>Admin</cp:lastModifiedBy>
</cp:coreProperties>
</file>