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505" windowHeight="12060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заказа'!$U$470:$U$470</definedName>
    <definedName name="GrossWeightTotalR">'Бланк заказа'!$V$470:$V$470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заказа'!$U$471:$U$471</definedName>
    <definedName name="PalletQtyTotalR">'Бланк заказа'!$V$471:$V$471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заказа'!$B$189:$B$189</definedName>
    <definedName name="ProductId103">'Бланк заказа'!$B$190:$B$190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заказа'!$B$213:$B$213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заказа'!$B$233:$B$233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заказа'!$B$246:$B$246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заказа'!$B$263:$B$263</definedName>
    <definedName name="ProductId148">'Бланк заказа'!$B$264:$B$264</definedName>
    <definedName name="ProductId149">'Бланк заказа'!$B$269:$B$269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заказа'!$B$275:$B$275</definedName>
    <definedName name="ProductId153">'Бланк заказа'!$B$279:$B$279</definedName>
    <definedName name="ProductId154">'Бланк заказа'!$B$283:$B$283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заказа'!$B$301:$B$301</definedName>
    <definedName name="ProductId165">'Бланк заказа'!$B$305:$B$305</definedName>
    <definedName name="ProductId166">'Бланк заказа'!$B$309:$B$309</definedName>
    <definedName name="ProductId167">'Бланк заказа'!$B$314:$B$314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заказа'!$B$321:$B$321</definedName>
    <definedName name="ProductId172">'Бланк заказа'!$B$322:$B$322</definedName>
    <definedName name="ProductId173">'Бланк заказа'!$B$326:$B$326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заказа'!$B$333:$B$333</definedName>
    <definedName name="ProductId178">'Бланк заказа'!$B$339:$B$339</definedName>
    <definedName name="ProductId179">'Бланк заказа'!$B$340:$B$340</definedName>
    <definedName name="ProductId18">'Бланк заказа'!$B$64:$B$64</definedName>
    <definedName name="ProductId180">'Бланк заказа'!$B$344:$B$344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заказа'!$B$360:$B$360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заказа'!$B$367:$B$367</definedName>
    <definedName name="ProductId198">'Бланк заказа'!$B$371:$B$371</definedName>
    <definedName name="ProductId199">'Бланк заказа'!$B$372:$B$372</definedName>
    <definedName name="ProductId2">'Бланк заказа'!$B$26:$B$26</definedName>
    <definedName name="ProductId20">'Бланк заказа'!$B$66:$B$66</definedName>
    <definedName name="ProductId200">'Бланк заказа'!$B$373:$B$373</definedName>
    <definedName name="ProductId201">'Бланк заказа'!$B$377:$B$377</definedName>
    <definedName name="ProductId202">'Бланк заказа'!$B$382:$B$382</definedName>
    <definedName name="ProductId203">'Бланк заказа'!$B$383:$B$383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заказа'!$B$397:$B$397</definedName>
    <definedName name="ProductId212">'Бланк заказа'!$B$401:$B$401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заказа'!$B$433:$B$433</definedName>
    <definedName name="ProductId231">'Бланк заказа'!$B$434:$B$434</definedName>
    <definedName name="ProductId232">'Бланк заказа'!$B$440:$B$440</definedName>
    <definedName name="ProductId233">'Бланк заказа'!$B$441:$B$441</definedName>
    <definedName name="ProductId234">'Бланк заказа'!$B$445:$B$445</definedName>
    <definedName name="ProductId235">'Бланк заказа'!$B$446:$B$446</definedName>
    <definedName name="ProductId236">'Бланк заказа'!$B$447:$B$447</definedName>
    <definedName name="ProductId237">'Бланк заказа'!$B$451:$B$451</definedName>
    <definedName name="ProductId238">'Бланк заказа'!$B$452:$B$452</definedName>
    <definedName name="ProductId239">'Бланк заказа'!$B$456:$B$456</definedName>
    <definedName name="ProductId24">'Бланк заказа'!$B$70:$B$70</definedName>
    <definedName name="ProductId240">'Бланк заказа'!$B$457:$B$457</definedName>
    <definedName name="ProductId241">'Бланк заказа'!$B$462:$B$462</definedName>
    <definedName name="ProductId242">'Бланк заказа'!$B$466:$B$466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заказа'!$B$125:$B$125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заказа'!$U$184:$U$184</definedName>
    <definedName name="SalesQty101">'Бланк заказа'!$U$185:$U$185</definedName>
    <definedName name="SalesQty102">'Бланк заказа'!$U$189:$U$189</definedName>
    <definedName name="SalesQty103">'Бланк заказа'!$U$190:$U$190</definedName>
    <definedName name="SalesQty104">'Бланк заказа'!$U$195:$U$195</definedName>
    <definedName name="SalesQty105">'Бланк заказа'!$U$196:$U$196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заказа'!$U$208:$U$208</definedName>
    <definedName name="SalesQty118">'Бланк заказа'!$U$209:$U$209</definedName>
    <definedName name="SalesQty119">'Бланк заказа'!$U$213:$U$213</definedName>
    <definedName name="SalesQty12">'Бланк заказа'!$U$50:$U$50</definedName>
    <definedName name="SalesQty120">'Бланк заказа'!$U$217:$U$217</definedName>
    <definedName name="SalesQty121">'Бланк заказа'!$U$218:$U$218</definedName>
    <definedName name="SalesQty122">'Бланк заказа'!$U$219:$U$219</definedName>
    <definedName name="SalesQty123">'Бланк заказа'!$U$220:$U$220</definedName>
    <definedName name="SalesQty124">'Бланк заказа'!$U$224:$U$224</definedName>
    <definedName name="SalesQty125">'Бланк заказа'!$U$225:$U$225</definedName>
    <definedName name="SalesQty126">'Бланк заказа'!$U$226:$U$226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заказа'!$U$55:$U$55</definedName>
    <definedName name="SalesQty130">'Бланк заказа'!$U$233:$U$233</definedName>
    <definedName name="SalesQty131">'Бланк заказа'!$U$234:$U$234</definedName>
    <definedName name="SalesQty132">'Бланк заказа'!$U$235:$U$235</definedName>
    <definedName name="SalesQty133">'Бланк заказа'!$U$236:$U$236</definedName>
    <definedName name="SalesQty134">'Бланк заказа'!$U$240:$U$240</definedName>
    <definedName name="SalesQty135">'Бланк заказа'!$U$241:$U$241</definedName>
    <definedName name="SalesQty136">'Бланк заказа'!$U$242:$U$242</definedName>
    <definedName name="SalesQty137">'Бланк заказа'!$U$246:$U$246</definedName>
    <definedName name="SalesQty138">'Бланк заказа'!$U$247:$U$247</definedName>
    <definedName name="SalesQty139">'Бланк заказа'!$U$248:$U$248</definedName>
    <definedName name="SalesQty14">'Бланк заказа'!$U$56:$U$56</definedName>
    <definedName name="SalesQty140">'Бланк заказа'!$U$253:$U$253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заказа'!$U$258:$U$258</definedName>
    <definedName name="SalesQty146">'Бланк заказа'!$U$259:$U$259</definedName>
    <definedName name="SalesQty147">'Бланк заказа'!$U$263:$U$263</definedName>
    <definedName name="SalesQty148">'Бланк заказа'!$U$264:$U$264</definedName>
    <definedName name="SalesQty149">'Бланк заказа'!$U$269:$U$269</definedName>
    <definedName name="SalesQty15">'Бланк заказа'!$U$57:$U$57</definedName>
    <definedName name="SalesQty150">'Бланк заказа'!$U$273:$U$273</definedName>
    <definedName name="SalesQty151">'Бланк заказа'!$U$274:$U$274</definedName>
    <definedName name="SalesQty152">'Бланк заказа'!$U$275:$U$275</definedName>
    <definedName name="SalesQty153">'Бланк заказа'!$U$279:$U$279</definedName>
    <definedName name="SalesQty154">'Бланк заказа'!$U$283:$U$283</definedName>
    <definedName name="SalesQty155">'Бланк заказа'!$U$289:$U$289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заказа'!$U$296:$U$296</definedName>
    <definedName name="SalesQty163">'Бланк заказа'!$U$300:$U$300</definedName>
    <definedName name="SalesQty164">'Бланк заказа'!$U$301:$U$301</definedName>
    <definedName name="SalesQty165">'Бланк заказа'!$U$305:$U$305</definedName>
    <definedName name="SalesQty166">'Бланк заказа'!$U$309:$U$309</definedName>
    <definedName name="SalesQty167">'Бланк заказа'!$U$314:$U$314</definedName>
    <definedName name="SalesQty168">'Бланк заказа'!$U$315:$U$315</definedName>
    <definedName name="SalesQty169">'Бланк заказа'!$U$316:$U$316</definedName>
    <definedName name="SalesQty17">'Бланк заказа'!$U$63:$U$63</definedName>
    <definedName name="SalesQty170">'Бланк заказа'!$U$317:$U$317</definedName>
    <definedName name="SalesQty171">'Бланк заказа'!$U$321:$U$321</definedName>
    <definedName name="SalesQty172">'Бланк заказа'!$U$322:$U$322</definedName>
    <definedName name="SalesQty173">'Бланк заказа'!$U$326:$U$326</definedName>
    <definedName name="SalesQty174">'Бланк заказа'!$U$327:$U$327</definedName>
    <definedName name="SalesQty175">'Бланк заказа'!$U$328:$U$328</definedName>
    <definedName name="SalesQty176">'Бланк заказа'!$U$329:$U$329</definedName>
    <definedName name="SalesQty177">'Бланк заказа'!$U$333:$U$333</definedName>
    <definedName name="SalesQty178">'Бланк заказа'!$U$339:$U$339</definedName>
    <definedName name="SalesQty179">'Бланк заказа'!$U$340:$U$340</definedName>
    <definedName name="SalesQty18">'Бланк заказа'!$U$64:$U$64</definedName>
    <definedName name="SalesQty180">'Бланк заказа'!$U$344:$U$344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заказа'!$U$360:$U$360</definedName>
    <definedName name="SalesQty194">'Бланк заказа'!$U$361:$U$361</definedName>
    <definedName name="SalesQty195">'Бланк заказа'!$U$362:$U$362</definedName>
    <definedName name="SalesQty196">'Бланк заказа'!$U$363:$U$363</definedName>
    <definedName name="SalesQty197">'Бланк заказа'!$U$367:$U$367</definedName>
    <definedName name="SalesQty198">'Бланк заказа'!$U$371:$U$371</definedName>
    <definedName name="SalesQty199">'Бланк заказа'!$U$372:$U$372</definedName>
    <definedName name="SalesQty2">'Бланк заказа'!$U$26:$U$26</definedName>
    <definedName name="SalesQty20">'Бланк заказа'!$U$66:$U$66</definedName>
    <definedName name="SalesQty200">'Бланк заказа'!$U$373:$U$373</definedName>
    <definedName name="SalesQty201">'Бланк заказа'!$U$377:$U$377</definedName>
    <definedName name="SalesQty202">'Бланк заказа'!$U$382:$U$382</definedName>
    <definedName name="SalesQty203">'Бланк заказа'!$U$383:$U$383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заказа'!$U$393:$U$393</definedName>
    <definedName name="SalesQty211">'Бланк заказа'!$U$397:$U$397</definedName>
    <definedName name="SalesQty212">'Бланк заказа'!$U$401:$U$401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заказа'!$U$433:$U$433</definedName>
    <definedName name="SalesQty231">'Бланк заказа'!$U$434:$U$434</definedName>
    <definedName name="SalesQty232">'Бланк заказа'!$U$440:$U$440</definedName>
    <definedName name="SalesQty233">'Бланк заказа'!$U$441:$U$441</definedName>
    <definedName name="SalesQty234">'Бланк заказа'!$U$445:$U$445</definedName>
    <definedName name="SalesQty235">'Бланк заказа'!$U$446:$U$446</definedName>
    <definedName name="SalesQty236">'Бланк заказа'!$U$447:$U$447</definedName>
    <definedName name="SalesQty237">'Бланк заказа'!$U$451:$U$451</definedName>
    <definedName name="SalesQty238">'Бланк заказа'!$U$452:$U$452</definedName>
    <definedName name="SalesQty239">'Бланк заказа'!$U$456:$U$456</definedName>
    <definedName name="SalesQty24">'Бланк заказа'!$U$70:$U$70</definedName>
    <definedName name="SalesQty240">'Бланк заказа'!$U$457:$U$457</definedName>
    <definedName name="SalesQty241">'Бланк заказа'!$U$462:$U$462</definedName>
    <definedName name="SalesQty242">'Бланк заказа'!$U$466:$U$466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заказа'!$U$118:$U$118</definedName>
    <definedName name="SalesQty61">'Бланк заказа'!$U$119:$U$119</definedName>
    <definedName name="SalesQty62">'Бланк заказа'!$U$120:$U$120</definedName>
    <definedName name="SalesQty63">'Бланк заказа'!$U$125:$U$125</definedName>
    <definedName name="SalesQty64">'Бланк заказа'!$U$126:$U$126</definedName>
    <definedName name="SalesQty65">'Бланк заказа'!$U$127:$U$127</definedName>
    <definedName name="SalesQty66">'Бланк заказа'!$U$128:$U$128</definedName>
    <definedName name="SalesQty67">'Бланк заказа'!$U$134:$U$134</definedName>
    <definedName name="SalesQty68">'Бланк заказа'!$U$135:$U$135</definedName>
    <definedName name="SalesQty69">'Бланк заказа'!$U$136:$U$136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заказа'!$U$153:$U$153</definedName>
    <definedName name="SalesQty79">'Бланк заказа'!$U$154:$U$154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заказа'!$V$184:$V$184</definedName>
    <definedName name="SalesRoundBox101">'Бланк заказа'!$V$185:$V$185</definedName>
    <definedName name="SalesRoundBox102">'Бланк заказа'!$V$189:$V$189</definedName>
    <definedName name="SalesRoundBox103">'Бланк заказа'!$V$190:$V$190</definedName>
    <definedName name="SalesRoundBox104">'Бланк заказа'!$V$195:$V$195</definedName>
    <definedName name="SalesRoundBox105">'Бланк заказа'!$V$196:$V$196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заказа'!$V$208:$V$208</definedName>
    <definedName name="SalesRoundBox118">'Бланк заказа'!$V$209:$V$209</definedName>
    <definedName name="SalesRoundBox119">'Бланк заказа'!$V$213:$V$213</definedName>
    <definedName name="SalesRoundBox12">'Бланк заказа'!$V$50:$V$50</definedName>
    <definedName name="SalesRoundBox120">'Бланк заказа'!$V$217:$V$217</definedName>
    <definedName name="SalesRoundBox121">'Бланк заказа'!$V$218:$V$218</definedName>
    <definedName name="SalesRoundBox122">'Бланк заказа'!$V$219:$V$219</definedName>
    <definedName name="SalesRoundBox123">'Бланк заказа'!$V$220:$V$220</definedName>
    <definedName name="SalesRoundBox124">'Бланк заказа'!$V$224:$V$224</definedName>
    <definedName name="SalesRoundBox125">'Бланк заказа'!$V$225:$V$225</definedName>
    <definedName name="SalesRoundBox126">'Бланк заказа'!$V$226:$V$226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заказа'!$V$55:$V$55</definedName>
    <definedName name="SalesRoundBox130">'Бланк заказа'!$V$233:$V$233</definedName>
    <definedName name="SalesRoundBox131">'Бланк заказа'!$V$234:$V$234</definedName>
    <definedName name="SalesRoundBox132">'Бланк заказа'!$V$235:$V$235</definedName>
    <definedName name="SalesRoundBox133">'Бланк заказа'!$V$236:$V$236</definedName>
    <definedName name="SalesRoundBox134">'Бланк заказа'!$V$240:$V$240</definedName>
    <definedName name="SalesRoundBox135">'Бланк заказа'!$V$241:$V$241</definedName>
    <definedName name="SalesRoundBox136">'Бланк заказа'!$V$242:$V$242</definedName>
    <definedName name="SalesRoundBox137">'Бланк заказа'!$V$246:$V$246</definedName>
    <definedName name="SalesRoundBox138">'Бланк заказа'!$V$247:$V$247</definedName>
    <definedName name="SalesRoundBox139">'Бланк заказа'!$V$248:$V$248</definedName>
    <definedName name="SalesRoundBox14">'Бланк заказа'!$V$56:$V$56</definedName>
    <definedName name="SalesRoundBox140">'Бланк заказа'!$V$253:$V$253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заказа'!$V$258:$V$258</definedName>
    <definedName name="SalesRoundBox146">'Бланк заказа'!$V$259:$V$259</definedName>
    <definedName name="SalesRoundBox147">'Бланк заказа'!$V$263:$V$263</definedName>
    <definedName name="SalesRoundBox148">'Бланк заказа'!$V$264:$V$264</definedName>
    <definedName name="SalesRoundBox149">'Бланк заказа'!$V$269:$V$269</definedName>
    <definedName name="SalesRoundBox15">'Бланк заказа'!$V$57:$V$57</definedName>
    <definedName name="SalesRoundBox150">'Бланк заказа'!$V$273:$V$273</definedName>
    <definedName name="SalesRoundBox151">'Бланк заказа'!$V$274:$V$274</definedName>
    <definedName name="SalesRoundBox152">'Бланк заказа'!$V$275:$V$275</definedName>
    <definedName name="SalesRoundBox153">'Бланк заказа'!$V$279:$V$279</definedName>
    <definedName name="SalesRoundBox154">'Бланк заказа'!$V$283:$V$283</definedName>
    <definedName name="SalesRoundBox155">'Бланк заказа'!$V$289:$V$289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заказа'!$V$296:$V$296</definedName>
    <definedName name="SalesRoundBox163">'Бланк заказа'!$V$300:$V$300</definedName>
    <definedName name="SalesRoundBox164">'Бланк заказа'!$V$301:$V$301</definedName>
    <definedName name="SalesRoundBox165">'Бланк заказа'!$V$305:$V$305</definedName>
    <definedName name="SalesRoundBox166">'Бланк заказа'!$V$309:$V$309</definedName>
    <definedName name="SalesRoundBox167">'Бланк заказа'!$V$314:$V$314</definedName>
    <definedName name="SalesRoundBox168">'Бланк заказа'!$V$315:$V$315</definedName>
    <definedName name="SalesRoundBox169">'Бланк заказа'!$V$316:$V$316</definedName>
    <definedName name="SalesRoundBox17">'Бланк заказа'!$V$63:$V$63</definedName>
    <definedName name="SalesRoundBox170">'Бланк заказа'!$V$317:$V$317</definedName>
    <definedName name="SalesRoundBox171">'Бланк заказа'!$V$321:$V$321</definedName>
    <definedName name="SalesRoundBox172">'Бланк заказа'!$V$322:$V$322</definedName>
    <definedName name="SalesRoundBox173">'Бланк заказа'!$V$326:$V$326</definedName>
    <definedName name="SalesRoundBox174">'Бланк заказа'!$V$327:$V$327</definedName>
    <definedName name="SalesRoundBox175">'Бланк заказа'!$V$328:$V$328</definedName>
    <definedName name="SalesRoundBox176">'Бланк заказа'!$V$329:$V$329</definedName>
    <definedName name="SalesRoundBox177">'Бланк заказа'!$V$333:$V$333</definedName>
    <definedName name="SalesRoundBox178">'Бланк заказа'!$V$339:$V$339</definedName>
    <definedName name="SalesRoundBox179">'Бланк заказа'!$V$340:$V$340</definedName>
    <definedName name="SalesRoundBox18">'Бланк заказа'!$V$64:$V$64</definedName>
    <definedName name="SalesRoundBox180">'Бланк заказа'!$V$344:$V$344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заказа'!$V$360:$V$360</definedName>
    <definedName name="SalesRoundBox194">'Бланк заказа'!$V$361:$V$361</definedName>
    <definedName name="SalesRoundBox195">'Бланк заказа'!$V$362:$V$362</definedName>
    <definedName name="SalesRoundBox196">'Бланк заказа'!$V$363:$V$363</definedName>
    <definedName name="SalesRoundBox197">'Бланк заказа'!$V$367:$V$367</definedName>
    <definedName name="SalesRoundBox198">'Бланк заказа'!$V$371:$V$371</definedName>
    <definedName name="SalesRoundBox199">'Бланк заказа'!$V$372:$V$372</definedName>
    <definedName name="SalesRoundBox2">'Бланк заказа'!$V$26:$V$26</definedName>
    <definedName name="SalesRoundBox20">'Бланк заказа'!$V$66:$V$66</definedName>
    <definedName name="SalesRoundBox200">'Бланк заказа'!$V$373:$V$373</definedName>
    <definedName name="SalesRoundBox201">'Бланк заказа'!$V$377:$V$377</definedName>
    <definedName name="SalesRoundBox202">'Бланк заказа'!$V$382:$V$382</definedName>
    <definedName name="SalesRoundBox203">'Бланк заказа'!$V$383:$V$383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заказа'!$V$393:$V$393</definedName>
    <definedName name="SalesRoundBox211">'Бланк заказа'!$V$397:$V$397</definedName>
    <definedName name="SalesRoundBox212">'Бланк заказа'!$V$401:$V$401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заказа'!$V$433:$V$433</definedName>
    <definedName name="SalesRoundBox231">'Бланк заказа'!$V$434:$V$434</definedName>
    <definedName name="SalesRoundBox232">'Бланк заказа'!$V$440:$V$440</definedName>
    <definedName name="SalesRoundBox233">'Бланк заказа'!$V$441:$V$441</definedName>
    <definedName name="SalesRoundBox234">'Бланк заказа'!$V$445:$V$445</definedName>
    <definedName name="SalesRoundBox235">'Бланк заказа'!$V$446:$V$446</definedName>
    <definedName name="SalesRoundBox236">'Бланк заказа'!$V$447:$V$447</definedName>
    <definedName name="SalesRoundBox237">'Бланк заказа'!$V$451:$V$451</definedName>
    <definedName name="SalesRoundBox238">'Бланк заказа'!$V$452:$V$452</definedName>
    <definedName name="SalesRoundBox239">'Бланк заказа'!$V$456:$V$456</definedName>
    <definedName name="SalesRoundBox24">'Бланк заказа'!$V$70:$V$70</definedName>
    <definedName name="SalesRoundBox240">'Бланк заказа'!$V$457:$V$457</definedName>
    <definedName name="SalesRoundBox241">'Бланк заказа'!$V$462:$V$462</definedName>
    <definedName name="SalesRoundBox242">'Бланк заказа'!$V$466:$V$466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заказа'!$V$118:$V$118</definedName>
    <definedName name="SalesRoundBox61">'Бланк заказа'!$V$119:$V$119</definedName>
    <definedName name="SalesRoundBox62">'Бланк заказа'!$V$120:$V$120</definedName>
    <definedName name="SalesRoundBox63">'Бланк заказа'!$V$125:$V$125</definedName>
    <definedName name="SalesRoundBox64">'Бланк заказа'!$V$126:$V$126</definedName>
    <definedName name="SalesRoundBox65">'Бланк заказа'!$V$127:$V$127</definedName>
    <definedName name="SalesRoundBox66">'Бланк заказа'!$V$128:$V$128</definedName>
    <definedName name="SalesRoundBox67">'Бланк заказа'!$V$134:$V$134</definedName>
    <definedName name="SalesRoundBox68">'Бланк заказа'!$V$135:$V$135</definedName>
    <definedName name="SalesRoundBox69">'Бланк заказа'!$V$136:$V$136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заказа'!$V$153:$V$153</definedName>
    <definedName name="SalesRoundBox79">'Бланк заказа'!$V$154:$V$154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заказа'!$T$184:$T$184</definedName>
    <definedName name="UnitOfMeasure101">'Бланк заказа'!$T$185:$T$185</definedName>
    <definedName name="UnitOfMeasure102">'Бланк заказа'!$T$189:$T$189</definedName>
    <definedName name="UnitOfMeasure103">'Бланк заказа'!$T$190:$T$190</definedName>
    <definedName name="UnitOfMeasure104">'Бланк заказа'!$T$195:$T$195</definedName>
    <definedName name="UnitOfMeasure105">'Бланк заказа'!$T$196:$T$196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заказа'!$T$208:$T$208</definedName>
    <definedName name="UnitOfMeasure118">'Бланк заказа'!$T$209:$T$209</definedName>
    <definedName name="UnitOfMeasure119">'Бланк заказа'!$T$213:$T$213</definedName>
    <definedName name="UnitOfMeasure12">'Бланк заказа'!$T$50:$T$50</definedName>
    <definedName name="UnitOfMeasure120">'Бланк заказа'!$T$217:$T$217</definedName>
    <definedName name="UnitOfMeasure121">'Бланк заказа'!$T$218:$T$218</definedName>
    <definedName name="UnitOfMeasure122">'Бланк заказа'!$T$219:$T$219</definedName>
    <definedName name="UnitOfMeasure123">'Бланк заказа'!$T$220:$T$220</definedName>
    <definedName name="UnitOfMeasure124">'Бланк заказа'!$T$224:$T$224</definedName>
    <definedName name="UnitOfMeasure125">'Бланк заказа'!$T$225:$T$225</definedName>
    <definedName name="UnitOfMeasure126">'Бланк заказа'!$T$226:$T$226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заказа'!$T$55:$T$55</definedName>
    <definedName name="UnitOfMeasure130">'Бланк заказа'!$T$233:$T$233</definedName>
    <definedName name="UnitOfMeasure131">'Бланк заказа'!$T$234:$T$234</definedName>
    <definedName name="UnitOfMeasure132">'Бланк заказа'!$T$235:$T$235</definedName>
    <definedName name="UnitOfMeasure133">'Бланк заказа'!$T$236:$T$236</definedName>
    <definedName name="UnitOfMeasure134">'Бланк заказа'!$T$240:$T$240</definedName>
    <definedName name="UnitOfMeasure135">'Бланк заказа'!$T$241:$T$241</definedName>
    <definedName name="UnitOfMeasure136">'Бланк заказа'!$T$242:$T$242</definedName>
    <definedName name="UnitOfMeasure137">'Бланк заказа'!$T$246:$T$246</definedName>
    <definedName name="UnitOfMeasure138">'Бланк заказа'!$T$247:$T$247</definedName>
    <definedName name="UnitOfMeasure139">'Бланк заказа'!$T$248:$T$248</definedName>
    <definedName name="UnitOfMeasure14">'Бланк заказа'!$T$56:$T$56</definedName>
    <definedName name="UnitOfMeasure140">'Бланк заказа'!$T$253:$T$253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заказа'!$T$258:$T$258</definedName>
    <definedName name="UnitOfMeasure146">'Бланк заказа'!$T$259:$T$259</definedName>
    <definedName name="UnitOfMeasure147">'Бланк заказа'!$T$263:$T$263</definedName>
    <definedName name="UnitOfMeasure148">'Бланк заказа'!$T$264:$T$264</definedName>
    <definedName name="UnitOfMeasure149">'Бланк заказа'!$T$269:$T$269</definedName>
    <definedName name="UnitOfMeasure15">'Бланк заказа'!$T$57:$T$57</definedName>
    <definedName name="UnitOfMeasure150">'Бланк заказа'!$T$273:$T$273</definedName>
    <definedName name="UnitOfMeasure151">'Бланк заказа'!$T$274:$T$274</definedName>
    <definedName name="UnitOfMeasure152">'Бланк заказа'!$T$275:$T$275</definedName>
    <definedName name="UnitOfMeasure153">'Бланк заказа'!$T$279:$T$279</definedName>
    <definedName name="UnitOfMeasure154">'Бланк заказа'!$T$283:$T$283</definedName>
    <definedName name="UnitOfMeasure155">'Бланк заказа'!$T$289:$T$289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заказа'!$T$296:$T$296</definedName>
    <definedName name="UnitOfMeasure163">'Бланк заказа'!$T$300:$T$300</definedName>
    <definedName name="UnitOfMeasure164">'Бланк заказа'!$T$301:$T$301</definedName>
    <definedName name="UnitOfMeasure165">'Бланк заказа'!$T$305:$T$305</definedName>
    <definedName name="UnitOfMeasure166">'Бланк заказа'!$T$309:$T$309</definedName>
    <definedName name="UnitOfMeasure167">'Бланк заказа'!$T$314:$T$314</definedName>
    <definedName name="UnitOfMeasure168">'Бланк заказа'!$T$315:$T$315</definedName>
    <definedName name="UnitOfMeasure169">'Бланк заказа'!$T$316:$T$316</definedName>
    <definedName name="UnitOfMeasure17">'Бланк заказа'!$T$63:$T$63</definedName>
    <definedName name="UnitOfMeasure170">'Бланк заказа'!$T$317:$T$317</definedName>
    <definedName name="UnitOfMeasure171">'Бланк заказа'!$T$321:$T$321</definedName>
    <definedName name="UnitOfMeasure172">'Бланк заказа'!$T$322:$T$322</definedName>
    <definedName name="UnitOfMeasure173">'Бланк заказа'!$T$326:$T$326</definedName>
    <definedName name="UnitOfMeasure174">'Бланк заказа'!$T$327:$T$327</definedName>
    <definedName name="UnitOfMeasure175">'Бланк заказа'!$T$328:$T$328</definedName>
    <definedName name="UnitOfMeasure176">'Бланк заказа'!$T$329:$T$329</definedName>
    <definedName name="UnitOfMeasure177">'Бланк заказа'!$T$333:$T$333</definedName>
    <definedName name="UnitOfMeasure178">'Бланк заказа'!$T$339:$T$339</definedName>
    <definedName name="UnitOfMeasure179">'Бланк заказа'!$T$340:$T$340</definedName>
    <definedName name="UnitOfMeasure18">'Бланк заказа'!$T$64:$T$64</definedName>
    <definedName name="UnitOfMeasure180">'Бланк заказа'!$T$344:$T$344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заказа'!$T$360:$T$360</definedName>
    <definedName name="UnitOfMeasure194">'Бланк заказа'!$T$361:$T$361</definedName>
    <definedName name="UnitOfMeasure195">'Бланк заказа'!$T$362:$T$362</definedName>
    <definedName name="UnitOfMeasure196">'Бланк заказа'!$T$363:$T$363</definedName>
    <definedName name="UnitOfMeasure197">'Бланк заказа'!$T$367:$T$367</definedName>
    <definedName name="UnitOfMeasure198">'Бланк заказа'!$T$371:$T$371</definedName>
    <definedName name="UnitOfMeasure199">'Бланк заказа'!$T$372:$T$372</definedName>
    <definedName name="UnitOfMeasure2">'Бланк заказа'!$T$26:$T$26</definedName>
    <definedName name="UnitOfMeasure20">'Бланк заказа'!$T$66:$T$66</definedName>
    <definedName name="UnitOfMeasure200">'Бланк заказа'!$T$373:$T$373</definedName>
    <definedName name="UnitOfMeasure201">'Бланк заказа'!$T$377:$T$377</definedName>
    <definedName name="UnitOfMeasure202">'Бланк заказа'!$T$382:$T$382</definedName>
    <definedName name="UnitOfMeasure203">'Бланк заказа'!$T$383:$T$383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заказа'!$T$393:$T$393</definedName>
    <definedName name="UnitOfMeasure211">'Бланк заказа'!$T$397:$T$397</definedName>
    <definedName name="UnitOfMeasure212">'Бланк заказа'!$T$401:$T$401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заказа'!$T$433:$T$433</definedName>
    <definedName name="UnitOfMeasure231">'Бланк заказа'!$T$434:$T$434</definedName>
    <definedName name="UnitOfMeasure232">'Бланк заказа'!$T$440:$T$440</definedName>
    <definedName name="UnitOfMeasure233">'Бланк заказа'!$T$441:$T$441</definedName>
    <definedName name="UnitOfMeasure234">'Бланк заказа'!$T$445:$T$445</definedName>
    <definedName name="UnitOfMeasure235">'Бланк заказа'!$T$446:$T$446</definedName>
    <definedName name="UnitOfMeasure236">'Бланк заказа'!$T$447:$T$447</definedName>
    <definedName name="UnitOfMeasure237">'Бланк заказа'!$T$451:$T$451</definedName>
    <definedName name="UnitOfMeasure238">'Бланк заказа'!$T$452:$T$452</definedName>
    <definedName name="UnitOfMeasure239">'Бланк заказа'!$T$456:$T$456</definedName>
    <definedName name="UnitOfMeasure24">'Бланк заказа'!$T$70:$T$70</definedName>
    <definedName name="UnitOfMeasure240">'Бланк заказа'!$T$457:$T$457</definedName>
    <definedName name="UnitOfMeasure241">'Бланк заказа'!$T$462:$T$462</definedName>
    <definedName name="UnitOfMeasure242">'Бланк заказа'!$T$466:$T$466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заказа'!$T$118:$T$118</definedName>
    <definedName name="UnitOfMeasure61">'Бланк заказа'!$T$119:$T$119</definedName>
    <definedName name="UnitOfMeasure62">'Бланк заказа'!$T$120:$T$120</definedName>
    <definedName name="UnitOfMeasure63">'Бланк заказа'!$T$125:$T$125</definedName>
    <definedName name="UnitOfMeasure64">'Бланк заказа'!$T$126:$T$126</definedName>
    <definedName name="UnitOfMeasure65">'Бланк заказа'!$T$127:$T$127</definedName>
    <definedName name="UnitOfMeasure66">'Бланк заказа'!$T$128:$T$128</definedName>
    <definedName name="UnitOfMeasure67">'Бланк заказа'!$T$134:$T$134</definedName>
    <definedName name="UnitOfMeasure68">'Бланк заказа'!$T$135:$T$135</definedName>
    <definedName name="UnitOfMeasure69">'Бланк заказа'!$T$136:$T$136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заказа'!$T$153:$T$153</definedName>
    <definedName name="UnitOfMeasure79">'Бланк заказа'!$T$154:$T$154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9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544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4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479"/>
  <sheetViews>
    <sheetView showGridLines="0" tabSelected="1" topLeftCell="F1" zoomScaleNormal="100" zoomScaleSheetLayoutView="100" workbookViewId="0">
      <selection activeCell="N8" sqref="N8:O8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604">
      <c r="A1" s="48" t="n"/>
      <c r="B1" s="48" t="n"/>
      <c r="C1" s="48" t="n"/>
      <c r="D1" s="623" t="inlineStr">
        <is>
          <t xml:space="preserve">  БЛАНК ЗАКАЗА </t>
        </is>
      </c>
      <c r="G1" s="14" t="inlineStr">
        <is>
          <t>КИ</t>
        </is>
      </c>
      <c r="H1" s="623" t="inlineStr">
        <is>
          <t>на отгрузку продукции с ООО Трейд-Сервис с</t>
        </is>
      </c>
      <c r="O1" s="624" t="inlineStr">
        <is>
          <t>09.10.2023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604">
      <c r="A2" s="34" t="inlineStr">
        <is>
          <t>бланк создан</t>
        </is>
      </c>
      <c r="B2" s="35" t="inlineStr">
        <is>
          <t>05.10.2023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626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604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604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604">
      <c r="A5" s="605" t="inlineStr">
        <is>
          <t xml:space="preserve">Ваш контактный телефон и имя: </t>
        </is>
      </c>
      <c r="B5" s="633" t="n"/>
      <c r="C5" s="634" t="n"/>
      <c r="D5" s="627" t="n"/>
      <c r="E5" s="635" t="n"/>
      <c r="F5" s="628" t="inlineStr">
        <is>
          <t>Комментарий к заказу:</t>
        </is>
      </c>
      <c r="G5" s="634" t="n"/>
      <c r="H5" s="627" t="n"/>
      <c r="I5" s="636" t="n"/>
      <c r="J5" s="636" t="n"/>
      <c r="K5" s="635" t="n"/>
      <c r="M5" s="29" t="inlineStr">
        <is>
          <t>Дата загрузки</t>
        </is>
      </c>
      <c r="N5" s="637" t="n">
        <v>45208</v>
      </c>
      <c r="O5" s="638" t="n"/>
      <c r="Q5" s="630" t="inlineStr">
        <is>
          <t>Способ доставки (доставка/самовывоз)</t>
        </is>
      </c>
      <c r="R5" s="639" t="n"/>
      <c r="S5" s="640" t="inlineStr">
        <is>
          <t>Самовывоз</t>
        </is>
      </c>
      <c r="T5" s="638" t="n"/>
      <c r="Y5" s="60" t="n"/>
      <c r="Z5" s="60" t="n"/>
      <c r="AA5" s="60" t="n"/>
    </row>
    <row r="6" ht="24" customFormat="1" customHeight="1" s="604">
      <c r="A6" s="605" t="inlineStr">
        <is>
          <t>Адрес доставки:</t>
        </is>
      </c>
      <c r="B6" s="633" t="n"/>
      <c r="C6" s="634" t="n"/>
      <c r="D6" s="606" t="inlineStr">
        <is>
          <t>ЛП, ООО, Крым Респ, Симферополь г, Данилова ул, 43В, лит В, офис 4,</t>
        </is>
      </c>
      <c r="E6" s="641" t="n"/>
      <c r="F6" s="641" t="n"/>
      <c r="G6" s="641" t="n"/>
      <c r="H6" s="641" t="n"/>
      <c r="I6" s="641" t="n"/>
      <c r="J6" s="641" t="n"/>
      <c r="K6" s="638" t="n"/>
      <c r="M6" s="29" t="inlineStr">
        <is>
          <t>День недели</t>
        </is>
      </c>
      <c r="N6" s="607">
        <f>IF(N5=0," ",CHOOSE(WEEKDAY(N5,2),"Понедельник","Вторник","Среда","Четверг","Пятница","Суббота","Воскресенье"))</f>
        <v/>
      </c>
      <c r="O6" s="642" t="n"/>
      <c r="Q6" s="609" t="inlineStr">
        <is>
          <t>Наименование клиента</t>
        </is>
      </c>
      <c r="R6" s="639" t="n"/>
      <c r="S6" s="643" t="inlineStr">
        <is>
          <t>ОБЩЕСТВО С ОГРАНИЧЕННОЙ ОТВЕТСТВЕННОСТЬЮ "ЛОГИСТИЧЕСКИЙ ПАРТНЕР"</t>
        </is>
      </c>
      <c r="T6" s="644" t="n"/>
      <c r="Y6" s="60" t="n"/>
      <c r="Z6" s="60" t="n"/>
      <c r="AA6" s="60" t="n"/>
    </row>
    <row r="7" hidden="1" ht="21.75" customFormat="1" customHeight="1" s="604">
      <c r="A7" s="65" t="n"/>
      <c r="B7" s="65" t="n"/>
      <c r="C7" s="65" t="n"/>
      <c r="D7" s="645">
        <f>IFERROR(VLOOKUP(DeliveryAddress,Table,3,0),1)</f>
        <v/>
      </c>
      <c r="E7" s="646" t="n"/>
      <c r="F7" s="646" t="n"/>
      <c r="G7" s="646" t="n"/>
      <c r="H7" s="646" t="n"/>
      <c r="I7" s="646" t="n"/>
      <c r="J7" s="646" t="n"/>
      <c r="K7" s="647" t="n"/>
      <c r="M7" s="29" t="n"/>
      <c r="N7" s="49" t="n"/>
      <c r="O7" s="49" t="n"/>
      <c r="Q7" s="1" t="n"/>
      <c r="R7" s="639" t="n"/>
      <c r="S7" s="648" t="n"/>
      <c r="T7" s="649" t="n"/>
      <c r="Y7" s="60" t="n"/>
      <c r="Z7" s="60" t="n"/>
      <c r="AA7" s="60" t="n"/>
    </row>
    <row r="8" ht="25.5" customFormat="1" customHeight="1" s="604">
      <c r="A8" s="619" t="inlineStr">
        <is>
          <t>Адрес сдачи груза:</t>
        </is>
      </c>
      <c r="B8" s="650" t="n"/>
      <c r="C8" s="651" t="n"/>
      <c r="D8" s="620" t="n"/>
      <c r="E8" s="652" t="n"/>
      <c r="F8" s="652" t="n"/>
      <c r="G8" s="652" t="n"/>
      <c r="H8" s="652" t="n"/>
      <c r="I8" s="652" t="n"/>
      <c r="J8" s="652" t="n"/>
      <c r="K8" s="653" t="n"/>
      <c r="M8" s="29" t="inlineStr">
        <is>
          <t>Время загрузки</t>
        </is>
      </c>
      <c r="N8" s="600" t="n">
        <v>0.3333333333333333</v>
      </c>
      <c r="O8" s="638" t="n"/>
      <c r="Q8" s="1" t="n"/>
      <c r="R8" s="639" t="n"/>
      <c r="S8" s="648" t="n"/>
      <c r="T8" s="649" t="n"/>
      <c r="Y8" s="60" t="n"/>
      <c r="Z8" s="60" t="n"/>
      <c r="AA8" s="60" t="n"/>
    </row>
    <row r="9" ht="39.95" customFormat="1" customHeight="1" s="604">
      <c r="A9" s="596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597" t="inlineStr"/>
      <c r="E9" s="3" t="n"/>
      <c r="F9" s="596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621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21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37" t="n"/>
      <c r="O9" s="638" t="n"/>
      <c r="Q9" s="1" t="n"/>
      <c r="R9" s="639" t="n"/>
      <c r="S9" s="654" t="n"/>
      <c r="T9" s="655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604">
      <c r="A10" s="596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597" t="n"/>
      <c r="E10" s="3" t="n"/>
      <c r="F10" s="596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599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600" t="n"/>
      <c r="O10" s="638" t="n"/>
      <c r="R10" s="29" t="inlineStr">
        <is>
          <t>КОД Аксапты Клиента</t>
        </is>
      </c>
      <c r="S10" s="656" t="inlineStr">
        <is>
          <t>590704</t>
        </is>
      </c>
      <c r="T10" s="644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604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600" t="n"/>
      <c r="O11" s="638" t="n"/>
      <c r="R11" s="29" t="inlineStr">
        <is>
          <t>Тип заказа</t>
        </is>
      </c>
      <c r="S11" s="588" t="inlineStr">
        <is>
          <t>Основной заказ</t>
        </is>
      </c>
      <c r="T11" s="657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604">
      <c r="A12" s="587" t="inlineStr">
        <is>
          <t>Телефоны для заказов: 8(919)002-63-01  E-mail: kolbasa@abiproduct.ru  Телефон сотрудников склада: 8 (910) 775-52-91</t>
        </is>
      </c>
      <c r="B12" s="633" t="n"/>
      <c r="C12" s="633" t="n"/>
      <c r="D12" s="633" t="n"/>
      <c r="E12" s="633" t="n"/>
      <c r="F12" s="633" t="n"/>
      <c r="G12" s="633" t="n"/>
      <c r="H12" s="633" t="n"/>
      <c r="I12" s="633" t="n"/>
      <c r="J12" s="633" t="n"/>
      <c r="K12" s="634" t="n"/>
      <c r="M12" s="29" t="inlineStr">
        <is>
          <t>Время доставки 3 машины</t>
        </is>
      </c>
      <c r="N12" s="603" t="n"/>
      <c r="O12" s="647" t="n"/>
      <c r="P12" s="28" t="n"/>
      <c r="R12" s="29" t="inlineStr"/>
      <c r="S12" s="604" t="n"/>
      <c r="T12" s="1" t="n"/>
      <c r="Y12" s="60" t="n"/>
      <c r="Z12" s="60" t="n"/>
      <c r="AA12" s="60" t="n"/>
    </row>
    <row r="13" ht="23.25" customFormat="1" customHeight="1" s="604">
      <c r="A13" s="587" t="inlineStr">
        <is>
          <t>График приема заказов: Заказы принимаются за ДВА дня до отгрузки Пн-Пт: с 9:00 до 14:00, Суб., Вс. - до 12:00</t>
        </is>
      </c>
      <c r="B13" s="633" t="n"/>
      <c r="C13" s="633" t="n"/>
      <c r="D13" s="633" t="n"/>
      <c r="E13" s="633" t="n"/>
      <c r="F13" s="633" t="n"/>
      <c r="G13" s="633" t="n"/>
      <c r="H13" s="633" t="n"/>
      <c r="I13" s="633" t="n"/>
      <c r="J13" s="633" t="n"/>
      <c r="K13" s="634" t="n"/>
      <c r="L13" s="31" t="n"/>
      <c r="M13" s="31" t="inlineStr">
        <is>
          <t>Время доставки 4 машины</t>
        </is>
      </c>
      <c r="N13" s="588" t="n"/>
      <c r="O13" s="657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604">
      <c r="A14" s="587" t="inlineStr">
        <is>
          <t>Телефон менеджера по логистике: 8 (919) 012-30-55 - по вопросам доставки продукции</t>
        </is>
      </c>
      <c r="B14" s="633" t="n"/>
      <c r="C14" s="633" t="n"/>
      <c r="D14" s="633" t="n"/>
      <c r="E14" s="633" t="n"/>
      <c r="F14" s="633" t="n"/>
      <c r="G14" s="633" t="n"/>
      <c r="H14" s="633" t="n"/>
      <c r="I14" s="633" t="n"/>
      <c r="J14" s="633" t="n"/>
      <c r="K14" s="634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604">
      <c r="A15" s="589" t="inlineStr">
        <is>
          <t>Телефон по работе с претензиями/жалобами (WhatSapp): 8 (980) 757-69-93       E-mail: Claims@abiproduct.ru</t>
        </is>
      </c>
      <c r="B15" s="633" t="n"/>
      <c r="C15" s="633" t="n"/>
      <c r="D15" s="633" t="n"/>
      <c r="E15" s="633" t="n"/>
      <c r="F15" s="633" t="n"/>
      <c r="G15" s="633" t="n"/>
      <c r="H15" s="633" t="n"/>
      <c r="I15" s="633" t="n"/>
      <c r="J15" s="633" t="n"/>
      <c r="K15" s="634" t="n"/>
      <c r="M15" s="591" t="inlineStr">
        <is>
          <t>Кликните на продукт, чтобы просмотреть изображение</t>
        </is>
      </c>
      <c r="U15" s="604" t="n"/>
      <c r="V15" s="604" t="n"/>
      <c r="W15" s="604" t="n"/>
      <c r="X15" s="604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58" t="n"/>
      <c r="N16" s="658" t="n"/>
      <c r="O16" s="658" t="n"/>
      <c r="P16" s="658" t="n"/>
      <c r="Q16" s="658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575" t="inlineStr">
        <is>
          <t>Код единицы продаж</t>
        </is>
      </c>
      <c r="B17" s="575" t="inlineStr">
        <is>
          <t>Код продукта</t>
        </is>
      </c>
      <c r="C17" s="593" t="inlineStr">
        <is>
          <t>Номер варианта</t>
        </is>
      </c>
      <c r="D17" s="575" t="inlineStr">
        <is>
          <t xml:space="preserve">Штрих-код </t>
        </is>
      </c>
      <c r="E17" s="659" t="n"/>
      <c r="F17" s="575" t="inlineStr">
        <is>
          <t>Вес нетто штуки, кг</t>
        </is>
      </c>
      <c r="G17" s="575" t="inlineStr">
        <is>
          <t>Кол-во штук в коробе, шт</t>
        </is>
      </c>
      <c r="H17" s="575" t="inlineStr">
        <is>
          <t>Вес нетто короба, кг</t>
        </is>
      </c>
      <c r="I17" s="575" t="inlineStr">
        <is>
          <t>Вес брутто короба, кг</t>
        </is>
      </c>
      <c r="J17" s="575" t="inlineStr">
        <is>
          <t>Кол-во кор. на паллте, шт</t>
        </is>
      </c>
      <c r="K17" s="575" t="inlineStr">
        <is>
          <t>Завод</t>
        </is>
      </c>
      <c r="L17" s="575" t="inlineStr">
        <is>
          <t>Срок годности, сут.</t>
        </is>
      </c>
      <c r="M17" s="575" t="inlineStr">
        <is>
          <t>Наименование</t>
        </is>
      </c>
      <c r="N17" s="660" t="n"/>
      <c r="O17" s="660" t="n"/>
      <c r="P17" s="660" t="n"/>
      <c r="Q17" s="659" t="n"/>
      <c r="R17" s="592" t="inlineStr">
        <is>
          <t>Доступно к отгрузке</t>
        </is>
      </c>
      <c r="S17" s="634" t="n"/>
      <c r="T17" s="575" t="inlineStr">
        <is>
          <t>Ед. изм.</t>
        </is>
      </c>
      <c r="U17" s="575" t="inlineStr">
        <is>
          <t>Заказ</t>
        </is>
      </c>
      <c r="V17" s="576" t="inlineStr">
        <is>
          <t>Заказ с округлением до короба</t>
        </is>
      </c>
      <c r="W17" s="575" t="inlineStr">
        <is>
          <t>Объём заказа, м3</t>
        </is>
      </c>
      <c r="X17" s="578" t="inlineStr">
        <is>
          <t>Примечание по продуктку</t>
        </is>
      </c>
      <c r="Y17" s="578" t="inlineStr">
        <is>
          <t>Признак "НОВИНКА"</t>
        </is>
      </c>
      <c r="Z17" s="578" t="inlineStr">
        <is>
          <t>Для формул</t>
        </is>
      </c>
      <c r="AA17" s="661" t="n"/>
      <c r="AB17" s="662" t="n"/>
      <c r="AC17" s="585" t="n"/>
      <c r="AZ17" s="586" t="inlineStr">
        <is>
          <t>Вид продукции</t>
        </is>
      </c>
    </row>
    <row r="18" ht="14.25" customHeight="1">
      <c r="A18" s="663" t="n"/>
      <c r="B18" s="663" t="n"/>
      <c r="C18" s="663" t="n"/>
      <c r="D18" s="664" t="n"/>
      <c r="E18" s="665" t="n"/>
      <c r="F18" s="663" t="n"/>
      <c r="G18" s="663" t="n"/>
      <c r="H18" s="663" t="n"/>
      <c r="I18" s="663" t="n"/>
      <c r="J18" s="663" t="n"/>
      <c r="K18" s="663" t="n"/>
      <c r="L18" s="663" t="n"/>
      <c r="M18" s="664" t="n"/>
      <c r="N18" s="666" t="n"/>
      <c r="O18" s="666" t="n"/>
      <c r="P18" s="666" t="n"/>
      <c r="Q18" s="665" t="n"/>
      <c r="R18" s="592" t="inlineStr">
        <is>
          <t>начиная с</t>
        </is>
      </c>
      <c r="S18" s="592" t="inlineStr">
        <is>
          <t>до</t>
        </is>
      </c>
      <c r="T18" s="663" t="n"/>
      <c r="U18" s="663" t="n"/>
      <c r="V18" s="667" t="n"/>
      <c r="W18" s="663" t="n"/>
      <c r="X18" s="668" t="n"/>
      <c r="Y18" s="668" t="n"/>
      <c r="Z18" s="669" t="n"/>
      <c r="AA18" s="670" t="n"/>
      <c r="AB18" s="671" t="n"/>
      <c r="AC18" s="672" t="n"/>
      <c r="AZ18" s="1" t="n"/>
    </row>
    <row r="19" ht="27.75" customHeight="1">
      <c r="A19" s="341" t="inlineStr">
        <is>
          <t>Ядрена копоть</t>
        </is>
      </c>
      <c r="B19" s="673" t="n"/>
      <c r="C19" s="673" t="n"/>
      <c r="D19" s="673" t="n"/>
      <c r="E19" s="673" t="n"/>
      <c r="F19" s="673" t="n"/>
      <c r="G19" s="673" t="n"/>
      <c r="H19" s="673" t="n"/>
      <c r="I19" s="673" t="n"/>
      <c r="J19" s="673" t="n"/>
      <c r="K19" s="673" t="n"/>
      <c r="L19" s="673" t="n"/>
      <c r="M19" s="673" t="n"/>
      <c r="N19" s="673" t="n"/>
      <c r="O19" s="673" t="n"/>
      <c r="P19" s="673" t="n"/>
      <c r="Q19" s="673" t="n"/>
      <c r="R19" s="673" t="n"/>
      <c r="S19" s="673" t="n"/>
      <c r="T19" s="673" t="n"/>
      <c r="U19" s="673" t="n"/>
      <c r="V19" s="673" t="n"/>
      <c r="W19" s="673" t="n"/>
      <c r="X19" s="55" t="n"/>
      <c r="Y19" s="55" t="n"/>
    </row>
    <row r="20" ht="16.5" customHeight="1">
      <c r="A20" s="335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35" t="n"/>
      <c r="Y20" s="335" t="n"/>
    </row>
    <row r="21" ht="14.25" customHeight="1">
      <c r="A21" s="327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27" t="n"/>
      <c r="Y21" s="327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8" t="n">
        <v>4607091389258</v>
      </c>
      <c r="E22" s="642" t="n"/>
      <c r="F22" s="674" t="n">
        <v>0.3</v>
      </c>
      <c r="G22" s="38" t="n">
        <v>6</v>
      </c>
      <c r="H22" s="674" t="n">
        <v>1.8</v>
      </c>
      <c r="I22" s="674" t="n">
        <v>2</v>
      </c>
      <c r="J22" s="38" t="n">
        <v>156</v>
      </c>
      <c r="K22" s="39" t="inlineStr">
        <is>
          <t>СК2</t>
        </is>
      </c>
      <c r="L22" s="38" t="n">
        <v>35</v>
      </c>
      <c r="M22" s="675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N22" s="676" t="n"/>
      <c r="O22" s="676" t="n"/>
      <c r="P22" s="676" t="n"/>
      <c r="Q22" s="642" t="n"/>
      <c r="R22" s="40" t="inlineStr"/>
      <c r="S22" s="40" t="inlineStr"/>
      <c r="T22" s="41" t="inlineStr">
        <is>
          <t>кг</t>
        </is>
      </c>
      <c r="U22" s="677" t="n">
        <v>0</v>
      </c>
      <c r="V22" s="678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1" t="n"/>
      <c r="AZ22" s="73" t="inlineStr">
        <is>
          <t>КИ</t>
        </is>
      </c>
    </row>
    <row r="23">
      <c r="A23" s="322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79" t="n"/>
      <c r="M23" s="680" t="inlineStr">
        <is>
          <t>Итого</t>
        </is>
      </c>
      <c r="N23" s="650" t="n"/>
      <c r="O23" s="650" t="n"/>
      <c r="P23" s="650" t="n"/>
      <c r="Q23" s="650" t="n"/>
      <c r="R23" s="650" t="n"/>
      <c r="S23" s="651" t="n"/>
      <c r="T23" s="43" t="inlineStr">
        <is>
          <t>кор</t>
        </is>
      </c>
      <c r="U23" s="681">
        <f>IFERROR(U22/H22,"0")</f>
        <v/>
      </c>
      <c r="V23" s="681">
        <f>IFERROR(V22/H22,"0")</f>
        <v/>
      </c>
      <c r="W23" s="681">
        <f>IFERROR(IF(W22="",0,W22),"0")</f>
        <v/>
      </c>
      <c r="X23" s="682" t="n"/>
      <c r="Y23" s="682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79" t="n"/>
      <c r="M24" s="680" t="inlineStr">
        <is>
          <t>Итого</t>
        </is>
      </c>
      <c r="N24" s="650" t="n"/>
      <c r="O24" s="650" t="n"/>
      <c r="P24" s="650" t="n"/>
      <c r="Q24" s="650" t="n"/>
      <c r="R24" s="650" t="n"/>
      <c r="S24" s="651" t="n"/>
      <c r="T24" s="43" t="inlineStr">
        <is>
          <t>кг</t>
        </is>
      </c>
      <c r="U24" s="681">
        <f>IFERROR(SUM(U22:U22),"0")</f>
        <v/>
      </c>
      <c r="V24" s="681">
        <f>IFERROR(SUM(V22:V22),"0")</f>
        <v/>
      </c>
      <c r="W24" s="43" t="n"/>
      <c r="X24" s="682" t="n"/>
      <c r="Y24" s="682" t="n"/>
    </row>
    <row r="25" ht="14.25" customHeight="1">
      <c r="A25" s="327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27" t="n"/>
      <c r="Y25" s="327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8" t="n">
        <v>4607091383881</v>
      </c>
      <c r="E26" s="642" t="n"/>
      <c r="F26" s="674" t="n">
        <v>0.33</v>
      </c>
      <c r="G26" s="38" t="n">
        <v>6</v>
      </c>
      <c r="H26" s="674" t="n">
        <v>1.98</v>
      </c>
      <c r="I26" s="674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83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76" t="n"/>
      <c r="O26" s="676" t="n"/>
      <c r="P26" s="676" t="n"/>
      <c r="Q26" s="642" t="n"/>
      <c r="R26" s="40" t="inlineStr"/>
      <c r="S26" s="40" t="inlineStr"/>
      <c r="T26" s="41" t="inlineStr">
        <is>
          <t>кг</t>
        </is>
      </c>
      <c r="U26" s="677" t="n">
        <v>0</v>
      </c>
      <c r="V26" s="678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1" t="n"/>
      <c r="AZ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8" t="n">
        <v>4607091388237</v>
      </c>
      <c r="E27" s="642" t="n"/>
      <c r="F27" s="674" t="n">
        <v>0.42</v>
      </c>
      <c r="G27" s="38" t="n">
        <v>6</v>
      </c>
      <c r="H27" s="674" t="n">
        <v>2.52</v>
      </c>
      <c r="I27" s="674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84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76" t="n"/>
      <c r="O27" s="676" t="n"/>
      <c r="P27" s="676" t="n"/>
      <c r="Q27" s="642" t="n"/>
      <c r="R27" s="40" t="inlineStr"/>
      <c r="S27" s="40" t="inlineStr"/>
      <c r="T27" s="41" t="inlineStr">
        <is>
          <t>кг</t>
        </is>
      </c>
      <c r="U27" s="677" t="n">
        <v>0</v>
      </c>
      <c r="V27" s="678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1" t="n"/>
      <c r="AZ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8" t="n">
        <v>4607091383935</v>
      </c>
      <c r="E28" s="642" t="n"/>
      <c r="F28" s="674" t="n">
        <v>0.33</v>
      </c>
      <c r="G28" s="38" t="n">
        <v>6</v>
      </c>
      <c r="H28" s="674" t="n">
        <v>1.98</v>
      </c>
      <c r="I28" s="674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85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76" t="n"/>
      <c r="O28" s="676" t="n"/>
      <c r="P28" s="676" t="n"/>
      <c r="Q28" s="642" t="n"/>
      <c r="R28" s="40" t="inlineStr"/>
      <c r="S28" s="40" t="inlineStr"/>
      <c r="T28" s="41" t="inlineStr">
        <is>
          <t>кг</t>
        </is>
      </c>
      <c r="U28" s="677" t="n">
        <v>0</v>
      </c>
      <c r="V28" s="678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1" t="n"/>
      <c r="AZ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8" t="n">
        <v>4680115881853</v>
      </c>
      <c r="E29" s="642" t="n"/>
      <c r="F29" s="674" t="n">
        <v>0.33</v>
      </c>
      <c r="G29" s="38" t="n">
        <v>6</v>
      </c>
      <c r="H29" s="674" t="n">
        <v>1.98</v>
      </c>
      <c r="I29" s="674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86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N29" s="676" t="n"/>
      <c r="O29" s="676" t="n"/>
      <c r="P29" s="676" t="n"/>
      <c r="Q29" s="642" t="n"/>
      <c r="R29" s="40" t="inlineStr"/>
      <c r="S29" s="40" t="inlineStr"/>
      <c r="T29" s="41" t="inlineStr">
        <is>
          <t>кг</t>
        </is>
      </c>
      <c r="U29" s="677" t="n">
        <v>0</v>
      </c>
      <c r="V29" s="678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1" t="n"/>
      <c r="AZ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8" t="n">
        <v>4607091383911</v>
      </c>
      <c r="E30" s="642" t="n"/>
      <c r="F30" s="674" t="n">
        <v>0.33</v>
      </c>
      <c r="G30" s="38" t="n">
        <v>6</v>
      </c>
      <c r="H30" s="674" t="n">
        <v>1.98</v>
      </c>
      <c r="I30" s="674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87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76" t="n"/>
      <c r="O30" s="676" t="n"/>
      <c r="P30" s="676" t="n"/>
      <c r="Q30" s="642" t="n"/>
      <c r="R30" s="40" t="inlineStr"/>
      <c r="S30" s="40" t="inlineStr"/>
      <c r="T30" s="41" t="inlineStr">
        <is>
          <t>кг</t>
        </is>
      </c>
      <c r="U30" s="677" t="n">
        <v>0</v>
      </c>
      <c r="V30" s="678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1" t="n"/>
      <c r="AZ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8" t="n">
        <v>4607091388244</v>
      </c>
      <c r="E31" s="642" t="n"/>
      <c r="F31" s="674" t="n">
        <v>0.42</v>
      </c>
      <c r="G31" s="38" t="n">
        <v>6</v>
      </c>
      <c r="H31" s="674" t="n">
        <v>2.52</v>
      </c>
      <c r="I31" s="674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88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76" t="n"/>
      <c r="O31" s="676" t="n"/>
      <c r="P31" s="676" t="n"/>
      <c r="Q31" s="642" t="n"/>
      <c r="R31" s="40" t="inlineStr"/>
      <c r="S31" s="40" t="inlineStr"/>
      <c r="T31" s="41" t="inlineStr">
        <is>
          <t>кг</t>
        </is>
      </c>
      <c r="U31" s="677" t="n">
        <v>0</v>
      </c>
      <c r="V31" s="678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1" t="n"/>
      <c r="AZ31" s="79" t="inlineStr">
        <is>
          <t>КИ</t>
        </is>
      </c>
    </row>
    <row r="32">
      <c r="A32" s="322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79" t="n"/>
      <c r="M32" s="680" t="inlineStr">
        <is>
          <t>Итого</t>
        </is>
      </c>
      <c r="N32" s="650" t="n"/>
      <c r="O32" s="650" t="n"/>
      <c r="P32" s="650" t="n"/>
      <c r="Q32" s="650" t="n"/>
      <c r="R32" s="650" t="n"/>
      <c r="S32" s="651" t="n"/>
      <c r="T32" s="43" t="inlineStr">
        <is>
          <t>кор</t>
        </is>
      </c>
      <c r="U32" s="681">
        <f>IFERROR(U26/H26,"0")+IFERROR(U27/H27,"0")+IFERROR(U28/H28,"0")+IFERROR(U29/H29,"0")+IFERROR(U30/H30,"0")+IFERROR(U31/H31,"0")</f>
        <v/>
      </c>
      <c r="V32" s="681">
        <f>IFERROR(V26/H26,"0")+IFERROR(V27/H27,"0")+IFERROR(V28/H28,"0")+IFERROR(V29/H29,"0")+IFERROR(V30/H30,"0")+IFERROR(V31/H31,"0")</f>
        <v/>
      </c>
      <c r="W32" s="681">
        <f>IFERROR(IF(W26="",0,W26),"0")+IFERROR(IF(W27="",0,W27),"0")+IFERROR(IF(W28="",0,W28),"0")+IFERROR(IF(W29="",0,W29),"0")+IFERROR(IF(W30="",0,W30),"0")+IFERROR(IF(W31="",0,W31),"0")</f>
        <v/>
      </c>
      <c r="X32" s="682" t="n"/>
      <c r="Y32" s="682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79" t="n"/>
      <c r="M33" s="680" t="inlineStr">
        <is>
          <t>Итого</t>
        </is>
      </c>
      <c r="N33" s="650" t="n"/>
      <c r="O33" s="650" t="n"/>
      <c r="P33" s="650" t="n"/>
      <c r="Q33" s="650" t="n"/>
      <c r="R33" s="650" t="n"/>
      <c r="S33" s="651" t="n"/>
      <c r="T33" s="43" t="inlineStr">
        <is>
          <t>кг</t>
        </is>
      </c>
      <c r="U33" s="681">
        <f>IFERROR(SUM(U26:U31),"0")</f>
        <v/>
      </c>
      <c r="V33" s="681">
        <f>IFERROR(SUM(V26:V31),"0")</f>
        <v/>
      </c>
      <c r="W33" s="43" t="n"/>
      <c r="X33" s="682" t="n"/>
      <c r="Y33" s="682" t="n"/>
    </row>
    <row r="34" ht="14.25" customHeight="1">
      <c r="A34" s="327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27" t="n"/>
      <c r="Y34" s="327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8" t="n">
        <v>4607091388503</v>
      </c>
      <c r="E35" s="642" t="n"/>
      <c r="F35" s="674" t="n">
        <v>0.05</v>
      </c>
      <c r="G35" s="38" t="n">
        <v>12</v>
      </c>
      <c r="H35" s="674" t="n">
        <v>0.6</v>
      </c>
      <c r="I35" s="674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89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76" t="n"/>
      <c r="O35" s="676" t="n"/>
      <c r="P35" s="676" t="n"/>
      <c r="Q35" s="642" t="n"/>
      <c r="R35" s="40" t="inlineStr"/>
      <c r="S35" s="40" t="inlineStr"/>
      <c r="T35" s="41" t="inlineStr">
        <is>
          <t>кг</t>
        </is>
      </c>
      <c r="U35" s="677" t="n">
        <v>0</v>
      </c>
      <c r="V35" s="678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1" t="n"/>
      <c r="AZ35" s="80" t="inlineStr">
        <is>
          <t>СНК</t>
        </is>
      </c>
    </row>
    <row r="36">
      <c r="A36" s="322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679" t="n"/>
      <c r="M36" s="680" t="inlineStr">
        <is>
          <t>Итого</t>
        </is>
      </c>
      <c r="N36" s="650" t="n"/>
      <c r="O36" s="650" t="n"/>
      <c r="P36" s="650" t="n"/>
      <c r="Q36" s="650" t="n"/>
      <c r="R36" s="650" t="n"/>
      <c r="S36" s="651" t="n"/>
      <c r="T36" s="43" t="inlineStr">
        <is>
          <t>кор</t>
        </is>
      </c>
      <c r="U36" s="681">
        <f>IFERROR(U35/H35,"0")</f>
        <v/>
      </c>
      <c r="V36" s="681">
        <f>IFERROR(V35/H35,"0")</f>
        <v/>
      </c>
      <c r="W36" s="681">
        <f>IFERROR(IF(W35="",0,W35),"0")</f>
        <v/>
      </c>
      <c r="X36" s="682" t="n"/>
      <c r="Y36" s="682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79" t="n"/>
      <c r="M37" s="680" t="inlineStr">
        <is>
          <t>Итого</t>
        </is>
      </c>
      <c r="N37" s="650" t="n"/>
      <c r="O37" s="650" t="n"/>
      <c r="P37" s="650" t="n"/>
      <c r="Q37" s="650" t="n"/>
      <c r="R37" s="650" t="n"/>
      <c r="S37" s="651" t="n"/>
      <c r="T37" s="43" t="inlineStr">
        <is>
          <t>кг</t>
        </is>
      </c>
      <c r="U37" s="681">
        <f>IFERROR(SUM(U35:U35),"0")</f>
        <v/>
      </c>
      <c r="V37" s="681">
        <f>IFERROR(SUM(V35:V35),"0")</f>
        <v/>
      </c>
      <c r="W37" s="43" t="n"/>
      <c r="X37" s="682" t="n"/>
      <c r="Y37" s="682" t="n"/>
    </row>
    <row r="38" ht="14.25" customHeight="1">
      <c r="A38" s="327" t="inlineStr">
        <is>
          <t>Продукты из мяса птицы копчено-вареные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327" t="n"/>
      <c r="Y38" s="327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28" t="n">
        <v>4607091388282</v>
      </c>
      <c r="E39" s="642" t="n"/>
      <c r="F39" s="674" t="n">
        <v>0.3</v>
      </c>
      <c r="G39" s="38" t="n">
        <v>6</v>
      </c>
      <c r="H39" s="674" t="n">
        <v>1.8</v>
      </c>
      <c r="I39" s="674" t="n">
        <v>2.084</v>
      </c>
      <c r="J39" s="38" t="n">
        <v>156</v>
      </c>
      <c r="K39" s="39" t="inlineStr">
        <is>
          <t>АК</t>
        </is>
      </c>
      <c r="L39" s="38" t="n">
        <v>30</v>
      </c>
      <c r="M39" s="690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39" s="676" t="n"/>
      <c r="O39" s="676" t="n"/>
      <c r="P39" s="676" t="n"/>
      <c r="Q39" s="642" t="n"/>
      <c r="R39" s="40" t="inlineStr"/>
      <c r="S39" s="40" t="inlineStr"/>
      <c r="T39" s="41" t="inlineStr">
        <is>
          <t>кг</t>
        </is>
      </c>
      <c r="U39" s="677" t="n">
        <v>0</v>
      </c>
      <c r="V39" s="678">
        <f>IFERROR(IF(U39="",0,CEILING((U39/$H39),1)*$H39),"")</f>
        <v/>
      </c>
      <c r="W39" s="42">
        <f>IFERROR(IF(V39=0,"",ROUNDUP(V39/H39,0)*0.00753),"")</f>
        <v/>
      </c>
      <c r="X39" s="69" t="inlineStr">
        <is>
          <t>Предзаказ по четвергам до 12:00 на отгрузку со вторника следующей недели</t>
        </is>
      </c>
      <c r="Y39" s="70" t="inlineStr"/>
      <c r="AC39" s="71" t="n"/>
      <c r="AZ39" s="81" t="inlineStr">
        <is>
          <t>КИ</t>
        </is>
      </c>
    </row>
    <row r="40">
      <c r="A40" s="322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679" t="n"/>
      <c r="M40" s="680" t="inlineStr">
        <is>
          <t>Итого</t>
        </is>
      </c>
      <c r="N40" s="650" t="n"/>
      <c r="O40" s="650" t="n"/>
      <c r="P40" s="650" t="n"/>
      <c r="Q40" s="650" t="n"/>
      <c r="R40" s="650" t="n"/>
      <c r="S40" s="651" t="n"/>
      <c r="T40" s="43" t="inlineStr">
        <is>
          <t>кор</t>
        </is>
      </c>
      <c r="U40" s="681">
        <f>IFERROR(U39/H39,"0")</f>
        <v/>
      </c>
      <c r="V40" s="681">
        <f>IFERROR(V39/H39,"0")</f>
        <v/>
      </c>
      <c r="W40" s="681">
        <f>IFERROR(IF(W39="",0,W39),"0")</f>
        <v/>
      </c>
      <c r="X40" s="682" t="n"/>
      <c r="Y40" s="682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79" t="n"/>
      <c r="M41" s="680" t="inlineStr">
        <is>
          <t>Итого</t>
        </is>
      </c>
      <c r="N41" s="650" t="n"/>
      <c r="O41" s="650" t="n"/>
      <c r="P41" s="650" t="n"/>
      <c r="Q41" s="650" t="n"/>
      <c r="R41" s="650" t="n"/>
      <c r="S41" s="651" t="n"/>
      <c r="T41" s="43" t="inlineStr">
        <is>
          <t>кг</t>
        </is>
      </c>
      <c r="U41" s="681">
        <f>IFERROR(SUM(U39:U39),"0")</f>
        <v/>
      </c>
      <c r="V41" s="681">
        <f>IFERROR(SUM(V39:V39),"0")</f>
        <v/>
      </c>
      <c r="W41" s="43" t="n"/>
      <c r="X41" s="682" t="n"/>
      <c r="Y41" s="682" t="n"/>
    </row>
    <row r="42" ht="14.25" customHeight="1">
      <c r="A42" s="327" t="inlineStr">
        <is>
          <t>Сыровяленые колбасы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327" t="n"/>
      <c r="Y42" s="327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28" t="n">
        <v>4607091389111</v>
      </c>
      <c r="E43" s="642" t="n"/>
      <c r="F43" s="674" t="n">
        <v>0.025</v>
      </c>
      <c r="G43" s="38" t="n">
        <v>10</v>
      </c>
      <c r="H43" s="674" t="n">
        <v>0.25</v>
      </c>
      <c r="I43" s="674" t="n">
        <v>0.492</v>
      </c>
      <c r="J43" s="38" t="n">
        <v>156</v>
      </c>
      <c r="K43" s="39" t="inlineStr">
        <is>
          <t>АК</t>
        </is>
      </c>
      <c r="L43" s="38" t="n">
        <v>120</v>
      </c>
      <c r="M43" s="691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/>
      </c>
      <c r="N43" s="676" t="n"/>
      <c r="O43" s="676" t="n"/>
      <c r="P43" s="676" t="n"/>
      <c r="Q43" s="642" t="n"/>
      <c r="R43" s="40" t="inlineStr"/>
      <c r="S43" s="40" t="inlineStr"/>
      <c r="T43" s="41" t="inlineStr">
        <is>
          <t>кг</t>
        </is>
      </c>
      <c r="U43" s="677" t="n">
        <v>0</v>
      </c>
      <c r="V43" s="678">
        <f>IFERROR(IF(U43="",0,CEILING((U43/$H43),1)*$H43),"")</f>
        <v/>
      </c>
      <c r="W43" s="42">
        <f>IFERROR(IF(V43=0,"",ROUNDUP(V43/H43,0)*0.00753),"")</f>
        <v/>
      </c>
      <c r="X43" s="69" t="inlineStr"/>
      <c r="Y43" s="70" t="inlineStr"/>
      <c r="AC43" s="71" t="n"/>
      <c r="AZ43" s="82" t="inlineStr">
        <is>
          <t>СНК</t>
        </is>
      </c>
    </row>
    <row r="44">
      <c r="A44" s="322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679" t="n"/>
      <c r="M44" s="680" t="inlineStr">
        <is>
          <t>Итого</t>
        </is>
      </c>
      <c r="N44" s="650" t="n"/>
      <c r="O44" s="650" t="n"/>
      <c r="P44" s="650" t="n"/>
      <c r="Q44" s="650" t="n"/>
      <c r="R44" s="650" t="n"/>
      <c r="S44" s="651" t="n"/>
      <c r="T44" s="43" t="inlineStr">
        <is>
          <t>кор</t>
        </is>
      </c>
      <c r="U44" s="681">
        <f>IFERROR(U43/H43,"0")</f>
        <v/>
      </c>
      <c r="V44" s="681">
        <f>IFERROR(V43/H43,"0")</f>
        <v/>
      </c>
      <c r="W44" s="681">
        <f>IFERROR(IF(W43="",0,W43),"0")</f>
        <v/>
      </c>
      <c r="X44" s="682" t="n"/>
      <c r="Y44" s="682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679" t="n"/>
      <c r="M45" s="680" t="inlineStr">
        <is>
          <t>Итого</t>
        </is>
      </c>
      <c r="N45" s="650" t="n"/>
      <c r="O45" s="650" t="n"/>
      <c r="P45" s="650" t="n"/>
      <c r="Q45" s="650" t="n"/>
      <c r="R45" s="650" t="n"/>
      <c r="S45" s="651" t="n"/>
      <c r="T45" s="43" t="inlineStr">
        <is>
          <t>кг</t>
        </is>
      </c>
      <c r="U45" s="681">
        <f>IFERROR(SUM(U43:U43),"0")</f>
        <v/>
      </c>
      <c r="V45" s="681">
        <f>IFERROR(SUM(V43:V43),"0")</f>
        <v/>
      </c>
      <c r="W45" s="43" t="n"/>
      <c r="X45" s="682" t="n"/>
      <c r="Y45" s="682" t="n"/>
    </row>
    <row r="46" ht="27.75" customHeight="1">
      <c r="A46" s="341" t="inlineStr">
        <is>
          <t>Вязанка</t>
        </is>
      </c>
      <c r="B46" s="673" t="n"/>
      <c r="C46" s="673" t="n"/>
      <c r="D46" s="673" t="n"/>
      <c r="E46" s="673" t="n"/>
      <c r="F46" s="673" t="n"/>
      <c r="G46" s="673" t="n"/>
      <c r="H46" s="673" t="n"/>
      <c r="I46" s="673" t="n"/>
      <c r="J46" s="673" t="n"/>
      <c r="K46" s="673" t="n"/>
      <c r="L46" s="673" t="n"/>
      <c r="M46" s="673" t="n"/>
      <c r="N46" s="673" t="n"/>
      <c r="O46" s="673" t="n"/>
      <c r="P46" s="673" t="n"/>
      <c r="Q46" s="673" t="n"/>
      <c r="R46" s="673" t="n"/>
      <c r="S46" s="673" t="n"/>
      <c r="T46" s="673" t="n"/>
      <c r="U46" s="673" t="n"/>
      <c r="V46" s="673" t="n"/>
      <c r="W46" s="673" t="n"/>
      <c r="X46" s="55" t="n"/>
      <c r="Y46" s="55" t="n"/>
    </row>
    <row r="47" ht="16.5" customHeight="1">
      <c r="A47" s="335" t="inlineStr">
        <is>
          <t>Столичная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335" t="n"/>
      <c r="Y47" s="335" t="n"/>
    </row>
    <row r="48" ht="14.25" customHeight="1">
      <c r="A48" s="327" t="inlineStr">
        <is>
          <t>Ветчины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327" t="n"/>
      <c r="Y48" s="327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28" t="n">
        <v>4680115881440</v>
      </c>
      <c r="E49" s="642" t="n"/>
      <c r="F49" s="674" t="n">
        <v>1.35</v>
      </c>
      <c r="G49" s="38" t="n">
        <v>8</v>
      </c>
      <c r="H49" s="674" t="n">
        <v>10.8</v>
      </c>
      <c r="I49" s="674" t="n">
        <v>11.28</v>
      </c>
      <c r="J49" s="38" t="n">
        <v>56</v>
      </c>
      <c r="K49" s="39" t="inlineStr">
        <is>
          <t>СК1</t>
        </is>
      </c>
      <c r="L49" s="38" t="n">
        <v>50</v>
      </c>
      <c r="M49" s="692">
        <f>HYPERLINK("https://abi.ru/products/Охлажденные/Вязанка/Столичная/Ветчины/P003234/","Ветчины «Филейская» Весовые Вектор ТМ «Вязанка»")</f>
        <v/>
      </c>
      <c r="N49" s="676" t="n"/>
      <c r="O49" s="676" t="n"/>
      <c r="P49" s="676" t="n"/>
      <c r="Q49" s="642" t="n"/>
      <c r="R49" s="40" t="inlineStr"/>
      <c r="S49" s="40" t="inlineStr"/>
      <c r="T49" s="41" t="inlineStr">
        <is>
          <t>кг</t>
        </is>
      </c>
      <c r="U49" s="677" t="n">
        <v>0</v>
      </c>
      <c r="V49" s="678">
        <f>IFERROR(IF(U49="",0,CEILING((U49/$H49),1)*$H49),"")</f>
        <v/>
      </c>
      <c r="W49" s="42">
        <f>IFERROR(IF(V49=0,"",ROUNDUP(V49/H49,0)*0.02175),"")</f>
        <v/>
      </c>
      <c r="X49" s="69" t="inlineStr"/>
      <c r="Y49" s="70" t="inlineStr"/>
      <c r="AC49" s="71" t="n"/>
      <c r="AZ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28" t="n">
        <v>4680115881433</v>
      </c>
      <c r="E50" s="642" t="n"/>
      <c r="F50" s="674" t="n">
        <v>0.45</v>
      </c>
      <c r="G50" s="38" t="n">
        <v>6</v>
      </c>
      <c r="H50" s="674" t="n">
        <v>2.7</v>
      </c>
      <c r="I50" s="674" t="n">
        <v>2.9</v>
      </c>
      <c r="J50" s="38" t="n">
        <v>156</v>
      </c>
      <c r="K50" s="39" t="inlineStr">
        <is>
          <t>СК1</t>
        </is>
      </c>
      <c r="L50" s="38" t="n">
        <v>50</v>
      </c>
      <c r="M50" s="693">
        <f>HYPERLINK("https://abi.ru/products/Охлажденные/Вязанка/Столичная/Ветчины/P003226/","Ветчины «Филейская» Фикс.вес 0,45 Вектор ТМ «Вязанка»")</f>
        <v/>
      </c>
      <c r="N50" s="676" t="n"/>
      <c r="O50" s="676" t="n"/>
      <c r="P50" s="676" t="n"/>
      <c r="Q50" s="642" t="n"/>
      <c r="R50" s="40" t="inlineStr"/>
      <c r="S50" s="40" t="inlineStr"/>
      <c r="T50" s="41" t="inlineStr">
        <is>
          <t>кг</t>
        </is>
      </c>
      <c r="U50" s="677" t="n">
        <v>0</v>
      </c>
      <c r="V50" s="678">
        <f>IFERROR(IF(U50="",0,CEILING((U50/$H50),1)*$H50),"")</f>
        <v/>
      </c>
      <c r="W50" s="42">
        <f>IFERROR(IF(V50=0,"",ROUNDUP(V50/H50,0)*0.00753),"")</f>
        <v/>
      </c>
      <c r="X50" s="69" t="inlineStr"/>
      <c r="Y50" s="70" t="inlineStr"/>
      <c r="AC50" s="71" t="n"/>
      <c r="AZ50" s="84" t="inlineStr">
        <is>
          <t>КИ</t>
        </is>
      </c>
    </row>
    <row r="51">
      <c r="A51" s="322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679" t="n"/>
      <c r="M51" s="680" t="inlineStr">
        <is>
          <t>Итого</t>
        </is>
      </c>
      <c r="N51" s="650" t="n"/>
      <c r="O51" s="650" t="n"/>
      <c r="P51" s="650" t="n"/>
      <c r="Q51" s="650" t="n"/>
      <c r="R51" s="650" t="n"/>
      <c r="S51" s="651" t="n"/>
      <c r="T51" s="43" t="inlineStr">
        <is>
          <t>кор</t>
        </is>
      </c>
      <c r="U51" s="681">
        <f>IFERROR(U49/H49,"0")+IFERROR(U50/H50,"0")</f>
        <v/>
      </c>
      <c r="V51" s="681">
        <f>IFERROR(V49/H49,"0")+IFERROR(V50/H50,"0")</f>
        <v/>
      </c>
      <c r="W51" s="681">
        <f>IFERROR(IF(W49="",0,W49),"0")+IFERROR(IF(W50="",0,W50),"0")</f>
        <v/>
      </c>
      <c r="X51" s="682" t="n"/>
      <c r="Y51" s="682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679" t="n"/>
      <c r="M52" s="680" t="inlineStr">
        <is>
          <t>Итого</t>
        </is>
      </c>
      <c r="N52" s="650" t="n"/>
      <c r="O52" s="650" t="n"/>
      <c r="P52" s="650" t="n"/>
      <c r="Q52" s="650" t="n"/>
      <c r="R52" s="650" t="n"/>
      <c r="S52" s="651" t="n"/>
      <c r="T52" s="43" t="inlineStr">
        <is>
          <t>кг</t>
        </is>
      </c>
      <c r="U52" s="681">
        <f>IFERROR(SUM(U49:U50),"0")</f>
        <v/>
      </c>
      <c r="V52" s="681">
        <f>IFERROR(SUM(V49:V50),"0")</f>
        <v/>
      </c>
      <c r="W52" s="43" t="n"/>
      <c r="X52" s="682" t="n"/>
      <c r="Y52" s="682" t="n"/>
    </row>
    <row r="53" ht="16.5" customHeight="1">
      <c r="A53" s="335" t="inlineStr">
        <is>
          <t>Классическая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335" t="n"/>
      <c r="Y53" s="335" t="n"/>
    </row>
    <row r="54" ht="14.25" customHeight="1">
      <c r="A54" s="327" t="inlineStr">
        <is>
          <t>Вареные колбасы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327" t="n"/>
      <c r="Y54" s="327" t="n"/>
    </row>
    <row r="55" ht="27" customHeight="1">
      <c r="A55" s="64" t="inlineStr">
        <is>
          <t>SU002829</t>
        </is>
      </c>
      <c r="B55" s="64" t="inlineStr">
        <is>
          <t>P003298</t>
        </is>
      </c>
      <c r="C55" s="37" t="n">
        <v>4301011481</v>
      </c>
      <c r="D55" s="328" t="n">
        <v>4680115881426</v>
      </c>
      <c r="E55" s="642" t="n"/>
      <c r="F55" s="674" t="n">
        <v>1.35</v>
      </c>
      <c r="G55" s="38" t="n">
        <v>8</v>
      </c>
      <c r="H55" s="674" t="n">
        <v>10.8</v>
      </c>
      <c r="I55" s="674" t="n">
        <v>11.28</v>
      </c>
      <c r="J55" s="38" t="n">
        <v>48</v>
      </c>
      <c r="K55" s="39" t="inlineStr">
        <is>
          <t>ВЗ</t>
        </is>
      </c>
      <c r="L55" s="38" t="n">
        <v>55</v>
      </c>
      <c r="M55" s="694" t="inlineStr">
        <is>
          <t>Вареные колбасы «Филейская» Весовые Вектор ТМ «Вязанка»</t>
        </is>
      </c>
      <c r="N55" s="676" t="n"/>
      <c r="O55" s="676" t="n"/>
      <c r="P55" s="676" t="n"/>
      <c r="Q55" s="642" t="n"/>
      <c r="R55" s="40" t="inlineStr"/>
      <c r="S55" s="40" t="inlineStr"/>
      <c r="T55" s="41" t="inlineStr">
        <is>
          <t>кг</t>
        </is>
      </c>
      <c r="U55" s="677" t="n">
        <v>0</v>
      </c>
      <c r="V55" s="678">
        <f>IFERROR(IF(U55="",0,CEILING((U55/$H55),1)*$H55),"")</f>
        <v/>
      </c>
      <c r="W55" s="42">
        <f>IFERROR(IF(V55=0,"",ROUNDUP(V55/H55,0)*0.02039),"")</f>
        <v/>
      </c>
      <c r="X55" s="69" t="inlineStr"/>
      <c r="Y55" s="70" t="inlineStr"/>
      <c r="AC55" s="71" t="n"/>
      <c r="AZ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28" t="n">
        <v>4680115881426</v>
      </c>
      <c r="E56" s="642" t="n"/>
      <c r="F56" s="674" t="n">
        <v>1.35</v>
      </c>
      <c r="G56" s="38" t="n">
        <v>8</v>
      </c>
      <c r="H56" s="674" t="n">
        <v>10.8</v>
      </c>
      <c r="I56" s="674" t="n">
        <v>11.28</v>
      </c>
      <c r="J56" s="38" t="n">
        <v>56</v>
      </c>
      <c r="K56" s="39" t="inlineStr">
        <is>
          <t>СК1</t>
        </is>
      </c>
      <c r="L56" s="38" t="n">
        <v>50</v>
      </c>
      <c r="M56" s="695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6" s="676" t="n"/>
      <c r="O56" s="676" t="n"/>
      <c r="P56" s="676" t="n"/>
      <c r="Q56" s="642" t="n"/>
      <c r="R56" s="40" t="inlineStr"/>
      <c r="S56" s="40" t="inlineStr"/>
      <c r="T56" s="41" t="inlineStr">
        <is>
          <t>кг</t>
        </is>
      </c>
      <c r="U56" s="677" t="n">
        <v>0</v>
      </c>
      <c r="V56" s="678">
        <f>IFERROR(IF(U56="",0,CEILING((U56/$H56),1)*$H56),"")</f>
        <v/>
      </c>
      <c r="W56" s="42">
        <f>IFERROR(IF(V56=0,"",ROUNDUP(V56/H56,0)*0.02175),"")</f>
        <v/>
      </c>
      <c r="X56" s="69" t="inlineStr"/>
      <c r="Y56" s="70" t="inlineStr"/>
      <c r="AC56" s="71" t="n"/>
      <c r="AZ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8" t="n">
        <v>4680115881419</v>
      </c>
      <c r="E57" s="642" t="n"/>
      <c r="F57" s="674" t="n">
        <v>0.45</v>
      </c>
      <c r="G57" s="38" t="n">
        <v>10</v>
      </c>
      <c r="H57" s="674" t="n">
        <v>4.5</v>
      </c>
      <c r="I57" s="674" t="n">
        <v>4.74</v>
      </c>
      <c r="J57" s="38" t="n">
        <v>120</v>
      </c>
      <c r="K57" s="39" t="inlineStr">
        <is>
          <t>СК1</t>
        </is>
      </c>
      <c r="L57" s="38" t="n">
        <v>50</v>
      </c>
      <c r="M57" s="696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7" s="676" t="n"/>
      <c r="O57" s="676" t="n"/>
      <c r="P57" s="676" t="n"/>
      <c r="Q57" s="642" t="n"/>
      <c r="R57" s="40" t="inlineStr"/>
      <c r="S57" s="40" t="inlineStr"/>
      <c r="T57" s="41" t="inlineStr">
        <is>
          <t>кг</t>
        </is>
      </c>
      <c r="U57" s="677" t="n">
        <v>0</v>
      </c>
      <c r="V57" s="678">
        <f>IFERROR(IF(U57="",0,CEILING((U57/$H57),1)*$H57),"")</f>
        <v/>
      </c>
      <c r="W57" s="42">
        <f>IFERROR(IF(V57=0,"",ROUNDUP(V57/H57,0)*0.00937),"")</f>
        <v/>
      </c>
      <c r="X57" s="69" t="inlineStr"/>
      <c r="Y57" s="70" t="inlineStr"/>
      <c r="AC57" s="71" t="n"/>
      <c r="AZ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8" t="n">
        <v>4680115881525</v>
      </c>
      <c r="E58" s="642" t="n"/>
      <c r="F58" s="674" t="n">
        <v>0.4</v>
      </c>
      <c r="G58" s="38" t="n">
        <v>10</v>
      </c>
      <c r="H58" s="674" t="n">
        <v>4</v>
      </c>
      <c r="I58" s="674" t="n">
        <v>4.24</v>
      </c>
      <c r="J58" s="38" t="n">
        <v>120</v>
      </c>
      <c r="K58" s="39" t="inlineStr">
        <is>
          <t>СК1</t>
        </is>
      </c>
      <c r="L58" s="38" t="n">
        <v>50</v>
      </c>
      <c r="M58" s="697" t="inlineStr">
        <is>
          <t>Колбаса вареная Филейская ТМ Вязанка ТС Классическая полиамид ф/в 0,4 кг</t>
        </is>
      </c>
      <c r="N58" s="676" t="n"/>
      <c r="O58" s="676" t="n"/>
      <c r="P58" s="676" t="n"/>
      <c r="Q58" s="642" t="n"/>
      <c r="R58" s="40" t="inlineStr"/>
      <c r="S58" s="40" t="inlineStr"/>
      <c r="T58" s="41" t="inlineStr">
        <is>
          <t>кг</t>
        </is>
      </c>
      <c r="U58" s="677" t="n">
        <v>0</v>
      </c>
      <c r="V58" s="678">
        <f>IFERROR(IF(U58="",0,CEILING((U58/$H58),1)*$H58),"")</f>
        <v/>
      </c>
      <c r="W58" s="42">
        <f>IFERROR(IF(V58=0,"",ROUNDUP(V58/H58,0)*0.00937),"")</f>
        <v/>
      </c>
      <c r="X58" s="69" t="inlineStr"/>
      <c r="Y58" s="70" t="inlineStr"/>
      <c r="AC58" s="71" t="n"/>
      <c r="AZ58" s="88" t="inlineStr">
        <is>
          <t>КИ</t>
        </is>
      </c>
    </row>
    <row r="59">
      <c r="A59" s="322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679" t="n"/>
      <c r="M59" s="680" t="inlineStr">
        <is>
          <t>Итого</t>
        </is>
      </c>
      <c r="N59" s="650" t="n"/>
      <c r="O59" s="650" t="n"/>
      <c r="P59" s="650" t="n"/>
      <c r="Q59" s="650" t="n"/>
      <c r="R59" s="650" t="n"/>
      <c r="S59" s="651" t="n"/>
      <c r="T59" s="43" t="inlineStr">
        <is>
          <t>кор</t>
        </is>
      </c>
      <c r="U59" s="681">
        <f>IFERROR(U55/H55,"0")+IFERROR(U56/H56,"0")+IFERROR(U57/H57,"0")+IFERROR(U58/H58,"0")</f>
        <v/>
      </c>
      <c r="V59" s="681">
        <f>IFERROR(V55/H55,"0")+IFERROR(V56/H56,"0")+IFERROR(V57/H57,"0")+IFERROR(V58/H58,"0")</f>
        <v/>
      </c>
      <c r="W59" s="681">
        <f>IFERROR(IF(W55="",0,W55),"0")+IFERROR(IF(W56="",0,W56),"0")+IFERROR(IF(W57="",0,W57),"0")+IFERROR(IF(W58="",0,W58),"0")</f>
        <v/>
      </c>
      <c r="X59" s="682" t="n"/>
      <c r="Y59" s="682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679" t="n"/>
      <c r="M60" s="680" t="inlineStr">
        <is>
          <t>Итого</t>
        </is>
      </c>
      <c r="N60" s="650" t="n"/>
      <c r="O60" s="650" t="n"/>
      <c r="P60" s="650" t="n"/>
      <c r="Q60" s="650" t="n"/>
      <c r="R60" s="650" t="n"/>
      <c r="S60" s="651" t="n"/>
      <c r="T60" s="43" t="inlineStr">
        <is>
          <t>кг</t>
        </is>
      </c>
      <c r="U60" s="681">
        <f>IFERROR(SUM(U55:U58),"0")</f>
        <v/>
      </c>
      <c r="V60" s="681">
        <f>IFERROR(SUM(V55:V58),"0")</f>
        <v/>
      </c>
      <c r="W60" s="43" t="n"/>
      <c r="X60" s="682" t="n"/>
      <c r="Y60" s="682" t="n"/>
    </row>
    <row r="61" ht="16.5" customHeight="1">
      <c r="A61" s="335" t="inlineStr">
        <is>
          <t>Вязанка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335" t="n"/>
      <c r="Y61" s="335" t="n"/>
    </row>
    <row r="62" ht="14.25" customHeight="1">
      <c r="A62" s="327" t="inlineStr">
        <is>
          <t>Вареные колбасы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327" t="n"/>
      <c r="Y62" s="327" t="n"/>
    </row>
    <row r="63" ht="27" customHeight="1">
      <c r="A63" s="64" t="inlineStr">
        <is>
          <t>SU000124</t>
        </is>
      </c>
      <c r="B63" s="64" t="inlineStr">
        <is>
          <t>P003690</t>
        </is>
      </c>
      <c r="C63" s="37" t="n">
        <v>4301011623</v>
      </c>
      <c r="D63" s="328" t="n">
        <v>4607091382945</v>
      </c>
      <c r="E63" s="642" t="n"/>
      <c r="F63" s="674" t="n">
        <v>1.4</v>
      </c>
      <c r="G63" s="38" t="n">
        <v>8</v>
      </c>
      <c r="H63" s="674" t="n">
        <v>11.2</v>
      </c>
      <c r="I63" s="674" t="n">
        <v>11.68</v>
      </c>
      <c r="J63" s="38" t="n">
        <v>56</v>
      </c>
      <c r="K63" s="39" t="inlineStr">
        <is>
          <t>СК1</t>
        </is>
      </c>
      <c r="L63" s="38" t="n">
        <v>50</v>
      </c>
      <c r="M63" s="698" t="inlineStr">
        <is>
          <t>Вареные колбасы «Вязанка со шпиком» Весовые Вектор УВВ ТМ «Вязанка»</t>
        </is>
      </c>
      <c r="N63" s="676" t="n"/>
      <c r="O63" s="676" t="n"/>
      <c r="P63" s="676" t="n"/>
      <c r="Q63" s="642" t="n"/>
      <c r="R63" s="40" t="inlineStr"/>
      <c r="S63" s="40" t="inlineStr"/>
      <c r="T63" s="41" t="inlineStr">
        <is>
          <t>кг</t>
        </is>
      </c>
      <c r="U63" s="677" t="n">
        <v>0</v>
      </c>
      <c r="V63" s="678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71" t="n"/>
      <c r="AZ63" s="89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28" t="n">
        <v>4607091385670</v>
      </c>
      <c r="E64" s="642" t="n"/>
      <c r="F64" s="674" t="n">
        <v>1.35</v>
      </c>
      <c r="G64" s="38" t="n">
        <v>8</v>
      </c>
      <c r="H64" s="674" t="n">
        <v>10.8</v>
      </c>
      <c r="I64" s="674" t="n">
        <v>11.28</v>
      </c>
      <c r="J64" s="38" t="n">
        <v>56</v>
      </c>
      <c r="K64" s="39" t="inlineStr">
        <is>
          <t>СК1</t>
        </is>
      </c>
      <c r="L64" s="38" t="n">
        <v>50</v>
      </c>
      <c r="M64" s="699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4" s="676" t="n"/>
      <c r="O64" s="676" t="n"/>
      <c r="P64" s="676" t="n"/>
      <c r="Q64" s="642" t="n"/>
      <c r="R64" s="40" t="inlineStr"/>
      <c r="S64" s="40" t="inlineStr"/>
      <c r="T64" s="41" t="inlineStr">
        <is>
          <t>кг</t>
        </is>
      </c>
      <c r="U64" s="677" t="n">
        <v>0</v>
      </c>
      <c r="V64" s="678">
        <f>IFERROR(IF(U64="",0,CEILING((U64/$H64),1)*$H64),"")</f>
        <v/>
      </c>
      <c r="W64" s="42">
        <f>IFERROR(IF(V64=0,"",ROUNDUP(V64/H64,0)*0.02175),"")</f>
        <v/>
      </c>
      <c r="X64" s="69" t="inlineStr"/>
      <c r="Y64" s="70" t="inlineStr"/>
      <c r="AC64" s="71" t="n"/>
      <c r="AZ64" s="90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28" t="n">
        <v>4680115881327</v>
      </c>
      <c r="E65" s="642" t="n"/>
      <c r="F65" s="674" t="n">
        <v>1.35</v>
      </c>
      <c r="G65" s="38" t="n">
        <v>8</v>
      </c>
      <c r="H65" s="674" t="n">
        <v>10.8</v>
      </c>
      <c r="I65" s="674" t="n">
        <v>11.28</v>
      </c>
      <c r="J65" s="38" t="n">
        <v>56</v>
      </c>
      <c r="K65" s="39" t="inlineStr">
        <is>
          <t>СК4</t>
        </is>
      </c>
      <c r="L65" s="38" t="n">
        <v>50</v>
      </c>
      <c r="M65" s="700">
        <f>HYPERLINK("https://abi.ru/products/Охлажденные/Вязанка/Вязанка/Вареные колбасы/P003239/","Вареные колбасы Молокуша Вязанка Вес п/а Вязанка")</f>
        <v/>
      </c>
      <c r="N65" s="676" t="n"/>
      <c r="O65" s="676" t="n"/>
      <c r="P65" s="676" t="n"/>
      <c r="Q65" s="642" t="n"/>
      <c r="R65" s="40" t="inlineStr"/>
      <c r="S65" s="40" t="inlineStr"/>
      <c r="T65" s="41" t="inlineStr">
        <is>
          <t>кг</t>
        </is>
      </c>
      <c r="U65" s="677" t="n">
        <v>0</v>
      </c>
      <c r="V65" s="678">
        <f>IFERROR(IF(U65="",0,CEILING((U65/$H65),1)*$H65),"")</f>
        <v/>
      </c>
      <c r="W65" s="42">
        <f>IFERROR(IF(V65=0,"",ROUNDUP(V65/H65,0)*0.02175),"")</f>
        <v/>
      </c>
      <c r="X65" s="69" t="inlineStr"/>
      <c r="Y65" s="70" t="inlineStr"/>
      <c r="AC65" s="71" t="n"/>
      <c r="AZ65" s="91" t="inlineStr">
        <is>
          <t>КИ</t>
        </is>
      </c>
    </row>
    <row r="66" ht="16.5" customHeight="1">
      <c r="A66" s="64" t="inlineStr">
        <is>
          <t>SU002928</t>
        </is>
      </c>
      <c r="B66" s="64" t="inlineStr">
        <is>
          <t>P003357</t>
        </is>
      </c>
      <c r="C66" s="37" t="n">
        <v>4301011514</v>
      </c>
      <c r="D66" s="328" t="n">
        <v>4680115882133</v>
      </c>
      <c r="E66" s="642" t="n"/>
      <c r="F66" s="674" t="n">
        <v>1.35</v>
      </c>
      <c r="G66" s="38" t="n">
        <v>8</v>
      </c>
      <c r="H66" s="674" t="n">
        <v>10.8</v>
      </c>
      <c r="I66" s="674" t="n">
        <v>11.28</v>
      </c>
      <c r="J66" s="38" t="n">
        <v>56</v>
      </c>
      <c r="K66" s="39" t="inlineStr">
        <is>
          <t>СК1</t>
        </is>
      </c>
      <c r="L66" s="38" t="n">
        <v>50</v>
      </c>
      <c r="M66" s="701">
        <f>HYPERLINK("https://abi.ru/products/Охлажденные/Вязанка/Вязанка/Вареные колбасы/P003357/","Вареные колбасы «Сливушка» Вес П/а ТМ «Вязанка»")</f>
        <v/>
      </c>
      <c r="N66" s="676" t="n"/>
      <c r="O66" s="676" t="n"/>
      <c r="P66" s="676" t="n"/>
      <c r="Q66" s="642" t="n"/>
      <c r="R66" s="40" t="inlineStr"/>
      <c r="S66" s="40" t="inlineStr"/>
      <c r="T66" s="41" t="inlineStr">
        <is>
          <t>кг</t>
        </is>
      </c>
      <c r="U66" s="677" t="n">
        <v>0</v>
      </c>
      <c r="V66" s="678">
        <f>IFERROR(IF(U66="",0,CEILING((U66/$H66),1)*$H66),"")</f>
        <v/>
      </c>
      <c r="W66" s="42">
        <f>IFERROR(IF(V66=0,"",ROUNDUP(V66/H66,0)*0.02175),"")</f>
        <v/>
      </c>
      <c r="X66" s="69" t="inlineStr"/>
      <c r="Y66" s="70" t="inlineStr"/>
      <c r="AC66" s="71" t="n"/>
      <c r="AZ66" s="92" t="inlineStr">
        <is>
          <t>КИ</t>
        </is>
      </c>
    </row>
    <row r="67" ht="27" customHeight="1">
      <c r="A67" s="64" t="inlineStr">
        <is>
          <t>SU000125</t>
        </is>
      </c>
      <c r="B67" s="64" t="inlineStr">
        <is>
          <t>P002479</t>
        </is>
      </c>
      <c r="C67" s="37" t="n">
        <v>4301011192</v>
      </c>
      <c r="D67" s="328" t="n">
        <v>4607091382952</v>
      </c>
      <c r="E67" s="642" t="n"/>
      <c r="F67" s="674" t="n">
        <v>0.5</v>
      </c>
      <c r="G67" s="38" t="n">
        <v>6</v>
      </c>
      <c r="H67" s="674" t="n">
        <v>3</v>
      </c>
      <c r="I67" s="674" t="n">
        <v>3.2</v>
      </c>
      <c r="J67" s="38" t="n">
        <v>156</v>
      </c>
      <c r="K67" s="39" t="inlineStr">
        <is>
          <t>СК1</t>
        </is>
      </c>
      <c r="L67" s="38" t="n">
        <v>50</v>
      </c>
      <c r="M67" s="702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7" s="676" t="n"/>
      <c r="O67" s="676" t="n"/>
      <c r="P67" s="676" t="n"/>
      <c r="Q67" s="642" t="n"/>
      <c r="R67" s="40" t="inlineStr"/>
      <c r="S67" s="40" t="inlineStr"/>
      <c r="T67" s="41" t="inlineStr">
        <is>
          <t>кг</t>
        </is>
      </c>
      <c r="U67" s="677" t="n">
        <v>0</v>
      </c>
      <c r="V67" s="678">
        <f>IFERROR(IF(U67="",0,CEILING((U67/$H67),1)*$H67),"")</f>
        <v/>
      </c>
      <c r="W67" s="42">
        <f>IFERROR(IF(V67=0,"",ROUNDUP(V67/H67,0)*0.00753),"")</f>
        <v/>
      </c>
      <c r="X67" s="69" t="inlineStr"/>
      <c r="Y67" s="70" t="inlineStr"/>
      <c r="AC67" s="71" t="n"/>
      <c r="AZ67" s="93" t="inlineStr">
        <is>
          <t>КИ</t>
        </is>
      </c>
    </row>
    <row r="68" ht="27" customHeight="1">
      <c r="A68" s="64" t="inlineStr">
        <is>
          <t>SU002986</t>
        </is>
      </c>
      <c r="B68" s="64" t="inlineStr">
        <is>
          <t>P003429</t>
        </is>
      </c>
      <c r="C68" s="37" t="n">
        <v>4301011565</v>
      </c>
      <c r="D68" s="328" t="n">
        <v>4680115882539</v>
      </c>
      <c r="E68" s="642" t="n"/>
      <c r="F68" s="674" t="n">
        <v>0.37</v>
      </c>
      <c r="G68" s="38" t="n">
        <v>10</v>
      </c>
      <c r="H68" s="674" t="n">
        <v>3.7</v>
      </c>
      <c r="I68" s="674" t="n">
        <v>3.94</v>
      </c>
      <c r="J68" s="38" t="n">
        <v>120</v>
      </c>
      <c r="K68" s="39" t="inlineStr">
        <is>
          <t>СК3</t>
        </is>
      </c>
      <c r="L68" s="38" t="n">
        <v>50</v>
      </c>
      <c r="M68" s="703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N68" s="676" t="n"/>
      <c r="O68" s="676" t="n"/>
      <c r="P68" s="676" t="n"/>
      <c r="Q68" s="642" t="n"/>
      <c r="R68" s="40" t="inlineStr"/>
      <c r="S68" s="40" t="inlineStr"/>
      <c r="T68" s="41" t="inlineStr">
        <is>
          <t>кг</t>
        </is>
      </c>
      <c r="U68" s="677" t="n">
        <v>0</v>
      </c>
      <c r="V68" s="678">
        <f>IFERROR(IF(U68="",0,CEILING((U68/$H68),1)*$H68),"")</f>
        <v/>
      </c>
      <c r="W68" s="42">
        <f>IFERROR(IF(V68=0,"",ROUNDUP(V68/H68,0)*0.00937),"")</f>
        <v/>
      </c>
      <c r="X68" s="69" t="inlineStr"/>
      <c r="Y68" s="70" t="inlineStr"/>
      <c r="AC68" s="71" t="n"/>
      <c r="AZ68" s="94" t="inlineStr">
        <is>
          <t>КИ</t>
        </is>
      </c>
    </row>
    <row r="69" ht="27" customHeight="1">
      <c r="A69" s="64" t="inlineStr">
        <is>
          <t>SU001485</t>
        </is>
      </c>
      <c r="B69" s="64" t="inlineStr">
        <is>
          <t>P003008</t>
        </is>
      </c>
      <c r="C69" s="37" t="n">
        <v>4301011382</v>
      </c>
      <c r="D69" s="328" t="n">
        <v>4607091385687</v>
      </c>
      <c r="E69" s="642" t="n"/>
      <c r="F69" s="674" t="n">
        <v>0.4</v>
      </c>
      <c r="G69" s="38" t="n">
        <v>10</v>
      </c>
      <c r="H69" s="674" t="n">
        <v>4</v>
      </c>
      <c r="I69" s="674" t="n">
        <v>4.24</v>
      </c>
      <c r="J69" s="38" t="n">
        <v>120</v>
      </c>
      <c r="K69" s="39" t="inlineStr">
        <is>
          <t>СК3</t>
        </is>
      </c>
      <c r="L69" s="38" t="n">
        <v>50</v>
      </c>
      <c r="M69" s="704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9" s="676" t="n"/>
      <c r="O69" s="676" t="n"/>
      <c r="P69" s="676" t="n"/>
      <c r="Q69" s="642" t="n"/>
      <c r="R69" s="40" t="inlineStr"/>
      <c r="S69" s="40" t="inlineStr"/>
      <c r="T69" s="41" t="inlineStr">
        <is>
          <t>кг</t>
        </is>
      </c>
      <c r="U69" s="677" t="n">
        <v>0</v>
      </c>
      <c r="V69" s="678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71" t="n"/>
      <c r="AZ69" s="95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28" t="n">
        <v>4607091384604</v>
      </c>
      <c r="E70" s="642" t="n"/>
      <c r="F70" s="674" t="n">
        <v>0.4</v>
      </c>
      <c r="G70" s="38" t="n">
        <v>10</v>
      </c>
      <c r="H70" s="674" t="n">
        <v>4</v>
      </c>
      <c r="I70" s="674" t="n">
        <v>4.24</v>
      </c>
      <c r="J70" s="38" t="n">
        <v>120</v>
      </c>
      <c r="K70" s="39" t="inlineStr">
        <is>
          <t>СК1</t>
        </is>
      </c>
      <c r="L70" s="38" t="n">
        <v>50</v>
      </c>
      <c r="M70" s="705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70" s="676" t="n"/>
      <c r="O70" s="676" t="n"/>
      <c r="P70" s="676" t="n"/>
      <c r="Q70" s="642" t="n"/>
      <c r="R70" s="40" t="inlineStr"/>
      <c r="S70" s="40" t="inlineStr"/>
      <c r="T70" s="41" t="inlineStr">
        <is>
          <t>кг</t>
        </is>
      </c>
      <c r="U70" s="677" t="n">
        <v>0</v>
      </c>
      <c r="V70" s="678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71" t="n"/>
      <c r="AZ70" s="96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28" t="n">
        <v>4680115880283</v>
      </c>
      <c r="E71" s="642" t="n"/>
      <c r="F71" s="674" t="n">
        <v>0.6</v>
      </c>
      <c r="G71" s="38" t="n">
        <v>8</v>
      </c>
      <c r="H71" s="674" t="n">
        <v>4.8</v>
      </c>
      <c r="I71" s="674" t="n">
        <v>5.04</v>
      </c>
      <c r="J71" s="38" t="n">
        <v>120</v>
      </c>
      <c r="K71" s="39" t="inlineStr">
        <is>
          <t>СК1</t>
        </is>
      </c>
      <c r="L71" s="38" t="n">
        <v>45</v>
      </c>
      <c r="M71" s="706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71" s="676" t="n"/>
      <c r="O71" s="676" t="n"/>
      <c r="P71" s="676" t="n"/>
      <c r="Q71" s="642" t="n"/>
      <c r="R71" s="40" t="inlineStr"/>
      <c r="S71" s="40" t="inlineStr"/>
      <c r="T71" s="41" t="inlineStr">
        <is>
          <t>кг</t>
        </is>
      </c>
      <c r="U71" s="677" t="n">
        <v>0</v>
      </c>
      <c r="V71" s="678">
        <f>IFERROR(IF(U71="",0,CEILING((U71/$H71),1)*$H71),"")</f>
        <v/>
      </c>
      <c r="W71" s="42">
        <f>IFERROR(IF(V71=0,"",ROUNDUP(V71/H71,0)*0.00937),"")</f>
        <v/>
      </c>
      <c r="X71" s="69" t="inlineStr"/>
      <c r="Y71" s="70" t="inlineStr"/>
      <c r="AC71" s="71" t="n"/>
      <c r="AZ71" s="97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28" t="n">
        <v>4680115881518</v>
      </c>
      <c r="E72" s="642" t="n"/>
      <c r="F72" s="674" t="n">
        <v>0.4</v>
      </c>
      <c r="G72" s="38" t="n">
        <v>10</v>
      </c>
      <c r="H72" s="674" t="n">
        <v>4</v>
      </c>
      <c r="I72" s="674" t="n">
        <v>4.24</v>
      </c>
      <c r="J72" s="38" t="n">
        <v>120</v>
      </c>
      <c r="K72" s="39" t="inlineStr">
        <is>
          <t>СК3</t>
        </is>
      </c>
      <c r="L72" s="38" t="n">
        <v>50</v>
      </c>
      <c r="M72" s="707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72" s="676" t="n"/>
      <c r="O72" s="676" t="n"/>
      <c r="P72" s="676" t="n"/>
      <c r="Q72" s="642" t="n"/>
      <c r="R72" s="40" t="inlineStr"/>
      <c r="S72" s="40" t="inlineStr"/>
      <c r="T72" s="41" t="inlineStr">
        <is>
          <t>кг</t>
        </is>
      </c>
      <c r="U72" s="677" t="n">
        <v>0</v>
      </c>
      <c r="V72" s="678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71" t="n"/>
      <c r="AZ72" s="98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28" t="n">
        <v>4680115881303</v>
      </c>
      <c r="E73" s="642" t="n"/>
      <c r="F73" s="674" t="n">
        <v>0.45</v>
      </c>
      <c r="G73" s="38" t="n">
        <v>10</v>
      </c>
      <c r="H73" s="674" t="n">
        <v>4.5</v>
      </c>
      <c r="I73" s="674" t="n">
        <v>4.71</v>
      </c>
      <c r="J73" s="38" t="n">
        <v>120</v>
      </c>
      <c r="K73" s="39" t="inlineStr">
        <is>
          <t>СК4</t>
        </is>
      </c>
      <c r="L73" s="38" t="n">
        <v>50</v>
      </c>
      <c r="M73" s="708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3" s="676" t="n"/>
      <c r="O73" s="676" t="n"/>
      <c r="P73" s="676" t="n"/>
      <c r="Q73" s="642" t="n"/>
      <c r="R73" s="40" t="inlineStr"/>
      <c r="S73" s="40" t="inlineStr"/>
      <c r="T73" s="41" t="inlineStr">
        <is>
          <t>кг</t>
        </is>
      </c>
      <c r="U73" s="677" t="n">
        <v>0</v>
      </c>
      <c r="V73" s="678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71" t="n"/>
      <c r="AZ73" s="99" t="inlineStr">
        <is>
          <t>КИ</t>
        </is>
      </c>
    </row>
    <row r="74" ht="27" customHeight="1">
      <c r="A74" s="64" t="inlineStr">
        <is>
          <t>SU002983</t>
        </is>
      </c>
      <c r="B74" s="64" t="inlineStr">
        <is>
          <t>P003437</t>
        </is>
      </c>
      <c r="C74" s="37" t="n">
        <v>4301011562</v>
      </c>
      <c r="D74" s="328" t="n">
        <v>4680115882577</v>
      </c>
      <c r="E74" s="642" t="n"/>
      <c r="F74" s="674" t="n">
        <v>0.4</v>
      </c>
      <c r="G74" s="38" t="n">
        <v>8</v>
      </c>
      <c r="H74" s="674" t="n">
        <v>3.2</v>
      </c>
      <c r="I74" s="674" t="n">
        <v>3.4</v>
      </c>
      <c r="J74" s="38" t="n">
        <v>156</v>
      </c>
      <c r="K74" s="39" t="inlineStr">
        <is>
          <t>АК</t>
        </is>
      </c>
      <c r="L74" s="38" t="n">
        <v>90</v>
      </c>
      <c r="M74" s="709" t="inlineStr">
        <is>
          <t>Колбаса вареная Мусульманская ТМ Вязанка Халяль вектор ф/в 0,4 кг Казахстан АК</t>
        </is>
      </c>
      <c r="N74" s="676" t="n"/>
      <c r="O74" s="676" t="n"/>
      <c r="P74" s="676" t="n"/>
      <c r="Q74" s="642" t="n"/>
      <c r="R74" s="40" t="inlineStr"/>
      <c r="S74" s="40" t="inlineStr"/>
      <c r="T74" s="41" t="inlineStr">
        <is>
          <t>кг</t>
        </is>
      </c>
      <c r="U74" s="677" t="n">
        <v>0</v>
      </c>
      <c r="V74" s="678">
        <f>IFERROR(IF(U74="",0,CEILING((U74/$H74),1)*$H74),"")</f>
        <v/>
      </c>
      <c r="W74" s="42">
        <f>IFERROR(IF(V74=0,"",ROUNDUP(V74/H74,0)*0.00753),"")</f>
        <v/>
      </c>
      <c r="X74" s="69" t="inlineStr"/>
      <c r="Y74" s="70" t="inlineStr"/>
      <c r="AC74" s="71" t="n"/>
      <c r="AZ74" s="100" t="inlineStr">
        <is>
          <t>КИ</t>
        </is>
      </c>
    </row>
    <row r="75" ht="27" customHeight="1">
      <c r="A75" s="64" t="inlineStr">
        <is>
          <t>SU001905</t>
        </is>
      </c>
      <c r="B75" s="64" t="inlineStr">
        <is>
          <t>P001685</t>
        </is>
      </c>
      <c r="C75" s="37" t="n">
        <v>4301011352</v>
      </c>
      <c r="D75" s="328" t="n">
        <v>4607091388466</v>
      </c>
      <c r="E75" s="642" t="n"/>
      <c r="F75" s="674" t="n">
        <v>0.45</v>
      </c>
      <c r="G75" s="38" t="n">
        <v>6</v>
      </c>
      <c r="H75" s="674" t="n">
        <v>2.7</v>
      </c>
      <c r="I75" s="674" t="n">
        <v>2.9</v>
      </c>
      <c r="J75" s="38" t="n">
        <v>156</v>
      </c>
      <c r="K75" s="39" t="inlineStr">
        <is>
          <t>СК3</t>
        </is>
      </c>
      <c r="L75" s="38" t="n">
        <v>45</v>
      </c>
      <c r="M75" s="710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5" s="676" t="n"/>
      <c r="O75" s="676" t="n"/>
      <c r="P75" s="676" t="n"/>
      <c r="Q75" s="642" t="n"/>
      <c r="R75" s="40" t="inlineStr"/>
      <c r="S75" s="40" t="inlineStr"/>
      <c r="T75" s="41" t="inlineStr">
        <is>
          <t>кг</t>
        </is>
      </c>
      <c r="U75" s="677" t="n">
        <v>0</v>
      </c>
      <c r="V75" s="678">
        <f>IFERROR(IF(U75="",0,CEILING((U75/$H75),1)*$H75),"")</f>
        <v/>
      </c>
      <c r="W75" s="42">
        <f>IFERROR(IF(V75=0,"",ROUNDUP(V75/H75,0)*0.00753),"")</f>
        <v/>
      </c>
      <c r="X75" s="69" t="inlineStr"/>
      <c r="Y75" s="70" t="inlineStr"/>
      <c r="AC75" s="71" t="n"/>
      <c r="AZ75" s="101" t="inlineStr">
        <is>
          <t>КИ</t>
        </is>
      </c>
    </row>
    <row r="76" ht="27" customHeight="1">
      <c r="A76" s="64" t="inlineStr">
        <is>
          <t>SU002733</t>
        </is>
      </c>
      <c r="B76" s="64" t="inlineStr">
        <is>
          <t>P003102</t>
        </is>
      </c>
      <c r="C76" s="37" t="n">
        <v>4301011417</v>
      </c>
      <c r="D76" s="328" t="n">
        <v>4680115880269</v>
      </c>
      <c r="E76" s="642" t="n"/>
      <c r="F76" s="674" t="n">
        <v>0.375</v>
      </c>
      <c r="G76" s="38" t="n">
        <v>10</v>
      </c>
      <c r="H76" s="674" t="n">
        <v>3.75</v>
      </c>
      <c r="I76" s="674" t="n">
        <v>3.99</v>
      </c>
      <c r="J76" s="38" t="n">
        <v>120</v>
      </c>
      <c r="K76" s="39" t="inlineStr">
        <is>
          <t>СК3</t>
        </is>
      </c>
      <c r="L76" s="38" t="n">
        <v>50</v>
      </c>
      <c r="M76" s="711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6" s="676" t="n"/>
      <c r="O76" s="676" t="n"/>
      <c r="P76" s="676" t="n"/>
      <c r="Q76" s="642" t="n"/>
      <c r="R76" s="40" t="inlineStr"/>
      <c r="S76" s="40" t="inlineStr"/>
      <c r="T76" s="41" t="inlineStr">
        <is>
          <t>кг</t>
        </is>
      </c>
      <c r="U76" s="677" t="n">
        <v>0</v>
      </c>
      <c r="V76" s="678">
        <f>IFERROR(IF(U76="",0,CEILING((U76/$H76),1)*$H76),"")</f>
        <v/>
      </c>
      <c r="W76" s="42">
        <f>IFERROR(IF(V76=0,"",ROUNDUP(V76/H76,0)*0.00937),"")</f>
        <v/>
      </c>
      <c r="X76" s="69" t="inlineStr"/>
      <c r="Y76" s="70" t="inlineStr"/>
      <c r="AC76" s="71" t="n"/>
      <c r="AZ76" s="102" t="inlineStr">
        <is>
          <t>КИ</t>
        </is>
      </c>
    </row>
    <row r="77" ht="16.5" customHeight="1">
      <c r="A77" s="64" t="inlineStr">
        <is>
          <t>SU002734</t>
        </is>
      </c>
      <c r="B77" s="64" t="inlineStr">
        <is>
          <t>P003103</t>
        </is>
      </c>
      <c r="C77" s="37" t="n">
        <v>4301011415</v>
      </c>
      <c r="D77" s="328" t="n">
        <v>4680115880429</v>
      </c>
      <c r="E77" s="642" t="n"/>
      <c r="F77" s="674" t="n">
        <v>0.45</v>
      </c>
      <c r="G77" s="38" t="n">
        <v>10</v>
      </c>
      <c r="H77" s="674" t="n">
        <v>4.5</v>
      </c>
      <c r="I77" s="674" t="n">
        <v>4.74</v>
      </c>
      <c r="J77" s="38" t="n">
        <v>120</v>
      </c>
      <c r="K77" s="39" t="inlineStr">
        <is>
          <t>СК3</t>
        </is>
      </c>
      <c r="L77" s="38" t="n">
        <v>50</v>
      </c>
      <c r="M77" s="712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7" s="676" t="n"/>
      <c r="O77" s="676" t="n"/>
      <c r="P77" s="676" t="n"/>
      <c r="Q77" s="642" t="n"/>
      <c r="R77" s="40" t="inlineStr"/>
      <c r="S77" s="40" t="inlineStr"/>
      <c r="T77" s="41" t="inlineStr">
        <is>
          <t>кг</t>
        </is>
      </c>
      <c r="U77" s="677" t="n">
        <v>0</v>
      </c>
      <c r="V77" s="678">
        <f>IFERROR(IF(U77="",0,CEILING((U77/$H77),1)*$H77),"")</f>
        <v/>
      </c>
      <c r="W77" s="42">
        <f>IFERROR(IF(V77=0,"",ROUNDUP(V77/H77,0)*0.00937),"")</f>
        <v/>
      </c>
      <c r="X77" s="69" t="inlineStr"/>
      <c r="Y77" s="70" t="inlineStr"/>
      <c r="AC77" s="71" t="n"/>
      <c r="AZ77" s="103" t="inlineStr">
        <is>
          <t>КИ</t>
        </is>
      </c>
    </row>
    <row r="78" ht="16.5" customHeight="1">
      <c r="A78" s="64" t="inlineStr">
        <is>
          <t>SU002827</t>
        </is>
      </c>
      <c r="B78" s="64" t="inlineStr">
        <is>
          <t>P003233</t>
        </is>
      </c>
      <c r="C78" s="37" t="n">
        <v>4301011462</v>
      </c>
      <c r="D78" s="328" t="n">
        <v>4680115881457</v>
      </c>
      <c r="E78" s="642" t="n"/>
      <c r="F78" s="674" t="n">
        <v>0.75</v>
      </c>
      <c r="G78" s="38" t="n">
        <v>6</v>
      </c>
      <c r="H78" s="674" t="n">
        <v>4.5</v>
      </c>
      <c r="I78" s="674" t="n">
        <v>4.74</v>
      </c>
      <c r="J78" s="38" t="n">
        <v>120</v>
      </c>
      <c r="K78" s="39" t="inlineStr">
        <is>
          <t>СК3</t>
        </is>
      </c>
      <c r="L78" s="38" t="n">
        <v>50</v>
      </c>
      <c r="M78" s="713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8" s="676" t="n"/>
      <c r="O78" s="676" t="n"/>
      <c r="P78" s="676" t="n"/>
      <c r="Q78" s="642" t="n"/>
      <c r="R78" s="40" t="inlineStr"/>
      <c r="S78" s="40" t="inlineStr"/>
      <c r="T78" s="41" t="inlineStr">
        <is>
          <t>кг</t>
        </is>
      </c>
      <c r="U78" s="677" t="n">
        <v>0</v>
      </c>
      <c r="V78" s="678">
        <f>IFERROR(IF(U78="",0,CEILING((U78/$H78),1)*$H78),"")</f>
        <v/>
      </c>
      <c r="W78" s="42">
        <f>IFERROR(IF(V78=0,"",ROUNDUP(V78/H78,0)*0.00937),"")</f>
        <v/>
      </c>
      <c r="X78" s="69" t="inlineStr"/>
      <c r="Y78" s="70" t="inlineStr"/>
      <c r="AC78" s="71" t="n"/>
      <c r="AZ78" s="104" t="inlineStr">
        <is>
          <t>КИ</t>
        </is>
      </c>
    </row>
    <row r="79">
      <c r="A79" s="322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679" t="n"/>
      <c r="M79" s="680" t="inlineStr">
        <is>
          <t>Итого</t>
        </is>
      </c>
      <c r="N79" s="650" t="n"/>
      <c r="O79" s="650" t="n"/>
      <c r="P79" s="650" t="n"/>
      <c r="Q79" s="650" t="n"/>
      <c r="R79" s="650" t="n"/>
      <c r="S79" s="651" t="n"/>
      <c r="T79" s="43" t="inlineStr">
        <is>
          <t>кор</t>
        </is>
      </c>
      <c r="U79" s="681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/>
      </c>
      <c r="V79" s="681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/>
      </c>
      <c r="W79" s="681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/>
      </c>
      <c r="X79" s="682" t="n"/>
      <c r="Y79" s="682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679" t="n"/>
      <c r="M80" s="680" t="inlineStr">
        <is>
          <t>Итого</t>
        </is>
      </c>
      <c r="N80" s="650" t="n"/>
      <c r="O80" s="650" t="n"/>
      <c r="P80" s="650" t="n"/>
      <c r="Q80" s="650" t="n"/>
      <c r="R80" s="650" t="n"/>
      <c r="S80" s="651" t="n"/>
      <c r="T80" s="43" t="inlineStr">
        <is>
          <t>кг</t>
        </is>
      </c>
      <c r="U80" s="681">
        <f>IFERROR(SUM(U63:U78),"0")</f>
        <v/>
      </c>
      <c r="V80" s="681">
        <f>IFERROR(SUM(V63:V78),"0")</f>
        <v/>
      </c>
      <c r="W80" s="43" t="n"/>
      <c r="X80" s="682" t="n"/>
      <c r="Y80" s="682" t="n"/>
    </row>
    <row r="81" ht="14.25" customHeight="1">
      <c r="A81" s="327" t="inlineStr">
        <is>
          <t>Ветчины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327" t="n"/>
      <c r="Y81" s="327" t="n"/>
    </row>
    <row r="82" ht="27" customHeight="1">
      <c r="A82" s="64" t="inlineStr">
        <is>
          <t>SU002488</t>
        </is>
      </c>
      <c r="B82" s="64" t="inlineStr">
        <is>
          <t>P002800</t>
        </is>
      </c>
      <c r="C82" s="37" t="n">
        <v>4301020189</v>
      </c>
      <c r="D82" s="328" t="n">
        <v>4607091384789</v>
      </c>
      <c r="E82" s="642" t="n"/>
      <c r="F82" s="674" t="n">
        <v>1</v>
      </c>
      <c r="G82" s="38" t="n">
        <v>6</v>
      </c>
      <c r="H82" s="674" t="n">
        <v>6</v>
      </c>
      <c r="I82" s="674" t="n">
        <v>6.36</v>
      </c>
      <c r="J82" s="38" t="n">
        <v>104</v>
      </c>
      <c r="K82" s="39" t="inlineStr">
        <is>
          <t>СК1</t>
        </is>
      </c>
      <c r="L82" s="38" t="n">
        <v>45</v>
      </c>
      <c r="M82" s="714" t="inlineStr">
        <is>
          <t>Ветчины Запекуша с сочным окороком Вязанка Весовые П/а Вязанка</t>
        </is>
      </c>
      <c r="N82" s="676" t="n"/>
      <c r="O82" s="676" t="n"/>
      <c r="P82" s="676" t="n"/>
      <c r="Q82" s="642" t="n"/>
      <c r="R82" s="40" t="inlineStr"/>
      <c r="S82" s="40" t="inlineStr"/>
      <c r="T82" s="41" t="inlineStr">
        <is>
          <t>кг</t>
        </is>
      </c>
      <c r="U82" s="677" t="n">
        <v>0</v>
      </c>
      <c r="V82" s="678">
        <f>IFERROR(IF(U82="",0,CEILING((U82/$H82),1)*$H82),"")</f>
        <v/>
      </c>
      <c r="W82" s="42">
        <f>IFERROR(IF(V82=0,"",ROUNDUP(V82/H82,0)*0.01196),"")</f>
        <v/>
      </c>
      <c r="X82" s="69" t="inlineStr"/>
      <c r="Y82" s="70" t="inlineStr"/>
      <c r="AC82" s="71" t="n"/>
      <c r="AZ82" s="105" t="inlineStr">
        <is>
          <t>КИ</t>
        </is>
      </c>
    </row>
    <row r="83" ht="16.5" customHeight="1">
      <c r="A83" s="64" t="inlineStr">
        <is>
          <t>SU002833</t>
        </is>
      </c>
      <c r="B83" s="64" t="inlineStr">
        <is>
          <t>P003236</t>
        </is>
      </c>
      <c r="C83" s="37" t="n">
        <v>4301020235</v>
      </c>
      <c r="D83" s="328" t="n">
        <v>4680115881488</v>
      </c>
      <c r="E83" s="642" t="n"/>
      <c r="F83" s="674" t="n">
        <v>1.35</v>
      </c>
      <c r="G83" s="38" t="n">
        <v>8</v>
      </c>
      <c r="H83" s="674" t="n">
        <v>10.8</v>
      </c>
      <c r="I83" s="674" t="n">
        <v>11.28</v>
      </c>
      <c r="J83" s="38" t="n">
        <v>48</v>
      </c>
      <c r="K83" s="39" t="inlineStr">
        <is>
          <t>СК1</t>
        </is>
      </c>
      <c r="L83" s="38" t="n">
        <v>50</v>
      </c>
      <c r="M83" s="715">
        <f>HYPERLINK("https://abi.ru/products/Охлажденные/Вязанка/Вязанка/Ветчины/P003236/","Ветчины Сливушка с индейкой Вязанка вес П/а Вязанка")</f>
        <v/>
      </c>
      <c r="N83" s="676" t="n"/>
      <c r="O83" s="676" t="n"/>
      <c r="P83" s="676" t="n"/>
      <c r="Q83" s="642" t="n"/>
      <c r="R83" s="40" t="inlineStr"/>
      <c r="S83" s="40" t="inlineStr"/>
      <c r="T83" s="41" t="inlineStr">
        <is>
          <t>кг</t>
        </is>
      </c>
      <c r="U83" s="677" t="n">
        <v>0</v>
      </c>
      <c r="V83" s="678">
        <f>IFERROR(IF(U83="",0,CEILING((U83/$H83),1)*$H83),"")</f>
        <v/>
      </c>
      <c r="W83" s="42">
        <f>IFERROR(IF(V83=0,"",ROUNDUP(V83/H83,0)*0.02175),"")</f>
        <v/>
      </c>
      <c r="X83" s="69" t="inlineStr"/>
      <c r="Y83" s="70" t="inlineStr"/>
      <c r="AC83" s="71" t="n"/>
      <c r="AZ83" s="106" t="inlineStr">
        <is>
          <t>КИ</t>
        </is>
      </c>
    </row>
    <row r="84" ht="27" customHeight="1">
      <c r="A84" s="64" t="inlineStr">
        <is>
          <t>SU002313</t>
        </is>
      </c>
      <c r="B84" s="64" t="inlineStr">
        <is>
          <t>P002583</t>
        </is>
      </c>
      <c r="C84" s="37" t="n">
        <v>4301020183</v>
      </c>
      <c r="D84" s="328" t="n">
        <v>4607091384765</v>
      </c>
      <c r="E84" s="642" t="n"/>
      <c r="F84" s="674" t="n">
        <v>0.42</v>
      </c>
      <c r="G84" s="38" t="n">
        <v>6</v>
      </c>
      <c r="H84" s="674" t="n">
        <v>2.52</v>
      </c>
      <c r="I84" s="674" t="n">
        <v>2.72</v>
      </c>
      <c r="J84" s="38" t="n">
        <v>156</v>
      </c>
      <c r="K84" s="39" t="inlineStr">
        <is>
          <t>СК1</t>
        </is>
      </c>
      <c r="L84" s="38" t="n">
        <v>45</v>
      </c>
      <c r="M84" s="716" t="inlineStr">
        <is>
          <t>Ветчины Запекуша с сочным окороком Вязанка Фикс.вес 0,42 п/а Вязанка</t>
        </is>
      </c>
      <c r="N84" s="676" t="n"/>
      <c r="O84" s="676" t="n"/>
      <c r="P84" s="676" t="n"/>
      <c r="Q84" s="642" t="n"/>
      <c r="R84" s="40" t="inlineStr"/>
      <c r="S84" s="40" t="inlineStr"/>
      <c r="T84" s="41" t="inlineStr">
        <is>
          <t>кг</t>
        </is>
      </c>
      <c r="U84" s="677" t="n">
        <v>0</v>
      </c>
      <c r="V84" s="678">
        <f>IFERROR(IF(U84="",0,CEILING((U84/$H84),1)*$H84),"")</f>
        <v/>
      </c>
      <c r="W84" s="42">
        <f>IFERROR(IF(V84=0,"",ROUNDUP(V84/H84,0)*0.00753),"")</f>
        <v/>
      </c>
      <c r="X84" s="69" t="inlineStr"/>
      <c r="Y84" s="70" t="inlineStr"/>
      <c r="AC84" s="71" t="n"/>
      <c r="AZ84" s="107" t="inlineStr">
        <is>
          <t>КИ</t>
        </is>
      </c>
    </row>
    <row r="85" ht="27" customHeight="1">
      <c r="A85" s="64" t="inlineStr">
        <is>
          <t>SU003037</t>
        </is>
      </c>
      <c r="B85" s="64" t="inlineStr">
        <is>
          <t>P003575</t>
        </is>
      </c>
      <c r="C85" s="37" t="n">
        <v>4301020258</v>
      </c>
      <c r="D85" s="328" t="n">
        <v>4680115882775</v>
      </c>
      <c r="E85" s="642" t="n"/>
      <c r="F85" s="674" t="n">
        <v>0.3</v>
      </c>
      <c r="G85" s="38" t="n">
        <v>8</v>
      </c>
      <c r="H85" s="674" t="n">
        <v>2.4</v>
      </c>
      <c r="I85" s="674" t="n">
        <v>2.5</v>
      </c>
      <c r="J85" s="38" t="n">
        <v>234</v>
      </c>
      <c r="K85" s="39" t="inlineStr">
        <is>
          <t>СК3</t>
        </is>
      </c>
      <c r="L85" s="38" t="n">
        <v>50</v>
      </c>
      <c r="M85" s="717" t="inlineStr">
        <is>
          <t>Ветчины «Сливушка с индейкой» Фикс.вес 0,3 П/а ТМ «Вязанка»</t>
        </is>
      </c>
      <c r="N85" s="676" t="n"/>
      <c r="O85" s="676" t="n"/>
      <c r="P85" s="676" t="n"/>
      <c r="Q85" s="642" t="n"/>
      <c r="R85" s="40" t="inlineStr"/>
      <c r="S85" s="40" t="inlineStr"/>
      <c r="T85" s="41" t="inlineStr">
        <is>
          <t>кг</t>
        </is>
      </c>
      <c r="U85" s="677" t="n">
        <v>0</v>
      </c>
      <c r="V85" s="678">
        <f>IFERROR(IF(U85="",0,CEILING((U85/$H85),1)*$H85),"")</f>
        <v/>
      </c>
      <c r="W85" s="42">
        <f>IFERROR(IF(V85=0,"",ROUNDUP(V85/H85,0)*0.00502),"")</f>
        <v/>
      </c>
      <c r="X85" s="69" t="inlineStr"/>
      <c r="Y85" s="70" t="inlineStr"/>
      <c r="AC85" s="71" t="n"/>
      <c r="AZ85" s="108" t="inlineStr">
        <is>
          <t>КИ</t>
        </is>
      </c>
    </row>
    <row r="86" ht="27" customHeight="1">
      <c r="A86" s="64" t="inlineStr">
        <is>
          <t>SU002735</t>
        </is>
      </c>
      <c r="B86" s="64" t="inlineStr">
        <is>
          <t>P003107</t>
        </is>
      </c>
      <c r="C86" s="37" t="n">
        <v>4301020217</v>
      </c>
      <c r="D86" s="328" t="n">
        <v>4680115880658</v>
      </c>
      <c r="E86" s="642" t="n"/>
      <c r="F86" s="674" t="n">
        <v>0.4</v>
      </c>
      <c r="G86" s="38" t="n">
        <v>6</v>
      </c>
      <c r="H86" s="674" t="n">
        <v>2.4</v>
      </c>
      <c r="I86" s="674" t="n">
        <v>2.6</v>
      </c>
      <c r="J86" s="38" t="n">
        <v>156</v>
      </c>
      <c r="K86" s="39" t="inlineStr">
        <is>
          <t>СК1</t>
        </is>
      </c>
      <c r="L86" s="38" t="n">
        <v>50</v>
      </c>
      <c r="M86" s="718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6" s="676" t="n"/>
      <c r="O86" s="676" t="n"/>
      <c r="P86" s="676" t="n"/>
      <c r="Q86" s="642" t="n"/>
      <c r="R86" s="40" t="inlineStr"/>
      <c r="S86" s="40" t="inlineStr"/>
      <c r="T86" s="41" t="inlineStr">
        <is>
          <t>кг</t>
        </is>
      </c>
      <c r="U86" s="677" t="n">
        <v>0</v>
      </c>
      <c r="V86" s="678">
        <f>IFERROR(IF(U86="",0,CEILING((U86/$H86),1)*$H86),"")</f>
        <v/>
      </c>
      <c r="W86" s="42">
        <f>IFERROR(IF(V86=0,"",ROUNDUP(V86/H86,0)*0.00753),"")</f>
        <v/>
      </c>
      <c r="X86" s="69" t="inlineStr"/>
      <c r="Y86" s="70" t="inlineStr"/>
      <c r="AC86" s="71" t="n"/>
      <c r="AZ86" s="109" t="inlineStr">
        <is>
          <t>КИ</t>
        </is>
      </c>
    </row>
    <row r="87" ht="27" customHeight="1">
      <c r="A87" s="64" t="inlineStr">
        <is>
          <t>SU000082</t>
        </is>
      </c>
      <c r="B87" s="64" t="inlineStr">
        <is>
          <t>P003164</t>
        </is>
      </c>
      <c r="C87" s="37" t="n">
        <v>4301020223</v>
      </c>
      <c r="D87" s="328" t="n">
        <v>4607091381962</v>
      </c>
      <c r="E87" s="642" t="n"/>
      <c r="F87" s="674" t="n">
        <v>0.5</v>
      </c>
      <c r="G87" s="38" t="n">
        <v>6</v>
      </c>
      <c r="H87" s="674" t="n">
        <v>3</v>
      </c>
      <c r="I87" s="674" t="n">
        <v>3.2</v>
      </c>
      <c r="J87" s="38" t="n">
        <v>156</v>
      </c>
      <c r="K87" s="39" t="inlineStr">
        <is>
          <t>СК1</t>
        </is>
      </c>
      <c r="L87" s="38" t="n">
        <v>50</v>
      </c>
      <c r="M87" s="719">
        <f>HYPERLINK("https://abi.ru/products/Охлажденные/Вязанка/Вязанка/Ветчины/P003164/","Ветчины Столичная Вязанка Фикс.вес 0,5 Вектор Вязанка")</f>
        <v/>
      </c>
      <c r="N87" s="676" t="n"/>
      <c r="O87" s="676" t="n"/>
      <c r="P87" s="676" t="n"/>
      <c r="Q87" s="642" t="n"/>
      <c r="R87" s="40" t="inlineStr"/>
      <c r="S87" s="40" t="inlineStr"/>
      <c r="T87" s="41" t="inlineStr">
        <is>
          <t>кг</t>
        </is>
      </c>
      <c r="U87" s="677" t="n">
        <v>0</v>
      </c>
      <c r="V87" s="678">
        <f>IFERROR(IF(U87="",0,CEILING((U87/$H87),1)*$H87),"")</f>
        <v/>
      </c>
      <c r="W87" s="42">
        <f>IFERROR(IF(V87=0,"",ROUNDUP(V87/H87,0)*0.00753),"")</f>
        <v/>
      </c>
      <c r="X87" s="69" t="inlineStr"/>
      <c r="Y87" s="70" t="inlineStr"/>
      <c r="AC87" s="71" t="n"/>
      <c r="AZ87" s="110" t="inlineStr">
        <is>
          <t>КИ</t>
        </is>
      </c>
    </row>
    <row r="88">
      <c r="A88" s="322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679" t="n"/>
      <c r="M88" s="680" t="inlineStr">
        <is>
          <t>Итого</t>
        </is>
      </c>
      <c r="N88" s="650" t="n"/>
      <c r="O88" s="650" t="n"/>
      <c r="P88" s="650" t="n"/>
      <c r="Q88" s="650" t="n"/>
      <c r="R88" s="650" t="n"/>
      <c r="S88" s="651" t="n"/>
      <c r="T88" s="43" t="inlineStr">
        <is>
          <t>кор</t>
        </is>
      </c>
      <c r="U88" s="681">
        <f>IFERROR(U82/H82,"0")+IFERROR(U83/H83,"0")+IFERROR(U84/H84,"0")+IFERROR(U85/H85,"0")+IFERROR(U86/H86,"0")+IFERROR(U87/H87,"0")</f>
        <v/>
      </c>
      <c r="V88" s="681">
        <f>IFERROR(V82/H82,"0")+IFERROR(V83/H83,"0")+IFERROR(V84/H84,"0")+IFERROR(V85/H85,"0")+IFERROR(V86/H86,"0")+IFERROR(V87/H87,"0")</f>
        <v/>
      </c>
      <c r="W88" s="681">
        <f>IFERROR(IF(W82="",0,W82),"0")+IFERROR(IF(W83="",0,W83),"0")+IFERROR(IF(W84="",0,W84),"0")+IFERROR(IF(W85="",0,W85),"0")+IFERROR(IF(W86="",0,W86),"0")+IFERROR(IF(W87="",0,W87),"0")</f>
        <v/>
      </c>
      <c r="X88" s="682" t="n"/>
      <c r="Y88" s="682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679" t="n"/>
      <c r="M89" s="680" t="inlineStr">
        <is>
          <t>Итого</t>
        </is>
      </c>
      <c r="N89" s="650" t="n"/>
      <c r="O89" s="650" t="n"/>
      <c r="P89" s="650" t="n"/>
      <c r="Q89" s="650" t="n"/>
      <c r="R89" s="650" t="n"/>
      <c r="S89" s="651" t="n"/>
      <c r="T89" s="43" t="inlineStr">
        <is>
          <t>кг</t>
        </is>
      </c>
      <c r="U89" s="681">
        <f>IFERROR(SUM(U82:U87),"0")</f>
        <v/>
      </c>
      <c r="V89" s="681">
        <f>IFERROR(SUM(V82:V87),"0")</f>
        <v/>
      </c>
      <c r="W89" s="43" t="n"/>
      <c r="X89" s="682" t="n"/>
      <c r="Y89" s="682" t="n"/>
    </row>
    <row r="90" ht="14.25" customHeight="1">
      <c r="A90" s="327" t="inlineStr">
        <is>
          <t>Копченые колбасы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327" t="n"/>
      <c r="Y90" s="327" t="n"/>
    </row>
    <row r="91" ht="16.5" customHeight="1">
      <c r="A91" s="64" t="inlineStr">
        <is>
          <t>SU000064</t>
        </is>
      </c>
      <c r="B91" s="64" t="inlineStr">
        <is>
          <t>P001841</t>
        </is>
      </c>
      <c r="C91" s="37" t="n">
        <v>4301030895</v>
      </c>
      <c r="D91" s="328" t="n">
        <v>4607091387667</v>
      </c>
      <c r="E91" s="642" t="n"/>
      <c r="F91" s="674" t="n">
        <v>0.9</v>
      </c>
      <c r="G91" s="38" t="n">
        <v>10</v>
      </c>
      <c r="H91" s="674" t="n">
        <v>9</v>
      </c>
      <c r="I91" s="674" t="n">
        <v>9.630000000000001</v>
      </c>
      <c r="J91" s="38" t="n">
        <v>56</v>
      </c>
      <c r="K91" s="39" t="inlineStr">
        <is>
          <t>СК1</t>
        </is>
      </c>
      <c r="L91" s="38" t="n">
        <v>40</v>
      </c>
      <c r="M91" s="720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91" s="676" t="n"/>
      <c r="O91" s="676" t="n"/>
      <c r="P91" s="676" t="n"/>
      <c r="Q91" s="642" t="n"/>
      <c r="R91" s="40" t="inlineStr"/>
      <c r="S91" s="40" t="inlineStr"/>
      <c r="T91" s="41" t="inlineStr">
        <is>
          <t>кг</t>
        </is>
      </c>
      <c r="U91" s="677" t="n">
        <v>0</v>
      </c>
      <c r="V91" s="678">
        <f>IFERROR(IF(U91="",0,CEILING((U91/$H91),1)*$H91),"")</f>
        <v/>
      </c>
      <c r="W91" s="42">
        <f>IFERROR(IF(V91=0,"",ROUNDUP(V91/H91,0)*0.02175),"")</f>
        <v/>
      </c>
      <c r="X91" s="69" t="inlineStr"/>
      <c r="Y91" s="70" t="inlineStr"/>
      <c r="AC91" s="71" t="n"/>
      <c r="AZ91" s="111" t="inlineStr">
        <is>
          <t>КИ</t>
        </is>
      </c>
    </row>
    <row r="92" ht="27" customHeight="1">
      <c r="A92" s="64" t="inlineStr">
        <is>
          <t>SU000664</t>
        </is>
      </c>
      <c r="B92" s="64" t="inlineStr">
        <is>
          <t>P002177</t>
        </is>
      </c>
      <c r="C92" s="37" t="n">
        <v>4301030961</v>
      </c>
      <c r="D92" s="328" t="n">
        <v>4607091387636</v>
      </c>
      <c r="E92" s="642" t="n"/>
      <c r="F92" s="674" t="n">
        <v>0.7</v>
      </c>
      <c r="G92" s="38" t="n">
        <v>6</v>
      </c>
      <c r="H92" s="674" t="n">
        <v>4.2</v>
      </c>
      <c r="I92" s="674" t="n">
        <v>4.5</v>
      </c>
      <c r="J92" s="38" t="n">
        <v>120</v>
      </c>
      <c r="K92" s="39" t="inlineStr">
        <is>
          <t>СК2</t>
        </is>
      </c>
      <c r="L92" s="38" t="n">
        <v>40</v>
      </c>
      <c r="M92" s="721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92" s="676" t="n"/>
      <c r="O92" s="676" t="n"/>
      <c r="P92" s="676" t="n"/>
      <c r="Q92" s="642" t="n"/>
      <c r="R92" s="40" t="inlineStr"/>
      <c r="S92" s="40" t="inlineStr"/>
      <c r="T92" s="41" t="inlineStr">
        <is>
          <t>кг</t>
        </is>
      </c>
      <c r="U92" s="677" t="n">
        <v>0</v>
      </c>
      <c r="V92" s="678">
        <f>IFERROR(IF(U92="",0,CEILING((U92/$H92),1)*$H92),"")</f>
        <v/>
      </c>
      <c r="W92" s="42">
        <f>IFERROR(IF(V92=0,"",ROUNDUP(V92/H92,0)*0.00937),"")</f>
        <v/>
      </c>
      <c r="X92" s="69" t="inlineStr"/>
      <c r="Y92" s="70" t="inlineStr"/>
      <c r="AC92" s="71" t="n"/>
      <c r="AZ92" s="112" t="inlineStr">
        <is>
          <t>КИ</t>
        </is>
      </c>
    </row>
    <row r="93" ht="27" customHeight="1">
      <c r="A93" s="64" t="inlineStr">
        <is>
          <t>SU002308</t>
        </is>
      </c>
      <c r="B93" s="64" t="inlineStr">
        <is>
          <t>P002572</t>
        </is>
      </c>
      <c r="C93" s="37" t="n">
        <v>4301031078</v>
      </c>
      <c r="D93" s="328" t="n">
        <v>4607091384727</v>
      </c>
      <c r="E93" s="642" t="n"/>
      <c r="F93" s="674" t="n">
        <v>0.8</v>
      </c>
      <c r="G93" s="38" t="n">
        <v>6</v>
      </c>
      <c r="H93" s="674" t="n">
        <v>4.8</v>
      </c>
      <c r="I93" s="674" t="n">
        <v>5.16</v>
      </c>
      <c r="J93" s="38" t="n">
        <v>104</v>
      </c>
      <c r="K93" s="39" t="inlineStr">
        <is>
          <t>СК2</t>
        </is>
      </c>
      <c r="L93" s="38" t="n">
        <v>45</v>
      </c>
      <c r="M93" s="722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3" s="676" t="n"/>
      <c r="O93" s="676" t="n"/>
      <c r="P93" s="676" t="n"/>
      <c r="Q93" s="642" t="n"/>
      <c r="R93" s="40" t="inlineStr"/>
      <c r="S93" s="40" t="inlineStr"/>
      <c r="T93" s="41" t="inlineStr">
        <is>
          <t>кг</t>
        </is>
      </c>
      <c r="U93" s="677" t="n">
        <v>0</v>
      </c>
      <c r="V93" s="678">
        <f>IFERROR(IF(U93="",0,CEILING((U93/$H93),1)*$H93),"")</f>
        <v/>
      </c>
      <c r="W93" s="42">
        <f>IFERROR(IF(V93=0,"",ROUNDUP(V93/H93,0)*0.01196),"")</f>
        <v/>
      </c>
      <c r="X93" s="69" t="inlineStr"/>
      <c r="Y93" s="70" t="inlineStr"/>
      <c r="AC93" s="71" t="n"/>
      <c r="AZ93" s="113" t="inlineStr">
        <is>
          <t>КИ</t>
        </is>
      </c>
    </row>
    <row r="94" ht="27" customHeight="1">
      <c r="A94" s="64" t="inlineStr">
        <is>
          <t>SU002310</t>
        </is>
      </c>
      <c r="B94" s="64" t="inlineStr">
        <is>
          <t>P002574</t>
        </is>
      </c>
      <c r="C94" s="37" t="n">
        <v>4301031080</v>
      </c>
      <c r="D94" s="328" t="n">
        <v>4607091386745</v>
      </c>
      <c r="E94" s="642" t="n"/>
      <c r="F94" s="674" t="n">
        <v>0.8</v>
      </c>
      <c r="G94" s="38" t="n">
        <v>6</v>
      </c>
      <c r="H94" s="674" t="n">
        <v>4.8</v>
      </c>
      <c r="I94" s="674" t="n">
        <v>5.16</v>
      </c>
      <c r="J94" s="38" t="n">
        <v>104</v>
      </c>
      <c r="K94" s="39" t="inlineStr">
        <is>
          <t>СК2</t>
        </is>
      </c>
      <c r="L94" s="38" t="n">
        <v>45</v>
      </c>
      <c r="M94" s="723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4" s="676" t="n"/>
      <c r="O94" s="676" t="n"/>
      <c r="P94" s="676" t="n"/>
      <c r="Q94" s="642" t="n"/>
      <c r="R94" s="40" t="inlineStr"/>
      <c r="S94" s="40" t="inlineStr"/>
      <c r="T94" s="41" t="inlineStr">
        <is>
          <t>кг</t>
        </is>
      </c>
      <c r="U94" s="677" t="n">
        <v>0</v>
      </c>
      <c r="V94" s="678">
        <f>IFERROR(IF(U94="",0,CEILING((U94/$H94),1)*$H94),"")</f>
        <v/>
      </c>
      <c r="W94" s="42">
        <f>IFERROR(IF(V94=0,"",ROUNDUP(V94/H94,0)*0.01196),"")</f>
        <v/>
      </c>
      <c r="X94" s="69" t="inlineStr"/>
      <c r="Y94" s="70" t="inlineStr"/>
      <c r="AC94" s="71" t="n"/>
      <c r="AZ94" s="114" t="inlineStr">
        <is>
          <t>КИ</t>
        </is>
      </c>
    </row>
    <row r="95" ht="16.5" customHeight="1">
      <c r="A95" s="64" t="inlineStr">
        <is>
          <t>SU000097</t>
        </is>
      </c>
      <c r="B95" s="64" t="inlineStr">
        <is>
          <t>P002179</t>
        </is>
      </c>
      <c r="C95" s="37" t="n">
        <v>4301030963</v>
      </c>
      <c r="D95" s="328" t="n">
        <v>4607091382426</v>
      </c>
      <c r="E95" s="642" t="n"/>
      <c r="F95" s="674" t="n">
        <v>0.9</v>
      </c>
      <c r="G95" s="38" t="n">
        <v>10</v>
      </c>
      <c r="H95" s="674" t="n">
        <v>9</v>
      </c>
      <c r="I95" s="674" t="n">
        <v>9.630000000000001</v>
      </c>
      <c r="J95" s="38" t="n">
        <v>56</v>
      </c>
      <c r="K95" s="39" t="inlineStr">
        <is>
          <t>СК2</t>
        </is>
      </c>
      <c r="L95" s="38" t="n">
        <v>40</v>
      </c>
      <c r="M95" s="724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5" s="676" t="n"/>
      <c r="O95" s="676" t="n"/>
      <c r="P95" s="676" t="n"/>
      <c r="Q95" s="642" t="n"/>
      <c r="R95" s="40" t="inlineStr"/>
      <c r="S95" s="40" t="inlineStr"/>
      <c r="T95" s="41" t="inlineStr">
        <is>
          <t>кг</t>
        </is>
      </c>
      <c r="U95" s="677" t="n">
        <v>0</v>
      </c>
      <c r="V95" s="678">
        <f>IFERROR(IF(U95="",0,CEILING((U95/$H95),1)*$H95),"")</f>
        <v/>
      </c>
      <c r="W95" s="42">
        <f>IFERROR(IF(V95=0,"",ROUNDUP(V95/H95,0)*0.02175),"")</f>
        <v/>
      </c>
      <c r="X95" s="69" t="inlineStr"/>
      <c r="Y95" s="70" t="inlineStr"/>
      <c r="AC95" s="71" t="n"/>
      <c r="AZ95" s="115" t="inlineStr">
        <is>
          <t>КИ</t>
        </is>
      </c>
    </row>
    <row r="96" ht="27" customHeight="1">
      <c r="A96" s="64" t="inlineStr">
        <is>
          <t>SU000665</t>
        </is>
      </c>
      <c r="B96" s="64" t="inlineStr">
        <is>
          <t>P002178</t>
        </is>
      </c>
      <c r="C96" s="37" t="n">
        <v>4301030962</v>
      </c>
      <c r="D96" s="328" t="n">
        <v>4607091386547</v>
      </c>
      <c r="E96" s="642" t="n"/>
      <c r="F96" s="674" t="n">
        <v>0.35</v>
      </c>
      <c r="G96" s="38" t="n">
        <v>8</v>
      </c>
      <c r="H96" s="674" t="n">
        <v>2.8</v>
      </c>
      <c r="I96" s="674" t="n">
        <v>2.94</v>
      </c>
      <c r="J96" s="38" t="n">
        <v>234</v>
      </c>
      <c r="K96" s="39" t="inlineStr">
        <is>
          <t>СК2</t>
        </is>
      </c>
      <c r="L96" s="38" t="n">
        <v>40</v>
      </c>
      <c r="M96" s="725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6" s="676" t="n"/>
      <c r="O96" s="676" t="n"/>
      <c r="P96" s="676" t="n"/>
      <c r="Q96" s="642" t="n"/>
      <c r="R96" s="40" t="inlineStr"/>
      <c r="S96" s="40" t="inlineStr"/>
      <c r="T96" s="41" t="inlineStr">
        <is>
          <t>кг</t>
        </is>
      </c>
      <c r="U96" s="677" t="n">
        <v>0</v>
      </c>
      <c r="V96" s="678">
        <f>IFERROR(IF(U96="",0,CEILING((U96/$H96),1)*$H96),"")</f>
        <v/>
      </c>
      <c r="W96" s="42">
        <f>IFERROR(IF(V96=0,"",ROUNDUP(V96/H96,0)*0.00502),"")</f>
        <v/>
      </c>
      <c r="X96" s="69" t="inlineStr"/>
      <c r="Y96" s="70" t="inlineStr"/>
      <c r="AC96" s="71" t="n"/>
      <c r="AZ96" s="116" t="inlineStr">
        <is>
          <t>КИ</t>
        </is>
      </c>
    </row>
    <row r="97" ht="27" customHeight="1">
      <c r="A97" s="64" t="inlineStr">
        <is>
          <t>SU002307</t>
        </is>
      </c>
      <c r="B97" s="64" t="inlineStr">
        <is>
          <t>P002571</t>
        </is>
      </c>
      <c r="C97" s="37" t="n">
        <v>4301031077</v>
      </c>
      <c r="D97" s="328" t="n">
        <v>4607091384703</v>
      </c>
      <c r="E97" s="642" t="n"/>
      <c r="F97" s="674" t="n">
        <v>0.35</v>
      </c>
      <c r="G97" s="38" t="n">
        <v>6</v>
      </c>
      <c r="H97" s="674" t="n">
        <v>2.1</v>
      </c>
      <c r="I97" s="674" t="n">
        <v>2.2</v>
      </c>
      <c r="J97" s="38" t="n">
        <v>234</v>
      </c>
      <c r="K97" s="39" t="inlineStr">
        <is>
          <t>СК2</t>
        </is>
      </c>
      <c r="L97" s="38" t="n">
        <v>45</v>
      </c>
      <c r="M97" s="726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7" s="676" t="n"/>
      <c r="O97" s="676" t="n"/>
      <c r="P97" s="676" t="n"/>
      <c r="Q97" s="642" t="n"/>
      <c r="R97" s="40" t="inlineStr"/>
      <c r="S97" s="40" t="inlineStr"/>
      <c r="T97" s="41" t="inlineStr">
        <is>
          <t>кг</t>
        </is>
      </c>
      <c r="U97" s="677" t="n">
        <v>0</v>
      </c>
      <c r="V97" s="678">
        <f>IFERROR(IF(U97="",0,CEILING((U97/$H97),1)*$H97),"")</f>
        <v/>
      </c>
      <c r="W97" s="42">
        <f>IFERROR(IF(V97=0,"",ROUNDUP(V97/H97,0)*0.00502),"")</f>
        <v/>
      </c>
      <c r="X97" s="69" t="inlineStr"/>
      <c r="Y97" s="70" t="inlineStr"/>
      <c r="AC97" s="71" t="n"/>
      <c r="AZ97" s="117" t="inlineStr">
        <is>
          <t>КИ</t>
        </is>
      </c>
    </row>
    <row r="98" ht="27" customHeight="1">
      <c r="A98" s="64" t="inlineStr">
        <is>
          <t>SU002309</t>
        </is>
      </c>
      <c r="B98" s="64" t="inlineStr">
        <is>
          <t>P002573</t>
        </is>
      </c>
      <c r="C98" s="37" t="n">
        <v>4301031079</v>
      </c>
      <c r="D98" s="328" t="n">
        <v>4607091384734</v>
      </c>
      <c r="E98" s="642" t="n"/>
      <c r="F98" s="674" t="n">
        <v>0.35</v>
      </c>
      <c r="G98" s="38" t="n">
        <v>6</v>
      </c>
      <c r="H98" s="674" t="n">
        <v>2.1</v>
      </c>
      <c r="I98" s="674" t="n">
        <v>2.2</v>
      </c>
      <c r="J98" s="38" t="n">
        <v>234</v>
      </c>
      <c r="K98" s="39" t="inlineStr">
        <is>
          <t>СК2</t>
        </is>
      </c>
      <c r="L98" s="38" t="n">
        <v>45</v>
      </c>
      <c r="M98" s="727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8" s="676" t="n"/>
      <c r="O98" s="676" t="n"/>
      <c r="P98" s="676" t="n"/>
      <c r="Q98" s="642" t="n"/>
      <c r="R98" s="40" t="inlineStr"/>
      <c r="S98" s="40" t="inlineStr"/>
      <c r="T98" s="41" t="inlineStr">
        <is>
          <t>кг</t>
        </is>
      </c>
      <c r="U98" s="677" t="n">
        <v>0</v>
      </c>
      <c r="V98" s="678">
        <f>IFERROR(IF(U98="",0,CEILING((U98/$H98),1)*$H98),"")</f>
        <v/>
      </c>
      <c r="W98" s="42">
        <f>IFERROR(IF(V98=0,"",ROUNDUP(V98/H98,0)*0.00502),"")</f>
        <v/>
      </c>
      <c r="X98" s="69" t="inlineStr"/>
      <c r="Y98" s="70" t="inlineStr"/>
      <c r="AC98" s="71" t="n"/>
      <c r="AZ98" s="118" t="inlineStr">
        <is>
          <t>КИ</t>
        </is>
      </c>
    </row>
    <row r="99" ht="27" customHeight="1">
      <c r="A99" s="64" t="inlineStr">
        <is>
          <t>SU001605</t>
        </is>
      </c>
      <c r="B99" s="64" t="inlineStr">
        <is>
          <t>P002180</t>
        </is>
      </c>
      <c r="C99" s="37" t="n">
        <v>4301030964</v>
      </c>
      <c r="D99" s="328" t="n">
        <v>4607091382464</v>
      </c>
      <c r="E99" s="642" t="n"/>
      <c r="F99" s="674" t="n">
        <v>0.35</v>
      </c>
      <c r="G99" s="38" t="n">
        <v>8</v>
      </c>
      <c r="H99" s="674" t="n">
        <v>2.8</v>
      </c>
      <c r="I99" s="674" t="n">
        <v>2.964</v>
      </c>
      <c r="J99" s="38" t="n">
        <v>234</v>
      </c>
      <c r="K99" s="39" t="inlineStr">
        <is>
          <t>СК2</t>
        </is>
      </c>
      <c r="L99" s="38" t="n">
        <v>40</v>
      </c>
      <c r="M99" s="728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99" s="676" t="n"/>
      <c r="O99" s="676" t="n"/>
      <c r="P99" s="676" t="n"/>
      <c r="Q99" s="642" t="n"/>
      <c r="R99" s="40" t="inlineStr"/>
      <c r="S99" s="40" t="inlineStr"/>
      <c r="T99" s="41" t="inlineStr">
        <is>
          <t>кг</t>
        </is>
      </c>
      <c r="U99" s="677" t="n">
        <v>0</v>
      </c>
      <c r="V99" s="678">
        <f>IFERROR(IF(U99="",0,CEILING((U99/$H99),1)*$H99),"")</f>
        <v/>
      </c>
      <c r="W99" s="42">
        <f>IFERROR(IF(V99=0,"",ROUNDUP(V99/H99,0)*0.00502),"")</f>
        <v/>
      </c>
      <c r="X99" s="69" t="inlineStr"/>
      <c r="Y99" s="70" t="inlineStr"/>
      <c r="AC99" s="71" t="n"/>
      <c r="AZ99" s="119" t="inlineStr">
        <is>
          <t>КИ</t>
        </is>
      </c>
    </row>
    <row r="100">
      <c r="A100" s="322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679" t="n"/>
      <c r="M100" s="680" t="inlineStr">
        <is>
          <t>Итого</t>
        </is>
      </c>
      <c r="N100" s="650" t="n"/>
      <c r="O100" s="650" t="n"/>
      <c r="P100" s="650" t="n"/>
      <c r="Q100" s="650" t="n"/>
      <c r="R100" s="650" t="n"/>
      <c r="S100" s="651" t="n"/>
      <c r="T100" s="43" t="inlineStr">
        <is>
          <t>кор</t>
        </is>
      </c>
      <c r="U100" s="681">
        <f>IFERROR(U91/H91,"0")+IFERROR(U92/H92,"0")+IFERROR(U93/H93,"0")+IFERROR(U94/H94,"0")+IFERROR(U95/H95,"0")+IFERROR(U96/H96,"0")+IFERROR(U97/H97,"0")+IFERROR(U98/H98,"0")+IFERROR(U99/H99,"0")</f>
        <v/>
      </c>
      <c r="V100" s="681">
        <f>IFERROR(V91/H91,"0")+IFERROR(V92/H92,"0")+IFERROR(V93/H93,"0")+IFERROR(V94/H94,"0")+IFERROR(V95/H95,"0")+IFERROR(V96/H96,"0")+IFERROR(V97/H97,"0")+IFERROR(V98/H98,"0")+IFERROR(V99/H99,"0")</f>
        <v/>
      </c>
      <c r="W100" s="681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/>
      </c>
      <c r="X100" s="682" t="n"/>
      <c r="Y100" s="682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679" t="n"/>
      <c r="M101" s="680" t="inlineStr">
        <is>
          <t>Итого</t>
        </is>
      </c>
      <c r="N101" s="650" t="n"/>
      <c r="O101" s="650" t="n"/>
      <c r="P101" s="650" t="n"/>
      <c r="Q101" s="650" t="n"/>
      <c r="R101" s="650" t="n"/>
      <c r="S101" s="651" t="n"/>
      <c r="T101" s="43" t="inlineStr">
        <is>
          <t>кг</t>
        </is>
      </c>
      <c r="U101" s="681">
        <f>IFERROR(SUM(U91:U99),"0")</f>
        <v/>
      </c>
      <c r="V101" s="681">
        <f>IFERROR(SUM(V91:V99),"0")</f>
        <v/>
      </c>
      <c r="W101" s="43" t="n"/>
      <c r="X101" s="682" t="n"/>
      <c r="Y101" s="682" t="n"/>
    </row>
    <row r="102" ht="14.25" customHeight="1">
      <c r="A102" s="327" t="inlineStr">
        <is>
          <t>Сосиски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327" t="n"/>
      <c r="Y102" s="327" t="n"/>
    </row>
    <row r="103" ht="27" customHeight="1">
      <c r="A103" s="64" t="inlineStr">
        <is>
          <t>SU001523</t>
        </is>
      </c>
      <c r="B103" s="64" t="inlineStr">
        <is>
          <t>P003691</t>
        </is>
      </c>
      <c r="C103" s="37" t="n">
        <v>4301051543</v>
      </c>
      <c r="D103" s="328" t="n">
        <v>4607091386967</v>
      </c>
      <c r="E103" s="642" t="n"/>
      <c r="F103" s="674" t="n">
        <v>1.4</v>
      </c>
      <c r="G103" s="38" t="n">
        <v>6</v>
      </c>
      <c r="H103" s="674" t="n">
        <v>8.4</v>
      </c>
      <c r="I103" s="674" t="n">
        <v>8.964</v>
      </c>
      <c r="J103" s="38" t="n">
        <v>56</v>
      </c>
      <c r="K103" s="39" t="inlineStr">
        <is>
          <t>СК2</t>
        </is>
      </c>
      <c r="L103" s="38" t="n">
        <v>45</v>
      </c>
      <c r="M103" s="729" t="inlineStr">
        <is>
          <t>Сосиски «Молокуши (Вязанка Молочные)» Весовые П/а мгс УВВ ТМ «Вязанка»</t>
        </is>
      </c>
      <c r="N103" s="676" t="n"/>
      <c r="O103" s="676" t="n"/>
      <c r="P103" s="676" t="n"/>
      <c r="Q103" s="642" t="n"/>
      <c r="R103" s="40" t="inlineStr"/>
      <c r="S103" s="40" t="inlineStr"/>
      <c r="T103" s="41" t="inlineStr">
        <is>
          <t>кг</t>
        </is>
      </c>
      <c r="U103" s="677" t="n">
        <v>0</v>
      </c>
      <c r="V103" s="678">
        <f>IFERROR(IF(U103="",0,CEILING((U103/$H103),1)*$H103),"")</f>
        <v/>
      </c>
      <c r="W103" s="42">
        <f>IFERROR(IF(V103=0,"",ROUNDUP(V103/H103,0)*0.02175),"")</f>
        <v/>
      </c>
      <c r="X103" s="69" t="inlineStr"/>
      <c r="Y103" s="70" t="inlineStr"/>
      <c r="AC103" s="71" t="n"/>
      <c r="AZ103" s="120" t="inlineStr">
        <is>
          <t>КИ</t>
        </is>
      </c>
    </row>
    <row r="104" ht="27" customHeight="1">
      <c r="A104" s="64" t="inlineStr">
        <is>
          <t>SU001523</t>
        </is>
      </c>
      <c r="B104" s="64" t="inlineStr">
        <is>
          <t>P003328</t>
        </is>
      </c>
      <c r="C104" s="37" t="n">
        <v>4301051437</v>
      </c>
      <c r="D104" s="328" t="n">
        <v>4607091386967</v>
      </c>
      <c r="E104" s="642" t="n"/>
      <c r="F104" s="674" t="n">
        <v>1.35</v>
      </c>
      <c r="G104" s="38" t="n">
        <v>6</v>
      </c>
      <c r="H104" s="674" t="n">
        <v>8.1</v>
      </c>
      <c r="I104" s="674" t="n">
        <v>8.664</v>
      </c>
      <c r="J104" s="38" t="n">
        <v>56</v>
      </c>
      <c r="K104" s="39" t="inlineStr">
        <is>
          <t>СК3</t>
        </is>
      </c>
      <c r="L104" s="38" t="n">
        <v>45</v>
      </c>
      <c r="M104" s="730" t="inlineStr">
        <is>
          <t>Сосиски Молокуши (Вязанка Молочные) Вязанка Весовые П/а мгс Вязанка</t>
        </is>
      </c>
      <c r="N104" s="676" t="n"/>
      <c r="O104" s="676" t="n"/>
      <c r="P104" s="676" t="n"/>
      <c r="Q104" s="642" t="n"/>
      <c r="R104" s="40" t="inlineStr"/>
      <c r="S104" s="40" t="inlineStr"/>
      <c r="T104" s="41" t="inlineStr">
        <is>
          <t>кг</t>
        </is>
      </c>
      <c r="U104" s="677" t="n">
        <v>60</v>
      </c>
      <c r="V104" s="678">
        <f>IFERROR(IF(U104="",0,CEILING((U104/$H104),1)*$H104),"")</f>
        <v/>
      </c>
      <c r="W104" s="42">
        <f>IFERROR(IF(V104=0,"",ROUNDUP(V104/H104,0)*0.02175),"")</f>
        <v/>
      </c>
      <c r="X104" s="69" t="inlineStr"/>
      <c r="Y104" s="70" t="inlineStr"/>
      <c r="AC104" s="71" t="n"/>
      <c r="AZ104" s="121" t="inlineStr">
        <is>
          <t>КИ</t>
        </is>
      </c>
    </row>
    <row r="105" ht="16.5" customHeight="1">
      <c r="A105" s="64" t="inlineStr">
        <is>
          <t>SU001351</t>
        </is>
      </c>
      <c r="B105" s="64" t="inlineStr">
        <is>
          <t>P003025</t>
        </is>
      </c>
      <c r="C105" s="37" t="n">
        <v>4301051311</v>
      </c>
      <c r="D105" s="328" t="n">
        <v>4607091385304</v>
      </c>
      <c r="E105" s="642" t="n"/>
      <c r="F105" s="674" t="n">
        <v>1.35</v>
      </c>
      <c r="G105" s="38" t="n">
        <v>6</v>
      </c>
      <c r="H105" s="674" t="n">
        <v>8.1</v>
      </c>
      <c r="I105" s="674" t="n">
        <v>8.664</v>
      </c>
      <c r="J105" s="38" t="n">
        <v>56</v>
      </c>
      <c r="K105" s="39" t="inlineStr">
        <is>
          <t>СК2</t>
        </is>
      </c>
      <c r="L105" s="38" t="n">
        <v>40</v>
      </c>
      <c r="M105" s="731">
        <f>HYPERLINK("https://abi.ru/products/Охлажденные/Вязанка/Вязанка/Сосиски/P003025/","Сосиски Рубленые Вязанка Весовые п/а мгс Вязанка")</f>
        <v/>
      </c>
      <c r="N105" s="676" t="n"/>
      <c r="O105" s="676" t="n"/>
      <c r="P105" s="676" t="n"/>
      <c r="Q105" s="642" t="n"/>
      <c r="R105" s="40" t="inlineStr"/>
      <c r="S105" s="40" t="inlineStr"/>
      <c r="T105" s="41" t="inlineStr">
        <is>
          <t>кг</t>
        </is>
      </c>
      <c r="U105" s="677" t="n">
        <v>0</v>
      </c>
      <c r="V105" s="678">
        <f>IFERROR(IF(U105="",0,CEILING((U105/$H105),1)*$H105),"")</f>
        <v/>
      </c>
      <c r="W105" s="42">
        <f>IFERROR(IF(V105=0,"",ROUNDUP(V105/H105,0)*0.02175),"")</f>
        <v/>
      </c>
      <c r="X105" s="69" t="inlineStr"/>
      <c r="Y105" s="70" t="inlineStr"/>
      <c r="AC105" s="71" t="n"/>
      <c r="AZ105" s="122" t="inlineStr">
        <is>
          <t>КИ</t>
        </is>
      </c>
    </row>
    <row r="106" ht="16.5" customHeight="1">
      <c r="A106" s="64" t="inlineStr">
        <is>
          <t>SU001527</t>
        </is>
      </c>
      <c r="B106" s="64" t="inlineStr">
        <is>
          <t>P002217</t>
        </is>
      </c>
      <c r="C106" s="37" t="n">
        <v>4301051306</v>
      </c>
      <c r="D106" s="328" t="n">
        <v>4607091386264</v>
      </c>
      <c r="E106" s="642" t="n"/>
      <c r="F106" s="674" t="n">
        <v>0.5</v>
      </c>
      <c r="G106" s="38" t="n">
        <v>6</v>
      </c>
      <c r="H106" s="674" t="n">
        <v>3</v>
      </c>
      <c r="I106" s="674" t="n">
        <v>3.278</v>
      </c>
      <c r="J106" s="38" t="n">
        <v>156</v>
      </c>
      <c r="K106" s="39" t="inlineStr">
        <is>
          <t>СК2</t>
        </is>
      </c>
      <c r="L106" s="38" t="n">
        <v>31</v>
      </c>
      <c r="M106" s="732">
        <f>HYPERLINK("https://abi.ru/products/Охлажденные/Вязанка/Вязанка/Сосиски/P002217/","Сосиски Венские Вязанка Фикс.вес 0,5 NDX мгс Вязанка")</f>
        <v/>
      </c>
      <c r="N106" s="676" t="n"/>
      <c r="O106" s="676" t="n"/>
      <c r="P106" s="676" t="n"/>
      <c r="Q106" s="642" t="n"/>
      <c r="R106" s="40" t="inlineStr"/>
      <c r="S106" s="40" t="inlineStr"/>
      <c r="T106" s="41" t="inlineStr">
        <is>
          <t>кг</t>
        </is>
      </c>
      <c r="U106" s="677" t="n">
        <v>0</v>
      </c>
      <c r="V106" s="678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71" t="n"/>
      <c r="AZ106" s="123" t="inlineStr">
        <is>
          <t>КИ</t>
        </is>
      </c>
    </row>
    <row r="107" ht="16.5" customHeight="1">
      <c r="A107" s="64" t="inlineStr">
        <is>
          <t>SU002984</t>
        </is>
      </c>
      <c r="B107" s="64" t="inlineStr">
        <is>
          <t>P003438</t>
        </is>
      </c>
      <c r="C107" s="37" t="n">
        <v>4301051476</v>
      </c>
      <c r="D107" s="328" t="n">
        <v>4680115882584</v>
      </c>
      <c r="E107" s="642" t="n"/>
      <c r="F107" s="674" t="n">
        <v>0.33</v>
      </c>
      <c r="G107" s="38" t="n">
        <v>8</v>
      </c>
      <c r="H107" s="674" t="n">
        <v>2.64</v>
      </c>
      <c r="I107" s="674" t="n">
        <v>2.928</v>
      </c>
      <c r="J107" s="38" t="n">
        <v>156</v>
      </c>
      <c r="K107" s="39" t="inlineStr">
        <is>
          <t>АК</t>
        </is>
      </c>
      <c r="L107" s="38" t="n">
        <v>60</v>
      </c>
      <c r="M107" s="733" t="inlineStr">
        <is>
          <t>Сосиски Восточные халяль ТМ Вязанка полиамид в/у ф/в 0,33 кг Казахстан АК</t>
        </is>
      </c>
      <c r="N107" s="676" t="n"/>
      <c r="O107" s="676" t="n"/>
      <c r="P107" s="676" t="n"/>
      <c r="Q107" s="642" t="n"/>
      <c r="R107" s="40" t="inlineStr"/>
      <c r="S107" s="40" t="inlineStr"/>
      <c r="T107" s="41" t="inlineStr">
        <is>
          <t>кг</t>
        </is>
      </c>
      <c r="U107" s="677" t="n">
        <v>0</v>
      </c>
      <c r="V107" s="678">
        <f>IFERROR(IF(U107="",0,CEILING((U107/$H107),1)*$H107),"")</f>
        <v/>
      </c>
      <c r="W107" s="42">
        <f>IFERROR(IF(V107=0,"",ROUNDUP(V107/H107,0)*0.00753),"")</f>
        <v/>
      </c>
      <c r="X107" s="69" t="inlineStr"/>
      <c r="Y107" s="70" t="inlineStr"/>
      <c r="AC107" s="71" t="n"/>
      <c r="AZ107" s="124" t="inlineStr">
        <is>
          <t>КИ</t>
        </is>
      </c>
    </row>
    <row r="108" ht="27" customHeight="1">
      <c r="A108" s="64" t="inlineStr">
        <is>
          <t>SU001718</t>
        </is>
      </c>
      <c r="B108" s="64" t="inlineStr">
        <is>
          <t>P003327</t>
        </is>
      </c>
      <c r="C108" s="37" t="n">
        <v>4301051436</v>
      </c>
      <c r="D108" s="328" t="n">
        <v>4607091385731</v>
      </c>
      <c r="E108" s="642" t="n"/>
      <c r="F108" s="674" t="n">
        <v>0.45</v>
      </c>
      <c r="G108" s="38" t="n">
        <v>6</v>
      </c>
      <c r="H108" s="674" t="n">
        <v>2.7</v>
      </c>
      <c r="I108" s="674" t="n">
        <v>2.972</v>
      </c>
      <c r="J108" s="38" t="n">
        <v>156</v>
      </c>
      <c r="K108" s="39" t="inlineStr">
        <is>
          <t>СК3</t>
        </is>
      </c>
      <c r="L108" s="38" t="n">
        <v>45</v>
      </c>
      <c r="M108" s="734" t="inlineStr">
        <is>
          <t>Сосиски Молокуши (Вязанка Молочные) Вязанка Фикс.вес 0,45 П/а мгс Вязанка</t>
        </is>
      </c>
      <c r="N108" s="676" t="n"/>
      <c r="O108" s="676" t="n"/>
      <c r="P108" s="676" t="n"/>
      <c r="Q108" s="642" t="n"/>
      <c r="R108" s="40" t="inlineStr"/>
      <c r="S108" s="40" t="inlineStr"/>
      <c r="T108" s="41" t="inlineStr">
        <is>
          <t>кг</t>
        </is>
      </c>
      <c r="U108" s="677" t="n">
        <v>0</v>
      </c>
      <c r="V108" s="678">
        <f>IFERROR(IF(U108="",0,CEILING((U108/$H108),1)*$H108),"")</f>
        <v/>
      </c>
      <c r="W108" s="42">
        <f>IFERROR(IF(V108=0,"",ROUNDUP(V108/H108,0)*0.00753),"")</f>
        <v/>
      </c>
      <c r="X108" s="69" t="inlineStr"/>
      <c r="Y108" s="70" t="inlineStr"/>
      <c r="AC108" s="71" t="n"/>
      <c r="AZ108" s="125" t="inlineStr">
        <is>
          <t>КИ</t>
        </is>
      </c>
    </row>
    <row r="109" ht="27" customHeight="1">
      <c r="A109" s="64" t="inlineStr">
        <is>
          <t>SU002658</t>
        </is>
      </c>
      <c r="B109" s="64" t="inlineStr">
        <is>
          <t>P003326</t>
        </is>
      </c>
      <c r="C109" s="37" t="n">
        <v>4301051439</v>
      </c>
      <c r="D109" s="328" t="n">
        <v>4680115880214</v>
      </c>
      <c r="E109" s="642" t="n"/>
      <c r="F109" s="674" t="n">
        <v>0.45</v>
      </c>
      <c r="G109" s="38" t="n">
        <v>6</v>
      </c>
      <c r="H109" s="674" t="n">
        <v>2.7</v>
      </c>
      <c r="I109" s="674" t="n">
        <v>2.988</v>
      </c>
      <c r="J109" s="38" t="n">
        <v>120</v>
      </c>
      <c r="K109" s="39" t="inlineStr">
        <is>
          <t>СК3</t>
        </is>
      </c>
      <c r="L109" s="38" t="n">
        <v>45</v>
      </c>
      <c r="M109" s="735" t="inlineStr">
        <is>
          <t>Сосиски Молокуши миникушай Вязанка Ф/в 0,45 амилюкс мгс Вязанка</t>
        </is>
      </c>
      <c r="N109" s="676" t="n"/>
      <c r="O109" s="676" t="n"/>
      <c r="P109" s="676" t="n"/>
      <c r="Q109" s="642" t="n"/>
      <c r="R109" s="40" t="inlineStr"/>
      <c r="S109" s="40" t="inlineStr"/>
      <c r="T109" s="41" t="inlineStr">
        <is>
          <t>кг</t>
        </is>
      </c>
      <c r="U109" s="677" t="n">
        <v>0</v>
      </c>
      <c r="V109" s="678">
        <f>IFERROR(IF(U109="",0,CEILING((U109/$H109),1)*$H109),"")</f>
        <v/>
      </c>
      <c r="W109" s="42">
        <f>IFERROR(IF(V109=0,"",ROUNDUP(V109/H109,0)*0.00937),"")</f>
        <v/>
      </c>
      <c r="X109" s="69" t="inlineStr"/>
      <c r="Y109" s="70" t="inlineStr"/>
      <c r="AC109" s="71" t="n"/>
      <c r="AZ109" s="126" t="inlineStr">
        <is>
          <t>КИ</t>
        </is>
      </c>
    </row>
    <row r="110" ht="27" customHeight="1">
      <c r="A110" s="64" t="inlineStr">
        <is>
          <t>SU002769</t>
        </is>
      </c>
      <c r="B110" s="64" t="inlineStr">
        <is>
          <t>P003324</t>
        </is>
      </c>
      <c r="C110" s="37" t="n">
        <v>4301051438</v>
      </c>
      <c r="D110" s="328" t="n">
        <v>4680115880894</v>
      </c>
      <c r="E110" s="642" t="n"/>
      <c r="F110" s="674" t="n">
        <v>0.33</v>
      </c>
      <c r="G110" s="38" t="n">
        <v>6</v>
      </c>
      <c r="H110" s="674" t="n">
        <v>1.98</v>
      </c>
      <c r="I110" s="674" t="n">
        <v>2.258</v>
      </c>
      <c r="J110" s="38" t="n">
        <v>156</v>
      </c>
      <c r="K110" s="39" t="inlineStr">
        <is>
          <t>СК3</t>
        </is>
      </c>
      <c r="L110" s="38" t="n">
        <v>45</v>
      </c>
      <c r="M110" s="736" t="inlineStr">
        <is>
          <t>Сосиски Молокуши Миникушай Вязанка фикс.вес 0,33 п/а Вязанка</t>
        </is>
      </c>
      <c r="N110" s="676" t="n"/>
      <c r="O110" s="676" t="n"/>
      <c r="P110" s="676" t="n"/>
      <c r="Q110" s="642" t="n"/>
      <c r="R110" s="40" t="inlineStr"/>
      <c r="S110" s="40" t="inlineStr"/>
      <c r="T110" s="41" t="inlineStr">
        <is>
          <t>кг</t>
        </is>
      </c>
      <c r="U110" s="677" t="n">
        <v>0</v>
      </c>
      <c r="V110" s="678">
        <f>IFERROR(IF(U110="",0,CEILING((U110/$H110),1)*$H110),"")</f>
        <v/>
      </c>
      <c r="W110" s="42">
        <f>IFERROR(IF(V110=0,"",ROUNDUP(V110/H110,0)*0.00753),"")</f>
        <v/>
      </c>
      <c r="X110" s="69" t="inlineStr"/>
      <c r="Y110" s="70" t="inlineStr"/>
      <c r="AC110" s="71" t="n"/>
      <c r="AZ110" s="127" t="inlineStr">
        <is>
          <t>КИ</t>
        </is>
      </c>
    </row>
    <row r="111" ht="16.5" customHeight="1">
      <c r="A111" s="64" t="inlineStr">
        <is>
          <t>SU001354</t>
        </is>
      </c>
      <c r="B111" s="64" t="inlineStr">
        <is>
          <t>P003030</t>
        </is>
      </c>
      <c r="C111" s="37" t="n">
        <v>4301051313</v>
      </c>
      <c r="D111" s="328" t="n">
        <v>4607091385427</v>
      </c>
      <c r="E111" s="642" t="n"/>
      <c r="F111" s="674" t="n">
        <v>0.5</v>
      </c>
      <c r="G111" s="38" t="n">
        <v>6</v>
      </c>
      <c r="H111" s="674" t="n">
        <v>3</v>
      </c>
      <c r="I111" s="674" t="n">
        <v>3.272</v>
      </c>
      <c r="J111" s="38" t="n">
        <v>156</v>
      </c>
      <c r="K111" s="39" t="inlineStr">
        <is>
          <t>СК2</t>
        </is>
      </c>
      <c r="L111" s="38" t="n">
        <v>40</v>
      </c>
      <c r="M111" s="737">
        <f>HYPERLINK("https://abi.ru/products/Охлажденные/Вязанка/Вязанка/Сосиски/P003030/","Сосиски Рубленые Вязанка Фикс.вес 0,5 п/а мгс Вязанка")</f>
        <v/>
      </c>
      <c r="N111" s="676" t="n"/>
      <c r="O111" s="676" t="n"/>
      <c r="P111" s="676" t="n"/>
      <c r="Q111" s="642" t="n"/>
      <c r="R111" s="40" t="inlineStr"/>
      <c r="S111" s="40" t="inlineStr"/>
      <c r="T111" s="41" t="inlineStr">
        <is>
          <t>кг</t>
        </is>
      </c>
      <c r="U111" s="677" t="n">
        <v>0</v>
      </c>
      <c r="V111" s="678">
        <f>IFERROR(IF(U111="",0,CEILING((U111/$H111),1)*$H111),"")</f>
        <v/>
      </c>
      <c r="W111" s="42">
        <f>IFERROR(IF(V111=0,"",ROUNDUP(V111/H111,0)*0.00753),"")</f>
        <v/>
      </c>
      <c r="X111" s="69" t="inlineStr"/>
      <c r="Y111" s="70" t="inlineStr"/>
      <c r="AC111" s="71" t="n"/>
      <c r="AZ111" s="128" t="inlineStr">
        <is>
          <t>КИ</t>
        </is>
      </c>
    </row>
    <row r="112" ht="16.5" customHeight="1">
      <c r="A112" s="64" t="inlineStr">
        <is>
          <t>SU002996</t>
        </is>
      </c>
      <c r="B112" s="64" t="inlineStr">
        <is>
          <t>P003464</t>
        </is>
      </c>
      <c r="C112" s="37" t="n">
        <v>4301051480</v>
      </c>
      <c r="D112" s="328" t="n">
        <v>4680115882645</v>
      </c>
      <c r="E112" s="642" t="n"/>
      <c r="F112" s="674" t="n">
        <v>0.3</v>
      </c>
      <c r="G112" s="38" t="n">
        <v>6</v>
      </c>
      <c r="H112" s="674" t="n">
        <v>1.8</v>
      </c>
      <c r="I112" s="674" t="n">
        <v>2.66</v>
      </c>
      <c r="J112" s="38" t="n">
        <v>156</v>
      </c>
      <c r="K112" s="39" t="inlineStr">
        <is>
          <t>СК2</t>
        </is>
      </c>
      <c r="L112" s="38" t="n">
        <v>40</v>
      </c>
      <c r="M112" s="738" t="inlineStr">
        <is>
          <t>Сосиски «Сливушки с сыром» ф/в 0,3 п/а ТМ «Вязанка»</t>
        </is>
      </c>
      <c r="N112" s="676" t="n"/>
      <c r="O112" s="676" t="n"/>
      <c r="P112" s="676" t="n"/>
      <c r="Q112" s="642" t="n"/>
      <c r="R112" s="40" t="inlineStr"/>
      <c r="S112" s="40" t="inlineStr"/>
      <c r="T112" s="41" t="inlineStr">
        <is>
          <t>кг</t>
        </is>
      </c>
      <c r="U112" s="677" t="n">
        <v>0</v>
      </c>
      <c r="V112" s="678">
        <f>IFERROR(IF(U112="",0,CEILING((U112/$H112),1)*$H112),"")</f>
        <v/>
      </c>
      <c r="W112" s="42">
        <f>IFERROR(IF(V112=0,"",ROUNDUP(V112/H112,0)*0.00753),"")</f>
        <v/>
      </c>
      <c r="X112" s="69" t="inlineStr"/>
      <c r="Y112" s="70" t="inlineStr"/>
      <c r="AC112" s="71" t="n"/>
      <c r="AZ112" s="129" t="inlineStr">
        <is>
          <t>КИ</t>
        </is>
      </c>
    </row>
    <row r="113">
      <c r="A113" s="322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679" t="n"/>
      <c r="M113" s="680" t="inlineStr">
        <is>
          <t>Итого</t>
        </is>
      </c>
      <c r="N113" s="650" t="n"/>
      <c r="O113" s="650" t="n"/>
      <c r="P113" s="650" t="n"/>
      <c r="Q113" s="650" t="n"/>
      <c r="R113" s="650" t="n"/>
      <c r="S113" s="651" t="n"/>
      <c r="T113" s="43" t="inlineStr">
        <is>
          <t>кор</t>
        </is>
      </c>
      <c r="U113" s="681">
        <f>IFERROR(U103/H103,"0")+IFERROR(U104/H104,"0")+IFERROR(U105/H105,"0")+IFERROR(U106/H106,"0")+IFERROR(U107/H107,"0")+IFERROR(U108/H108,"0")+IFERROR(U109/H109,"0")+IFERROR(U110/H110,"0")+IFERROR(U111/H111,"0")+IFERROR(U112/H112,"0")</f>
        <v/>
      </c>
      <c r="V113" s="681">
        <f>IFERROR(V103/H103,"0")+IFERROR(V104/H104,"0")+IFERROR(V105/H105,"0")+IFERROR(V106/H106,"0")+IFERROR(V107/H107,"0")+IFERROR(V108/H108,"0")+IFERROR(V109/H109,"0")+IFERROR(V110/H110,"0")+IFERROR(V111/H111,"0")+IFERROR(V112/H112,"0")</f>
        <v/>
      </c>
      <c r="W113" s="681">
        <f>IFERROR(IF(W103="",0,W103),"0")+IFERROR(IF(W104="",0,W104),"0")+IFERROR(IF(W105="",0,W105),"0")+IFERROR(IF(W106="",0,W106),"0")+IFERROR(IF(W107="",0,W107),"0")+IFERROR(IF(W108="",0,W108),"0")+IFERROR(IF(W109="",0,W109),"0")+IFERROR(IF(W110="",0,W110),"0")+IFERROR(IF(W111="",0,W111),"0")+IFERROR(IF(W112="",0,W112),"0")</f>
        <v/>
      </c>
      <c r="X113" s="682" t="n"/>
      <c r="Y113" s="682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679" t="n"/>
      <c r="M114" s="680" t="inlineStr">
        <is>
          <t>Итого</t>
        </is>
      </c>
      <c r="N114" s="650" t="n"/>
      <c r="O114" s="650" t="n"/>
      <c r="P114" s="650" t="n"/>
      <c r="Q114" s="650" t="n"/>
      <c r="R114" s="650" t="n"/>
      <c r="S114" s="651" t="n"/>
      <c r="T114" s="43" t="inlineStr">
        <is>
          <t>кг</t>
        </is>
      </c>
      <c r="U114" s="681">
        <f>IFERROR(SUM(U103:U112),"0")</f>
        <v/>
      </c>
      <c r="V114" s="681">
        <f>IFERROR(SUM(V103:V112),"0")</f>
        <v/>
      </c>
      <c r="W114" s="43" t="n"/>
      <c r="X114" s="682" t="n"/>
      <c r="Y114" s="682" t="n"/>
    </row>
    <row r="115" ht="14.25" customHeight="1">
      <c r="A115" s="327" t="inlineStr">
        <is>
          <t>Сардельки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327" t="n"/>
      <c r="Y115" s="327" t="n"/>
    </row>
    <row r="116" ht="27" customHeight="1">
      <c r="A116" s="64" t="inlineStr">
        <is>
          <t>SU002071</t>
        </is>
      </c>
      <c r="B116" s="64" t="inlineStr">
        <is>
          <t>P002233</t>
        </is>
      </c>
      <c r="C116" s="37" t="n">
        <v>4301060296</v>
      </c>
      <c r="D116" s="328" t="n">
        <v>4607091383065</v>
      </c>
      <c r="E116" s="642" t="n"/>
      <c r="F116" s="674" t="n">
        <v>0.83</v>
      </c>
      <c r="G116" s="38" t="n">
        <v>4</v>
      </c>
      <c r="H116" s="674" t="n">
        <v>3.32</v>
      </c>
      <c r="I116" s="674" t="n">
        <v>3.582</v>
      </c>
      <c r="J116" s="38" t="n">
        <v>120</v>
      </c>
      <c r="K116" s="39" t="inlineStr">
        <is>
          <t>СК2</t>
        </is>
      </c>
      <c r="L116" s="38" t="n">
        <v>30</v>
      </c>
      <c r="M116" s="739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6" s="676" t="n"/>
      <c r="O116" s="676" t="n"/>
      <c r="P116" s="676" t="n"/>
      <c r="Q116" s="642" t="n"/>
      <c r="R116" s="40" t="inlineStr"/>
      <c r="S116" s="40" t="inlineStr"/>
      <c r="T116" s="41" t="inlineStr">
        <is>
          <t>кг</t>
        </is>
      </c>
      <c r="U116" s="677" t="n">
        <v>0</v>
      </c>
      <c r="V116" s="678">
        <f>IFERROR(IF(U116="",0,CEILING((U116/$H116),1)*$H116),"")</f>
        <v/>
      </c>
      <c r="W116" s="42">
        <f>IFERROR(IF(V116=0,"",ROUNDUP(V116/H116,0)*0.00937),"")</f>
        <v/>
      </c>
      <c r="X116" s="69" t="inlineStr"/>
      <c r="Y116" s="70" t="inlineStr"/>
      <c r="AC116" s="71" t="n"/>
      <c r="AZ116" s="130" t="inlineStr">
        <is>
          <t>КИ</t>
        </is>
      </c>
    </row>
    <row r="117" ht="27" customHeight="1">
      <c r="A117" s="64" t="inlineStr">
        <is>
          <t>SU002835</t>
        </is>
      </c>
      <c r="B117" s="64" t="inlineStr">
        <is>
          <t>P003237</t>
        </is>
      </c>
      <c r="C117" s="37" t="n">
        <v>4301060350</v>
      </c>
      <c r="D117" s="328" t="n">
        <v>4680115881532</v>
      </c>
      <c r="E117" s="642" t="n"/>
      <c r="F117" s="674" t="n">
        <v>1.35</v>
      </c>
      <c r="G117" s="38" t="n">
        <v>6</v>
      </c>
      <c r="H117" s="674" t="n">
        <v>8.1</v>
      </c>
      <c r="I117" s="674" t="n">
        <v>8.58</v>
      </c>
      <c r="J117" s="38" t="n">
        <v>56</v>
      </c>
      <c r="K117" s="39" t="inlineStr">
        <is>
          <t>СК3</t>
        </is>
      </c>
      <c r="L117" s="38" t="n">
        <v>30</v>
      </c>
      <c r="M117" s="740">
        <f>HYPERLINK("https://abi.ru/products/Охлажденные/Вязанка/Вязанка/Сардельки/P003237/","Сардельки «Филейские» Весовые NDX мгс ТМ «Вязанка»")</f>
        <v/>
      </c>
      <c r="N117" s="676" t="n"/>
      <c r="O117" s="676" t="n"/>
      <c r="P117" s="676" t="n"/>
      <c r="Q117" s="642" t="n"/>
      <c r="R117" s="40" t="inlineStr"/>
      <c r="S117" s="40" t="inlineStr"/>
      <c r="T117" s="41" t="inlineStr">
        <is>
          <t>кг</t>
        </is>
      </c>
      <c r="U117" s="677" t="n">
        <v>0</v>
      </c>
      <c r="V117" s="678">
        <f>IFERROR(IF(U117="",0,CEILING((U117/$H117),1)*$H117),"")</f>
        <v/>
      </c>
      <c r="W117" s="42">
        <f>IFERROR(IF(V117=0,"",ROUNDUP(V117/H117,0)*0.02175),"")</f>
        <v/>
      </c>
      <c r="X117" s="69" t="inlineStr"/>
      <c r="Y117" s="70" t="inlineStr"/>
      <c r="AC117" s="71" t="n"/>
      <c r="AZ117" s="131" t="inlineStr">
        <is>
          <t>КИ</t>
        </is>
      </c>
    </row>
    <row r="118" ht="27" customHeight="1">
      <c r="A118" s="64" t="inlineStr">
        <is>
          <t>SU002997</t>
        </is>
      </c>
      <c r="B118" s="64" t="inlineStr">
        <is>
          <t>P003465</t>
        </is>
      </c>
      <c r="C118" s="37" t="n">
        <v>4301060356</v>
      </c>
      <c r="D118" s="328" t="n">
        <v>4680115882652</v>
      </c>
      <c r="E118" s="642" t="n"/>
      <c r="F118" s="674" t="n">
        <v>0.33</v>
      </c>
      <c r="G118" s="38" t="n">
        <v>6</v>
      </c>
      <c r="H118" s="674" t="n">
        <v>1.98</v>
      </c>
      <c r="I118" s="674" t="n">
        <v>2.84</v>
      </c>
      <c r="J118" s="38" t="n">
        <v>156</v>
      </c>
      <c r="K118" s="39" t="inlineStr">
        <is>
          <t>СК2</t>
        </is>
      </c>
      <c r="L118" s="38" t="n">
        <v>40</v>
      </c>
      <c r="M118" s="741" t="inlineStr">
        <is>
          <t>Сардельки «Сливушки с сыром #минидельки» ф/в 0,33 айпил ТМ «Вязанка»</t>
        </is>
      </c>
      <c r="N118" s="676" t="n"/>
      <c r="O118" s="676" t="n"/>
      <c r="P118" s="676" t="n"/>
      <c r="Q118" s="642" t="n"/>
      <c r="R118" s="40" t="inlineStr"/>
      <c r="S118" s="40" t="inlineStr"/>
      <c r="T118" s="41" t="inlineStr">
        <is>
          <t>кг</t>
        </is>
      </c>
      <c r="U118" s="677" t="n">
        <v>0</v>
      </c>
      <c r="V118" s="678">
        <f>IFERROR(IF(U118="",0,CEILING((U118/$H118),1)*$H118),"")</f>
        <v/>
      </c>
      <c r="W118" s="42">
        <f>IFERROR(IF(V118=0,"",ROUNDUP(V118/H118,0)*0.00753),"")</f>
        <v/>
      </c>
      <c r="X118" s="69" t="inlineStr"/>
      <c r="Y118" s="70" t="inlineStr"/>
      <c r="AC118" s="71" t="n"/>
      <c r="AZ118" s="132" t="inlineStr">
        <is>
          <t>КИ</t>
        </is>
      </c>
    </row>
    <row r="119" ht="16.5" customHeight="1">
      <c r="A119" s="64" t="inlineStr">
        <is>
          <t>SU002367</t>
        </is>
      </c>
      <c r="B119" s="64" t="inlineStr">
        <is>
          <t>P002644</t>
        </is>
      </c>
      <c r="C119" s="37" t="n">
        <v>4301060309</v>
      </c>
      <c r="D119" s="328" t="n">
        <v>4680115880238</v>
      </c>
      <c r="E119" s="642" t="n"/>
      <c r="F119" s="674" t="n">
        <v>0.33</v>
      </c>
      <c r="G119" s="38" t="n">
        <v>6</v>
      </c>
      <c r="H119" s="674" t="n">
        <v>1.98</v>
      </c>
      <c r="I119" s="674" t="n">
        <v>2.258</v>
      </c>
      <c r="J119" s="38" t="n">
        <v>156</v>
      </c>
      <c r="K119" s="39" t="inlineStr">
        <is>
          <t>СК2</t>
        </is>
      </c>
      <c r="L119" s="38" t="n">
        <v>40</v>
      </c>
      <c r="M119" s="742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N119" s="676" t="n"/>
      <c r="O119" s="676" t="n"/>
      <c r="P119" s="676" t="n"/>
      <c r="Q119" s="642" t="n"/>
      <c r="R119" s="40" t="inlineStr"/>
      <c r="S119" s="40" t="inlineStr"/>
      <c r="T119" s="41" t="inlineStr">
        <is>
          <t>кг</t>
        </is>
      </c>
      <c r="U119" s="677" t="n">
        <v>0</v>
      </c>
      <c r="V119" s="678">
        <f>IFERROR(IF(U119="",0,CEILING((U119/$H119),1)*$H119),"")</f>
        <v/>
      </c>
      <c r="W119" s="42">
        <f>IFERROR(IF(V119=0,"",ROUNDUP(V119/H119,0)*0.00753),"")</f>
        <v/>
      </c>
      <c r="X119" s="69" t="inlineStr"/>
      <c r="Y119" s="70" t="inlineStr"/>
      <c r="AC119" s="71" t="n"/>
      <c r="AZ119" s="133" t="inlineStr">
        <is>
          <t>КИ</t>
        </is>
      </c>
    </row>
    <row r="120" ht="27" customHeight="1">
      <c r="A120" s="64" t="inlineStr">
        <is>
          <t>SU002834</t>
        </is>
      </c>
      <c r="B120" s="64" t="inlineStr">
        <is>
          <t>P003238</t>
        </is>
      </c>
      <c r="C120" s="37" t="n">
        <v>4301060351</v>
      </c>
      <c r="D120" s="328" t="n">
        <v>4680115881464</v>
      </c>
      <c r="E120" s="642" t="n"/>
      <c r="F120" s="674" t="n">
        <v>0.4</v>
      </c>
      <c r="G120" s="38" t="n">
        <v>6</v>
      </c>
      <c r="H120" s="674" t="n">
        <v>2.4</v>
      </c>
      <c r="I120" s="674" t="n">
        <v>2.6</v>
      </c>
      <c r="J120" s="38" t="n">
        <v>156</v>
      </c>
      <c r="K120" s="39" t="inlineStr">
        <is>
          <t>СК3</t>
        </is>
      </c>
      <c r="L120" s="38" t="n">
        <v>30</v>
      </c>
      <c r="M120" s="743" t="inlineStr">
        <is>
          <t>Сардельки «Филейские» Фикс.вес 0,4 NDX мгс ТМ «Вязанка»</t>
        </is>
      </c>
      <c r="N120" s="676" t="n"/>
      <c r="O120" s="676" t="n"/>
      <c r="P120" s="676" t="n"/>
      <c r="Q120" s="642" t="n"/>
      <c r="R120" s="40" t="inlineStr"/>
      <c r="S120" s="40" t="inlineStr"/>
      <c r="T120" s="41" t="inlineStr">
        <is>
          <t>кг</t>
        </is>
      </c>
      <c r="U120" s="677" t="n">
        <v>0</v>
      </c>
      <c r="V120" s="678">
        <f>IFERROR(IF(U120="",0,CEILING((U120/$H120),1)*$H120),"")</f>
        <v/>
      </c>
      <c r="W120" s="42">
        <f>IFERROR(IF(V120=0,"",ROUNDUP(V120/H120,0)*0.00753),"")</f>
        <v/>
      </c>
      <c r="X120" s="69" t="inlineStr"/>
      <c r="Y120" s="70" t="inlineStr"/>
      <c r="AC120" s="71" t="n"/>
      <c r="AZ120" s="134" t="inlineStr">
        <is>
          <t>КИ</t>
        </is>
      </c>
    </row>
    <row r="121">
      <c r="A121" s="322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679" t="n"/>
      <c r="M121" s="680" t="inlineStr">
        <is>
          <t>Итого</t>
        </is>
      </c>
      <c r="N121" s="650" t="n"/>
      <c r="O121" s="650" t="n"/>
      <c r="P121" s="650" t="n"/>
      <c r="Q121" s="650" t="n"/>
      <c r="R121" s="650" t="n"/>
      <c r="S121" s="651" t="n"/>
      <c r="T121" s="43" t="inlineStr">
        <is>
          <t>кор</t>
        </is>
      </c>
      <c r="U121" s="681">
        <f>IFERROR(U116/H116,"0")+IFERROR(U117/H117,"0")+IFERROR(U118/H118,"0")+IFERROR(U119/H119,"0")+IFERROR(U120/H120,"0")</f>
        <v/>
      </c>
      <c r="V121" s="681">
        <f>IFERROR(V116/H116,"0")+IFERROR(V117/H117,"0")+IFERROR(V118/H118,"0")+IFERROR(V119/H119,"0")+IFERROR(V120/H120,"0")</f>
        <v/>
      </c>
      <c r="W121" s="681">
        <f>IFERROR(IF(W116="",0,W116),"0")+IFERROR(IF(W117="",0,W117),"0")+IFERROR(IF(W118="",0,W118),"0")+IFERROR(IF(W119="",0,W119),"0")+IFERROR(IF(W120="",0,W120),"0")</f>
        <v/>
      </c>
      <c r="X121" s="682" t="n"/>
      <c r="Y121" s="682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679" t="n"/>
      <c r="M122" s="680" t="inlineStr">
        <is>
          <t>Итого</t>
        </is>
      </c>
      <c r="N122" s="650" t="n"/>
      <c r="O122" s="650" t="n"/>
      <c r="P122" s="650" t="n"/>
      <c r="Q122" s="650" t="n"/>
      <c r="R122" s="650" t="n"/>
      <c r="S122" s="651" t="n"/>
      <c r="T122" s="43" t="inlineStr">
        <is>
          <t>кг</t>
        </is>
      </c>
      <c r="U122" s="681">
        <f>IFERROR(SUM(U116:U120),"0")</f>
        <v/>
      </c>
      <c r="V122" s="681">
        <f>IFERROR(SUM(V116:V120),"0")</f>
        <v/>
      </c>
      <c r="W122" s="43" t="n"/>
      <c r="X122" s="682" t="n"/>
      <c r="Y122" s="682" t="n"/>
    </row>
    <row r="123" ht="16.5" customHeight="1">
      <c r="A123" s="335" t="inlineStr">
        <is>
          <t>Сливушки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335" t="n"/>
      <c r="Y123" s="335" t="n"/>
    </row>
    <row r="124" ht="14.25" customHeight="1">
      <c r="A124" s="327" t="inlineStr">
        <is>
          <t>Сосиски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327" t="n"/>
      <c r="Y124" s="327" t="n"/>
    </row>
    <row r="125" ht="27" customHeight="1">
      <c r="A125" s="64" t="inlineStr">
        <is>
          <t>SU001721</t>
        </is>
      </c>
      <c r="B125" s="64" t="inlineStr">
        <is>
          <t>P003161</t>
        </is>
      </c>
      <c r="C125" s="37" t="n">
        <v>4301051360</v>
      </c>
      <c r="D125" s="328" t="n">
        <v>4607091385168</v>
      </c>
      <c r="E125" s="642" t="n"/>
      <c r="F125" s="674" t="n">
        <v>1.35</v>
      </c>
      <c r="G125" s="38" t="n">
        <v>6</v>
      </c>
      <c r="H125" s="674" t="n">
        <v>8.1</v>
      </c>
      <c r="I125" s="674" t="n">
        <v>8.657999999999999</v>
      </c>
      <c r="J125" s="38" t="n">
        <v>56</v>
      </c>
      <c r="K125" s="39" t="inlineStr">
        <is>
          <t>СК3</t>
        </is>
      </c>
      <c r="L125" s="38" t="n">
        <v>45</v>
      </c>
      <c r="M125" s="744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25" s="676" t="n"/>
      <c r="O125" s="676" t="n"/>
      <c r="P125" s="676" t="n"/>
      <c r="Q125" s="642" t="n"/>
      <c r="R125" s="40" t="inlineStr"/>
      <c r="S125" s="40" t="inlineStr"/>
      <c r="T125" s="41" t="inlineStr">
        <is>
          <t>кг</t>
        </is>
      </c>
      <c r="U125" s="677" t="n">
        <v>0</v>
      </c>
      <c r="V125" s="678">
        <f>IFERROR(IF(U125="",0,CEILING((U125/$H125),1)*$H125),"")</f>
        <v/>
      </c>
      <c r="W125" s="42">
        <f>IFERROR(IF(V125=0,"",ROUNDUP(V125/H125,0)*0.02175),"")</f>
        <v/>
      </c>
      <c r="X125" s="69" t="inlineStr"/>
      <c r="Y125" s="70" t="inlineStr"/>
      <c r="AC125" s="71" t="n"/>
      <c r="AZ125" s="135" t="inlineStr">
        <is>
          <t>КИ</t>
        </is>
      </c>
    </row>
    <row r="126" ht="16.5" customHeight="1">
      <c r="A126" s="64" t="inlineStr">
        <is>
          <t>SU002139</t>
        </is>
      </c>
      <c r="B126" s="64" t="inlineStr">
        <is>
          <t>P003162</t>
        </is>
      </c>
      <c r="C126" s="37" t="n">
        <v>4301051362</v>
      </c>
      <c r="D126" s="328" t="n">
        <v>4607091383256</v>
      </c>
      <c r="E126" s="642" t="n"/>
      <c r="F126" s="674" t="n">
        <v>0.33</v>
      </c>
      <c r="G126" s="38" t="n">
        <v>6</v>
      </c>
      <c r="H126" s="674" t="n">
        <v>1.98</v>
      </c>
      <c r="I126" s="674" t="n">
        <v>2.246</v>
      </c>
      <c r="J126" s="38" t="n">
        <v>156</v>
      </c>
      <c r="K126" s="39" t="inlineStr">
        <is>
          <t>СК3</t>
        </is>
      </c>
      <c r="L126" s="38" t="n">
        <v>45</v>
      </c>
      <c r="M126" s="745">
        <f>HYPERLINK("https://abi.ru/products/Охлажденные/Вязанка/Сливушки/Сосиски/P003162/","Сосиски Сливочные Сливушки Фикс.вес 0,33 П/а мгс Вязанка")</f>
        <v/>
      </c>
      <c r="N126" s="676" t="n"/>
      <c r="O126" s="676" t="n"/>
      <c r="P126" s="676" t="n"/>
      <c r="Q126" s="642" t="n"/>
      <c r="R126" s="40" t="inlineStr"/>
      <c r="S126" s="40" t="inlineStr"/>
      <c r="T126" s="41" t="inlineStr">
        <is>
          <t>кг</t>
        </is>
      </c>
      <c r="U126" s="677" t="n">
        <v>0</v>
      </c>
      <c r="V126" s="678">
        <f>IFERROR(IF(U126="",0,CEILING((U126/$H126),1)*$H126),"")</f>
        <v/>
      </c>
      <c r="W126" s="42">
        <f>IFERROR(IF(V126=0,"",ROUNDUP(V126/H126,0)*0.00753),"")</f>
        <v/>
      </c>
      <c r="X126" s="69" t="inlineStr"/>
      <c r="Y126" s="70" t="inlineStr"/>
      <c r="AC126" s="71" t="n"/>
      <c r="AZ126" s="136" t="inlineStr">
        <is>
          <t>КИ</t>
        </is>
      </c>
    </row>
    <row r="127" ht="16.5" customHeight="1">
      <c r="A127" s="64" t="inlineStr">
        <is>
          <t>SU001720</t>
        </is>
      </c>
      <c r="B127" s="64" t="inlineStr">
        <is>
          <t>P003160</t>
        </is>
      </c>
      <c r="C127" s="37" t="n">
        <v>4301051358</v>
      </c>
      <c r="D127" s="328" t="n">
        <v>4607091385748</v>
      </c>
      <c r="E127" s="642" t="n"/>
      <c r="F127" s="674" t="n">
        <v>0.45</v>
      </c>
      <c r="G127" s="38" t="n">
        <v>6</v>
      </c>
      <c r="H127" s="674" t="n">
        <v>2.7</v>
      </c>
      <c r="I127" s="674" t="n">
        <v>2.972</v>
      </c>
      <c r="J127" s="38" t="n">
        <v>156</v>
      </c>
      <c r="K127" s="39" t="inlineStr">
        <is>
          <t>СК3</t>
        </is>
      </c>
      <c r="L127" s="38" t="n">
        <v>45</v>
      </c>
      <c r="M127" s="746">
        <f>HYPERLINK("https://abi.ru/products/Охлажденные/Вязанка/Сливушки/Сосиски/P003160/","Сосиски Сливочные Сливушки Фикс.вес 0,45 П/а мгс Вязанка")</f>
        <v/>
      </c>
      <c r="N127" s="676" t="n"/>
      <c r="O127" s="676" t="n"/>
      <c r="P127" s="676" t="n"/>
      <c r="Q127" s="642" t="n"/>
      <c r="R127" s="40" t="inlineStr"/>
      <c r="S127" s="40" t="inlineStr"/>
      <c r="T127" s="41" t="inlineStr">
        <is>
          <t>кг</t>
        </is>
      </c>
      <c r="U127" s="677" t="n">
        <v>0</v>
      </c>
      <c r="V127" s="678">
        <f>IFERROR(IF(U127="",0,CEILING((U127/$H127),1)*$H127),"")</f>
        <v/>
      </c>
      <c r="W127" s="42">
        <f>IFERROR(IF(V127=0,"",ROUNDUP(V127/H127,0)*0.00753),"")</f>
        <v/>
      </c>
      <c r="X127" s="69" t="inlineStr"/>
      <c r="Y127" s="70" t="inlineStr"/>
      <c r="AC127" s="71" t="n"/>
      <c r="AZ127" s="137" t="inlineStr">
        <is>
          <t>КИ</t>
        </is>
      </c>
    </row>
    <row r="128" ht="16.5" customHeight="1">
      <c r="A128" s="64" t="inlineStr">
        <is>
          <t>SU002438</t>
        </is>
      </c>
      <c r="B128" s="64" t="inlineStr">
        <is>
          <t>P003163</t>
        </is>
      </c>
      <c r="C128" s="37" t="n">
        <v>4301051364</v>
      </c>
      <c r="D128" s="328" t="n">
        <v>4607091384581</v>
      </c>
      <c r="E128" s="642" t="n"/>
      <c r="F128" s="674" t="n">
        <v>0.67</v>
      </c>
      <c r="G128" s="38" t="n">
        <v>4</v>
      </c>
      <c r="H128" s="674" t="n">
        <v>2.68</v>
      </c>
      <c r="I128" s="674" t="n">
        <v>2.942</v>
      </c>
      <c r="J128" s="38" t="n">
        <v>120</v>
      </c>
      <c r="K128" s="39" t="inlineStr">
        <is>
          <t>СК3</t>
        </is>
      </c>
      <c r="L128" s="38" t="n">
        <v>45</v>
      </c>
      <c r="M128" s="747">
        <f>HYPERLINK("https://abi.ru/products/Охлажденные/Вязанка/Сливушки/Сосиски/P003163/","Сосиски Сливочные Сливушки Фикс.вес 0,67 П/а мгс Вязанка")</f>
        <v/>
      </c>
      <c r="N128" s="676" t="n"/>
      <c r="O128" s="676" t="n"/>
      <c r="P128" s="676" t="n"/>
      <c r="Q128" s="642" t="n"/>
      <c r="R128" s="40" t="inlineStr"/>
      <c r="S128" s="40" t="inlineStr"/>
      <c r="T128" s="41" t="inlineStr">
        <is>
          <t>кг</t>
        </is>
      </c>
      <c r="U128" s="677" t="n">
        <v>0</v>
      </c>
      <c r="V128" s="678">
        <f>IFERROR(IF(U128="",0,CEILING((U128/$H128),1)*$H128),"")</f>
        <v/>
      </c>
      <c r="W128" s="42">
        <f>IFERROR(IF(V128=0,"",ROUNDUP(V128/H128,0)*0.00937),"")</f>
        <v/>
      </c>
      <c r="X128" s="69" t="inlineStr"/>
      <c r="Y128" s="70" t="inlineStr"/>
      <c r="AC128" s="71" t="n"/>
      <c r="AZ128" s="138" t="inlineStr">
        <is>
          <t>КИ</t>
        </is>
      </c>
    </row>
    <row r="129">
      <c r="A129" s="322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679" t="n"/>
      <c r="M129" s="680" t="inlineStr">
        <is>
          <t>Итого</t>
        </is>
      </c>
      <c r="N129" s="650" t="n"/>
      <c r="O129" s="650" t="n"/>
      <c r="P129" s="650" t="n"/>
      <c r="Q129" s="650" t="n"/>
      <c r="R129" s="650" t="n"/>
      <c r="S129" s="651" t="n"/>
      <c r="T129" s="43" t="inlineStr">
        <is>
          <t>кор</t>
        </is>
      </c>
      <c r="U129" s="681">
        <f>IFERROR(U125/H125,"0")+IFERROR(U126/H126,"0")+IFERROR(U127/H127,"0")+IFERROR(U128/H128,"0")</f>
        <v/>
      </c>
      <c r="V129" s="681">
        <f>IFERROR(V125/H125,"0")+IFERROR(V126/H126,"0")+IFERROR(V127/H127,"0")+IFERROR(V128/H128,"0")</f>
        <v/>
      </c>
      <c r="W129" s="681">
        <f>IFERROR(IF(W125="",0,W125),"0")+IFERROR(IF(W126="",0,W126),"0")+IFERROR(IF(W127="",0,W127),"0")+IFERROR(IF(W128="",0,W128),"0")</f>
        <v/>
      </c>
      <c r="X129" s="682" t="n"/>
      <c r="Y129" s="682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679" t="n"/>
      <c r="M130" s="680" t="inlineStr">
        <is>
          <t>Итого</t>
        </is>
      </c>
      <c r="N130" s="650" t="n"/>
      <c r="O130" s="650" t="n"/>
      <c r="P130" s="650" t="n"/>
      <c r="Q130" s="650" t="n"/>
      <c r="R130" s="650" t="n"/>
      <c r="S130" s="651" t="n"/>
      <c r="T130" s="43" t="inlineStr">
        <is>
          <t>кг</t>
        </is>
      </c>
      <c r="U130" s="681">
        <f>IFERROR(SUM(U125:U128),"0")</f>
        <v/>
      </c>
      <c r="V130" s="681">
        <f>IFERROR(SUM(V125:V128),"0")</f>
        <v/>
      </c>
      <c r="W130" s="43" t="n"/>
      <c r="X130" s="682" t="n"/>
      <c r="Y130" s="682" t="n"/>
    </row>
    <row r="131" ht="27.75" customHeight="1">
      <c r="A131" s="341" t="inlineStr">
        <is>
          <t>Стародворье</t>
        </is>
      </c>
      <c r="B131" s="673" t="n"/>
      <c r="C131" s="673" t="n"/>
      <c r="D131" s="673" t="n"/>
      <c r="E131" s="673" t="n"/>
      <c r="F131" s="673" t="n"/>
      <c r="G131" s="673" t="n"/>
      <c r="H131" s="673" t="n"/>
      <c r="I131" s="673" t="n"/>
      <c r="J131" s="673" t="n"/>
      <c r="K131" s="673" t="n"/>
      <c r="L131" s="673" t="n"/>
      <c r="M131" s="673" t="n"/>
      <c r="N131" s="673" t="n"/>
      <c r="O131" s="673" t="n"/>
      <c r="P131" s="673" t="n"/>
      <c r="Q131" s="673" t="n"/>
      <c r="R131" s="673" t="n"/>
      <c r="S131" s="673" t="n"/>
      <c r="T131" s="673" t="n"/>
      <c r="U131" s="673" t="n"/>
      <c r="V131" s="673" t="n"/>
      <c r="W131" s="673" t="n"/>
      <c r="X131" s="55" t="n"/>
      <c r="Y131" s="55" t="n"/>
    </row>
    <row r="132" ht="16.5" customHeight="1">
      <c r="A132" s="335" t="inlineStr">
        <is>
          <t>Золоченная в печи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335" t="n"/>
      <c r="Y132" s="335" t="n"/>
    </row>
    <row r="133" ht="14.25" customHeight="1">
      <c r="A133" s="327" t="inlineStr">
        <is>
          <t>Вареные колбасы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327" t="n"/>
      <c r="Y133" s="327" t="n"/>
    </row>
    <row r="134" ht="27" customHeight="1">
      <c r="A134" s="64" t="inlineStr">
        <is>
          <t>SU002201</t>
        </is>
      </c>
      <c r="B134" s="64" t="inlineStr">
        <is>
          <t>P002567</t>
        </is>
      </c>
      <c r="C134" s="37" t="n">
        <v>4301011223</v>
      </c>
      <c r="D134" s="328" t="n">
        <v>4607091383423</v>
      </c>
      <c r="E134" s="642" t="n"/>
      <c r="F134" s="674" t="n">
        <v>1.35</v>
      </c>
      <c r="G134" s="38" t="n">
        <v>8</v>
      </c>
      <c r="H134" s="674" t="n">
        <v>10.8</v>
      </c>
      <c r="I134" s="674" t="n">
        <v>11.376</v>
      </c>
      <c r="J134" s="38" t="n">
        <v>56</v>
      </c>
      <c r="K134" s="39" t="inlineStr">
        <is>
          <t>СК3</t>
        </is>
      </c>
      <c r="L134" s="38" t="n">
        <v>35</v>
      </c>
      <c r="M134" s="748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34" s="676" t="n"/>
      <c r="O134" s="676" t="n"/>
      <c r="P134" s="676" t="n"/>
      <c r="Q134" s="642" t="n"/>
      <c r="R134" s="40" t="inlineStr"/>
      <c r="S134" s="40" t="inlineStr"/>
      <c r="T134" s="41" t="inlineStr">
        <is>
          <t>кг</t>
        </is>
      </c>
      <c r="U134" s="677" t="n">
        <v>0</v>
      </c>
      <c r="V134" s="678">
        <f>IFERROR(IF(U134="",0,CEILING((U134/$H134),1)*$H134),"")</f>
        <v/>
      </c>
      <c r="W134" s="42">
        <f>IFERROR(IF(V134=0,"",ROUNDUP(V134/H134,0)*0.02175),"")</f>
        <v/>
      </c>
      <c r="X134" s="69" t="inlineStr"/>
      <c r="Y134" s="70" t="inlineStr"/>
      <c r="AC134" s="71" t="n"/>
      <c r="AZ134" s="139" t="inlineStr">
        <is>
          <t>КИ</t>
        </is>
      </c>
    </row>
    <row r="135" ht="27" customHeight="1">
      <c r="A135" s="64" t="inlineStr">
        <is>
          <t>SU002203</t>
        </is>
      </c>
      <c r="B135" s="64" t="inlineStr">
        <is>
          <t>P002568</t>
        </is>
      </c>
      <c r="C135" s="37" t="n">
        <v>4301011338</v>
      </c>
      <c r="D135" s="328" t="n">
        <v>4607091381405</v>
      </c>
      <c r="E135" s="642" t="n"/>
      <c r="F135" s="674" t="n">
        <v>1.35</v>
      </c>
      <c r="G135" s="38" t="n">
        <v>8</v>
      </c>
      <c r="H135" s="674" t="n">
        <v>10.8</v>
      </c>
      <c r="I135" s="674" t="n">
        <v>11.376</v>
      </c>
      <c r="J135" s="38" t="n">
        <v>56</v>
      </c>
      <c r="K135" s="39" t="inlineStr">
        <is>
          <t>СК2</t>
        </is>
      </c>
      <c r="L135" s="38" t="n">
        <v>35</v>
      </c>
      <c r="M135" s="749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35" s="676" t="n"/>
      <c r="O135" s="676" t="n"/>
      <c r="P135" s="676" t="n"/>
      <c r="Q135" s="642" t="n"/>
      <c r="R135" s="40" t="inlineStr"/>
      <c r="S135" s="40" t="inlineStr"/>
      <c r="T135" s="41" t="inlineStr">
        <is>
          <t>кг</t>
        </is>
      </c>
      <c r="U135" s="677" t="n">
        <v>0</v>
      </c>
      <c r="V135" s="678">
        <f>IFERROR(IF(U135="",0,CEILING((U135/$H135),1)*$H135),"")</f>
        <v/>
      </c>
      <c r="W135" s="42">
        <f>IFERROR(IF(V135=0,"",ROUNDUP(V135/H135,0)*0.02175),"")</f>
        <v/>
      </c>
      <c r="X135" s="69" t="inlineStr"/>
      <c r="Y135" s="70" t="inlineStr"/>
      <c r="AC135" s="71" t="n"/>
      <c r="AZ135" s="140" t="inlineStr">
        <is>
          <t>КИ</t>
        </is>
      </c>
    </row>
    <row r="136" ht="27" customHeight="1">
      <c r="A136" s="64" t="inlineStr">
        <is>
          <t>SU002216</t>
        </is>
      </c>
      <c r="B136" s="64" t="inlineStr">
        <is>
          <t>P002400</t>
        </is>
      </c>
      <c r="C136" s="37" t="n">
        <v>4301011333</v>
      </c>
      <c r="D136" s="328" t="n">
        <v>4607091386516</v>
      </c>
      <c r="E136" s="642" t="n"/>
      <c r="F136" s="674" t="n">
        <v>1.4</v>
      </c>
      <c r="G136" s="38" t="n">
        <v>8</v>
      </c>
      <c r="H136" s="674" t="n">
        <v>11.2</v>
      </c>
      <c r="I136" s="674" t="n">
        <v>11.776</v>
      </c>
      <c r="J136" s="38" t="n">
        <v>56</v>
      </c>
      <c r="K136" s="39" t="inlineStr">
        <is>
          <t>СК2</t>
        </is>
      </c>
      <c r="L136" s="38" t="n">
        <v>30</v>
      </c>
      <c r="M136" s="750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6" s="676" t="n"/>
      <c r="O136" s="676" t="n"/>
      <c r="P136" s="676" t="n"/>
      <c r="Q136" s="642" t="n"/>
      <c r="R136" s="40" t="inlineStr"/>
      <c r="S136" s="40" t="inlineStr"/>
      <c r="T136" s="41" t="inlineStr">
        <is>
          <t>кг</t>
        </is>
      </c>
      <c r="U136" s="677" t="n">
        <v>0</v>
      </c>
      <c r="V136" s="678">
        <f>IFERROR(IF(U136="",0,CEILING((U136/$H136),1)*$H136),"")</f>
        <v/>
      </c>
      <c r="W136" s="42">
        <f>IFERROR(IF(V136=0,"",ROUNDUP(V136/H136,0)*0.02175),"")</f>
        <v/>
      </c>
      <c r="X136" s="69" t="inlineStr"/>
      <c r="Y136" s="70" t="inlineStr"/>
      <c r="AC136" s="71" t="n"/>
      <c r="AZ136" s="141" t="inlineStr">
        <is>
          <t>КИ</t>
        </is>
      </c>
    </row>
    <row r="137">
      <c r="A137" s="322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679" t="n"/>
      <c r="M137" s="680" t="inlineStr">
        <is>
          <t>Итого</t>
        </is>
      </c>
      <c r="N137" s="650" t="n"/>
      <c r="O137" s="650" t="n"/>
      <c r="P137" s="650" t="n"/>
      <c r="Q137" s="650" t="n"/>
      <c r="R137" s="650" t="n"/>
      <c r="S137" s="651" t="n"/>
      <c r="T137" s="43" t="inlineStr">
        <is>
          <t>кор</t>
        </is>
      </c>
      <c r="U137" s="681">
        <f>IFERROR(U134/H134,"0")+IFERROR(U135/H135,"0")+IFERROR(U136/H136,"0")</f>
        <v/>
      </c>
      <c r="V137" s="681">
        <f>IFERROR(V134/H134,"0")+IFERROR(V135/H135,"0")+IFERROR(V136/H136,"0")</f>
        <v/>
      </c>
      <c r="W137" s="681">
        <f>IFERROR(IF(W134="",0,W134),"0")+IFERROR(IF(W135="",0,W135),"0")+IFERROR(IF(W136="",0,W136),"0")</f>
        <v/>
      </c>
      <c r="X137" s="682" t="n"/>
      <c r="Y137" s="682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679" t="n"/>
      <c r="M138" s="680" t="inlineStr">
        <is>
          <t>Итого</t>
        </is>
      </c>
      <c r="N138" s="650" t="n"/>
      <c r="O138" s="650" t="n"/>
      <c r="P138" s="650" t="n"/>
      <c r="Q138" s="650" t="n"/>
      <c r="R138" s="650" t="n"/>
      <c r="S138" s="651" t="n"/>
      <c r="T138" s="43" t="inlineStr">
        <is>
          <t>кг</t>
        </is>
      </c>
      <c r="U138" s="681">
        <f>IFERROR(SUM(U134:U136),"0")</f>
        <v/>
      </c>
      <c r="V138" s="681">
        <f>IFERROR(SUM(V134:V136),"0")</f>
        <v/>
      </c>
      <c r="W138" s="43" t="n"/>
      <c r="X138" s="682" t="n"/>
      <c r="Y138" s="682" t="n"/>
    </row>
    <row r="139" ht="16.5" customHeight="1">
      <c r="A139" s="335" t="inlineStr">
        <is>
          <t>Мясорубская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335" t="n"/>
      <c r="Y139" s="335" t="n"/>
    </row>
    <row r="140" ht="14.25" customHeight="1">
      <c r="A140" s="327" t="inlineStr">
        <is>
          <t>Копченые колбасы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327" t="n"/>
      <c r="Y140" s="327" t="n"/>
    </row>
    <row r="141" ht="27" customHeight="1">
      <c r="A141" s="64" t="inlineStr">
        <is>
          <t>SU002756</t>
        </is>
      </c>
      <c r="B141" s="64" t="inlineStr">
        <is>
          <t>P003179</t>
        </is>
      </c>
      <c r="C141" s="37" t="n">
        <v>4301031191</v>
      </c>
      <c r="D141" s="328" t="n">
        <v>4680115880993</v>
      </c>
      <c r="E141" s="642" t="n"/>
      <c r="F141" s="674" t="n">
        <v>0.7</v>
      </c>
      <c r="G141" s="38" t="n">
        <v>6</v>
      </c>
      <c r="H141" s="674" t="n">
        <v>4.2</v>
      </c>
      <c r="I141" s="674" t="n">
        <v>4.46</v>
      </c>
      <c r="J141" s="38" t="n">
        <v>156</v>
      </c>
      <c r="K141" s="39" t="inlineStr">
        <is>
          <t>СК2</t>
        </is>
      </c>
      <c r="L141" s="38" t="n">
        <v>40</v>
      </c>
      <c r="M141" s="751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N141" s="676" t="n"/>
      <c r="O141" s="676" t="n"/>
      <c r="P141" s="676" t="n"/>
      <c r="Q141" s="642" t="n"/>
      <c r="R141" s="40" t="inlineStr"/>
      <c r="S141" s="40" t="inlineStr"/>
      <c r="T141" s="41" t="inlineStr">
        <is>
          <t>кг</t>
        </is>
      </c>
      <c r="U141" s="677" t="n">
        <v>0</v>
      </c>
      <c r="V141" s="678">
        <f>IFERROR(IF(U141="",0,CEILING((U141/$H141),1)*$H141),"")</f>
        <v/>
      </c>
      <c r="W141" s="42">
        <f>IFERROR(IF(V141=0,"",ROUNDUP(V141/H141,0)*0.00753),"")</f>
        <v/>
      </c>
      <c r="X141" s="69" t="inlineStr"/>
      <c r="Y141" s="70" t="inlineStr"/>
      <c r="AC141" s="71" t="n"/>
      <c r="AZ141" s="142" t="inlineStr">
        <is>
          <t>КИ</t>
        </is>
      </c>
    </row>
    <row r="142" ht="27" customHeight="1">
      <c r="A142" s="64" t="inlineStr">
        <is>
          <t>SU002876</t>
        </is>
      </c>
      <c r="B142" s="64" t="inlineStr">
        <is>
          <t>P003276</t>
        </is>
      </c>
      <c r="C142" s="37" t="n">
        <v>4301031204</v>
      </c>
      <c r="D142" s="328" t="n">
        <v>4680115881761</v>
      </c>
      <c r="E142" s="642" t="n"/>
      <c r="F142" s="674" t="n">
        <v>0.7</v>
      </c>
      <c r="G142" s="38" t="n">
        <v>6</v>
      </c>
      <c r="H142" s="674" t="n">
        <v>4.2</v>
      </c>
      <c r="I142" s="674" t="n">
        <v>4.46</v>
      </c>
      <c r="J142" s="38" t="n">
        <v>156</v>
      </c>
      <c r="K142" s="39" t="inlineStr">
        <is>
          <t>СК2</t>
        </is>
      </c>
      <c r="L142" s="38" t="n">
        <v>40</v>
      </c>
      <c r="M142" s="752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N142" s="676" t="n"/>
      <c r="O142" s="676" t="n"/>
      <c r="P142" s="676" t="n"/>
      <c r="Q142" s="642" t="n"/>
      <c r="R142" s="40" t="inlineStr"/>
      <c r="S142" s="40" t="inlineStr"/>
      <c r="T142" s="41" t="inlineStr">
        <is>
          <t>кг</t>
        </is>
      </c>
      <c r="U142" s="677" t="n">
        <v>0</v>
      </c>
      <c r="V142" s="678">
        <f>IFERROR(IF(U142="",0,CEILING((U142/$H142),1)*$H142),"")</f>
        <v/>
      </c>
      <c r="W142" s="42">
        <f>IFERROR(IF(V142=0,"",ROUNDUP(V142/H142,0)*0.00753),"")</f>
        <v/>
      </c>
      <c r="X142" s="69" t="inlineStr"/>
      <c r="Y142" s="70" t="inlineStr"/>
      <c r="AC142" s="71" t="n"/>
      <c r="AZ142" s="143" t="inlineStr">
        <is>
          <t>КИ</t>
        </is>
      </c>
    </row>
    <row r="143" ht="27" customHeight="1">
      <c r="A143" s="64" t="inlineStr">
        <is>
          <t>SU002847</t>
        </is>
      </c>
      <c r="B143" s="64" t="inlineStr">
        <is>
          <t>P003259</t>
        </is>
      </c>
      <c r="C143" s="37" t="n">
        <v>4301031201</v>
      </c>
      <c r="D143" s="328" t="n">
        <v>4680115881563</v>
      </c>
      <c r="E143" s="642" t="n"/>
      <c r="F143" s="674" t="n">
        <v>0.7</v>
      </c>
      <c r="G143" s="38" t="n">
        <v>6</v>
      </c>
      <c r="H143" s="674" t="n">
        <v>4.2</v>
      </c>
      <c r="I143" s="674" t="n">
        <v>4.4</v>
      </c>
      <c r="J143" s="38" t="n">
        <v>156</v>
      </c>
      <c r="K143" s="39" t="inlineStr">
        <is>
          <t>СК2</t>
        </is>
      </c>
      <c r="L143" s="38" t="n">
        <v>40</v>
      </c>
      <c r="M143" s="753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N143" s="676" t="n"/>
      <c r="O143" s="676" t="n"/>
      <c r="P143" s="676" t="n"/>
      <c r="Q143" s="642" t="n"/>
      <c r="R143" s="40" t="inlineStr"/>
      <c r="S143" s="40" t="inlineStr"/>
      <c r="T143" s="41" t="inlineStr">
        <is>
          <t>кг</t>
        </is>
      </c>
      <c r="U143" s="677" t="n">
        <v>0</v>
      </c>
      <c r="V143" s="678">
        <f>IFERROR(IF(U143="",0,CEILING((U143/$H143),1)*$H143),"")</f>
        <v/>
      </c>
      <c r="W143" s="42">
        <f>IFERROR(IF(V143=0,"",ROUNDUP(V143/H143,0)*0.00753),"")</f>
        <v/>
      </c>
      <c r="X143" s="69" t="inlineStr"/>
      <c r="Y143" s="70" t="inlineStr"/>
      <c r="AC143" s="71" t="n"/>
      <c r="AZ143" s="144" t="inlineStr">
        <is>
          <t>КИ</t>
        </is>
      </c>
    </row>
    <row r="144" ht="27" customHeight="1">
      <c r="A144" s="64" t="inlineStr">
        <is>
          <t>SU002660</t>
        </is>
      </c>
      <c r="B144" s="64" t="inlineStr">
        <is>
          <t>P003256</t>
        </is>
      </c>
      <c r="C144" s="37" t="n">
        <v>4301031199</v>
      </c>
      <c r="D144" s="328" t="n">
        <v>4680115880986</v>
      </c>
      <c r="E144" s="642" t="n"/>
      <c r="F144" s="674" t="n">
        <v>0.35</v>
      </c>
      <c r="G144" s="38" t="n">
        <v>6</v>
      </c>
      <c r="H144" s="674" t="n">
        <v>2.1</v>
      </c>
      <c r="I144" s="674" t="n">
        <v>2.23</v>
      </c>
      <c r="J144" s="38" t="n">
        <v>234</v>
      </c>
      <c r="K144" s="39" t="inlineStr">
        <is>
          <t>СК2</t>
        </is>
      </c>
      <c r="L144" s="38" t="n">
        <v>40</v>
      </c>
      <c r="M144" s="754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44" s="676" t="n"/>
      <c r="O144" s="676" t="n"/>
      <c r="P144" s="676" t="n"/>
      <c r="Q144" s="642" t="n"/>
      <c r="R144" s="40" t="inlineStr"/>
      <c r="S144" s="40" t="inlineStr"/>
      <c r="T144" s="41" t="inlineStr">
        <is>
          <t>кг</t>
        </is>
      </c>
      <c r="U144" s="677" t="n">
        <v>0</v>
      </c>
      <c r="V144" s="678">
        <f>IFERROR(IF(U144="",0,CEILING((U144/$H144),1)*$H144),"")</f>
        <v/>
      </c>
      <c r="W144" s="42">
        <f>IFERROR(IF(V144=0,"",ROUNDUP(V144/H144,0)*0.00502),"")</f>
        <v/>
      </c>
      <c r="X144" s="69" t="inlineStr"/>
      <c r="Y144" s="70" t="inlineStr"/>
      <c r="AC144" s="71" t="n"/>
      <c r="AZ144" s="145" t="inlineStr">
        <is>
          <t>КИ</t>
        </is>
      </c>
    </row>
    <row r="145" ht="27" customHeight="1">
      <c r="A145" s="64" t="inlineStr">
        <is>
          <t>SU002826</t>
        </is>
      </c>
      <c r="B145" s="64" t="inlineStr">
        <is>
          <t>P003178</t>
        </is>
      </c>
      <c r="C145" s="37" t="n">
        <v>4301031190</v>
      </c>
      <c r="D145" s="328" t="n">
        <v>4680115880207</v>
      </c>
      <c r="E145" s="642" t="n"/>
      <c r="F145" s="674" t="n">
        <v>0.4</v>
      </c>
      <c r="G145" s="38" t="n">
        <v>6</v>
      </c>
      <c r="H145" s="674" t="n">
        <v>2.4</v>
      </c>
      <c r="I145" s="674" t="n">
        <v>2.63</v>
      </c>
      <c r="J145" s="38" t="n">
        <v>156</v>
      </c>
      <c r="K145" s="39" t="inlineStr">
        <is>
          <t>СК2</t>
        </is>
      </c>
      <c r="L145" s="38" t="n">
        <v>40</v>
      </c>
      <c r="M145" s="755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N145" s="676" t="n"/>
      <c r="O145" s="676" t="n"/>
      <c r="P145" s="676" t="n"/>
      <c r="Q145" s="642" t="n"/>
      <c r="R145" s="40" t="inlineStr"/>
      <c r="S145" s="40" t="inlineStr"/>
      <c r="T145" s="41" t="inlineStr">
        <is>
          <t>кг</t>
        </is>
      </c>
      <c r="U145" s="677" t="n">
        <v>0</v>
      </c>
      <c r="V145" s="678">
        <f>IFERROR(IF(U145="",0,CEILING((U145/$H145),1)*$H145),"")</f>
        <v/>
      </c>
      <c r="W145" s="42">
        <f>IFERROR(IF(V145=0,"",ROUNDUP(V145/H145,0)*0.00753),"")</f>
        <v/>
      </c>
      <c r="X145" s="69" t="inlineStr"/>
      <c r="Y145" s="70" t="inlineStr"/>
      <c r="AC145" s="71" t="n"/>
      <c r="AZ145" s="146" t="inlineStr">
        <is>
          <t>КИ</t>
        </is>
      </c>
    </row>
    <row r="146" ht="27" customHeight="1">
      <c r="A146" s="64" t="inlineStr">
        <is>
          <t>SU002877</t>
        </is>
      </c>
      <c r="B146" s="64" t="inlineStr">
        <is>
          <t>P003277</t>
        </is>
      </c>
      <c r="C146" s="37" t="n">
        <v>4301031205</v>
      </c>
      <c r="D146" s="328" t="n">
        <v>4680115881785</v>
      </c>
      <c r="E146" s="642" t="n"/>
      <c r="F146" s="674" t="n">
        <v>0.35</v>
      </c>
      <c r="G146" s="38" t="n">
        <v>6</v>
      </c>
      <c r="H146" s="674" t="n">
        <v>2.1</v>
      </c>
      <c r="I146" s="674" t="n">
        <v>2.23</v>
      </c>
      <c r="J146" s="38" t="n">
        <v>234</v>
      </c>
      <c r="K146" s="39" t="inlineStr">
        <is>
          <t>СК2</t>
        </is>
      </c>
      <c r="L146" s="38" t="n">
        <v>40</v>
      </c>
      <c r="M146" s="756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N146" s="676" t="n"/>
      <c r="O146" s="676" t="n"/>
      <c r="P146" s="676" t="n"/>
      <c r="Q146" s="642" t="n"/>
      <c r="R146" s="40" t="inlineStr"/>
      <c r="S146" s="40" t="inlineStr"/>
      <c r="T146" s="41" t="inlineStr">
        <is>
          <t>кг</t>
        </is>
      </c>
      <c r="U146" s="677" t="n">
        <v>0</v>
      </c>
      <c r="V146" s="678">
        <f>IFERROR(IF(U146="",0,CEILING((U146/$H146),1)*$H146),"")</f>
        <v/>
      </c>
      <c r="W146" s="42">
        <f>IFERROR(IF(V146=0,"",ROUNDUP(V146/H146,0)*0.00502),"")</f>
        <v/>
      </c>
      <c r="X146" s="69" t="inlineStr"/>
      <c r="Y146" s="70" t="inlineStr"/>
      <c r="AC146" s="71" t="n"/>
      <c r="AZ146" s="147" t="inlineStr">
        <is>
          <t>КИ</t>
        </is>
      </c>
    </row>
    <row r="147" ht="27" customHeight="1">
      <c r="A147" s="64" t="inlineStr">
        <is>
          <t>SU002848</t>
        </is>
      </c>
      <c r="B147" s="64" t="inlineStr">
        <is>
          <t>P003260</t>
        </is>
      </c>
      <c r="C147" s="37" t="n">
        <v>4301031202</v>
      </c>
      <c r="D147" s="328" t="n">
        <v>4680115881679</v>
      </c>
      <c r="E147" s="642" t="n"/>
      <c r="F147" s="674" t="n">
        <v>0.35</v>
      </c>
      <c r="G147" s="38" t="n">
        <v>6</v>
      </c>
      <c r="H147" s="674" t="n">
        <v>2.1</v>
      </c>
      <c r="I147" s="674" t="n">
        <v>2.2</v>
      </c>
      <c r="J147" s="38" t="n">
        <v>234</v>
      </c>
      <c r="K147" s="39" t="inlineStr">
        <is>
          <t>СК2</t>
        </is>
      </c>
      <c r="L147" s="38" t="n">
        <v>40</v>
      </c>
      <c r="M147" s="757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N147" s="676" t="n"/>
      <c r="O147" s="676" t="n"/>
      <c r="P147" s="676" t="n"/>
      <c r="Q147" s="642" t="n"/>
      <c r="R147" s="40" t="inlineStr"/>
      <c r="S147" s="40" t="inlineStr"/>
      <c r="T147" s="41" t="inlineStr">
        <is>
          <t>кг</t>
        </is>
      </c>
      <c r="U147" s="677" t="n">
        <v>0</v>
      </c>
      <c r="V147" s="678">
        <f>IFERROR(IF(U147="",0,CEILING((U147/$H147),1)*$H147),"")</f>
        <v/>
      </c>
      <c r="W147" s="42">
        <f>IFERROR(IF(V147=0,"",ROUNDUP(V147/H147,0)*0.00502),"")</f>
        <v/>
      </c>
      <c r="X147" s="69" t="inlineStr"/>
      <c r="Y147" s="70" t="inlineStr"/>
      <c r="AC147" s="71" t="n"/>
      <c r="AZ147" s="148" t="inlineStr">
        <is>
          <t>КИ</t>
        </is>
      </c>
    </row>
    <row r="148" ht="27" customHeight="1">
      <c r="A148" s="64" t="inlineStr">
        <is>
          <t>SU002659</t>
        </is>
      </c>
      <c r="B148" s="64" t="inlineStr">
        <is>
          <t>P003034</t>
        </is>
      </c>
      <c r="C148" s="37" t="n">
        <v>4301031158</v>
      </c>
      <c r="D148" s="328" t="n">
        <v>4680115880191</v>
      </c>
      <c r="E148" s="642" t="n"/>
      <c r="F148" s="674" t="n">
        <v>0.4</v>
      </c>
      <c r="G148" s="38" t="n">
        <v>6</v>
      </c>
      <c r="H148" s="674" t="n">
        <v>2.4</v>
      </c>
      <c r="I148" s="674" t="n">
        <v>2.6</v>
      </c>
      <c r="J148" s="38" t="n">
        <v>156</v>
      </c>
      <c r="K148" s="39" t="inlineStr">
        <is>
          <t>СК2</t>
        </is>
      </c>
      <c r="L148" s="38" t="n">
        <v>40</v>
      </c>
      <c r="M148" s="758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N148" s="676" t="n"/>
      <c r="O148" s="676" t="n"/>
      <c r="P148" s="676" t="n"/>
      <c r="Q148" s="642" t="n"/>
      <c r="R148" s="40" t="inlineStr"/>
      <c r="S148" s="40" t="inlineStr"/>
      <c r="T148" s="41" t="inlineStr">
        <is>
          <t>кг</t>
        </is>
      </c>
      <c r="U148" s="677" t="n">
        <v>0</v>
      </c>
      <c r="V148" s="678">
        <f>IFERROR(IF(U148="",0,CEILING((U148/$H148),1)*$H148),"")</f>
        <v/>
      </c>
      <c r="W148" s="42">
        <f>IFERROR(IF(V148=0,"",ROUNDUP(V148/H148,0)*0.00753),"")</f>
        <v/>
      </c>
      <c r="X148" s="69" t="inlineStr"/>
      <c r="Y148" s="70" t="inlineStr"/>
      <c r="AC148" s="71" t="n"/>
      <c r="AZ148" s="149" t="inlineStr">
        <is>
          <t>КИ</t>
        </is>
      </c>
    </row>
    <row r="149">
      <c r="A149" s="322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679" t="n"/>
      <c r="M149" s="680" t="inlineStr">
        <is>
          <t>Итого</t>
        </is>
      </c>
      <c r="N149" s="650" t="n"/>
      <c r="O149" s="650" t="n"/>
      <c r="P149" s="650" t="n"/>
      <c r="Q149" s="650" t="n"/>
      <c r="R149" s="650" t="n"/>
      <c r="S149" s="651" t="n"/>
      <c r="T149" s="43" t="inlineStr">
        <is>
          <t>кор</t>
        </is>
      </c>
      <c r="U149" s="681">
        <f>IFERROR(U141/H141,"0")+IFERROR(U142/H142,"0")+IFERROR(U143/H143,"0")+IFERROR(U144/H144,"0")+IFERROR(U145/H145,"0")+IFERROR(U146/H146,"0")+IFERROR(U147/H147,"0")+IFERROR(U148/H148,"0")</f>
        <v/>
      </c>
      <c r="V149" s="681">
        <f>IFERROR(V141/H141,"0")+IFERROR(V142/H142,"0")+IFERROR(V143/H143,"0")+IFERROR(V144/H144,"0")+IFERROR(V145/H145,"0")+IFERROR(V146/H146,"0")+IFERROR(V147/H147,"0")+IFERROR(V148/H148,"0")</f>
        <v/>
      </c>
      <c r="W149" s="681">
        <f>IFERROR(IF(W141="",0,W141),"0")+IFERROR(IF(W142="",0,W142),"0")+IFERROR(IF(W143="",0,W143),"0")+IFERROR(IF(W144="",0,W144),"0")+IFERROR(IF(W145="",0,W145),"0")+IFERROR(IF(W146="",0,W146),"0")+IFERROR(IF(W147="",0,W147),"0")+IFERROR(IF(W148="",0,W148),"0")</f>
        <v/>
      </c>
      <c r="X149" s="682" t="n"/>
      <c r="Y149" s="682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679" t="n"/>
      <c r="M150" s="680" t="inlineStr">
        <is>
          <t>Итого</t>
        </is>
      </c>
      <c r="N150" s="650" t="n"/>
      <c r="O150" s="650" t="n"/>
      <c r="P150" s="650" t="n"/>
      <c r="Q150" s="650" t="n"/>
      <c r="R150" s="650" t="n"/>
      <c r="S150" s="651" t="n"/>
      <c r="T150" s="43" t="inlineStr">
        <is>
          <t>кг</t>
        </is>
      </c>
      <c r="U150" s="681">
        <f>IFERROR(SUM(U141:U148),"0")</f>
        <v/>
      </c>
      <c r="V150" s="681">
        <f>IFERROR(SUM(V141:V148),"0")</f>
        <v/>
      </c>
      <c r="W150" s="43" t="n"/>
      <c r="X150" s="682" t="n"/>
      <c r="Y150" s="682" t="n"/>
    </row>
    <row r="151" ht="16.5" customHeight="1">
      <c r="A151" s="335" t="inlineStr">
        <is>
          <t>Сочинка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335" t="n"/>
      <c r="Y151" s="335" t="n"/>
    </row>
    <row r="152" ht="14.25" customHeight="1">
      <c r="A152" s="327" t="inlineStr">
        <is>
          <t>Вареные колбасы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327" t="n"/>
      <c r="Y152" s="327" t="n"/>
    </row>
    <row r="153" ht="16.5" customHeight="1">
      <c r="A153" s="64" t="inlineStr">
        <is>
          <t>SU002824</t>
        </is>
      </c>
      <c r="B153" s="64" t="inlineStr">
        <is>
          <t>P003231</t>
        </is>
      </c>
      <c r="C153" s="37" t="n">
        <v>4301011450</v>
      </c>
      <c r="D153" s="328" t="n">
        <v>4680115881402</v>
      </c>
      <c r="E153" s="642" t="n"/>
      <c r="F153" s="674" t="n">
        <v>1.35</v>
      </c>
      <c r="G153" s="38" t="n">
        <v>8</v>
      </c>
      <c r="H153" s="674" t="n">
        <v>10.8</v>
      </c>
      <c r="I153" s="674" t="n">
        <v>11.28</v>
      </c>
      <c r="J153" s="38" t="n">
        <v>56</v>
      </c>
      <c r="K153" s="39" t="inlineStr">
        <is>
          <t>СК1</t>
        </is>
      </c>
      <c r="L153" s="38" t="n">
        <v>55</v>
      </c>
      <c r="M153" s="759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N153" s="676" t="n"/>
      <c r="O153" s="676" t="n"/>
      <c r="P153" s="676" t="n"/>
      <c r="Q153" s="642" t="n"/>
      <c r="R153" s="40" t="inlineStr"/>
      <c r="S153" s="40" t="inlineStr"/>
      <c r="T153" s="41" t="inlineStr">
        <is>
          <t>кг</t>
        </is>
      </c>
      <c r="U153" s="677" t="n">
        <v>0</v>
      </c>
      <c r="V153" s="678">
        <f>IFERROR(IF(U153="",0,CEILING((U153/$H153),1)*$H153),"")</f>
        <v/>
      </c>
      <c r="W153" s="42">
        <f>IFERROR(IF(V153=0,"",ROUNDUP(V153/H153,0)*0.02175),"")</f>
        <v/>
      </c>
      <c r="X153" s="69" t="inlineStr"/>
      <c r="Y153" s="70" t="inlineStr"/>
      <c r="AC153" s="71" t="n"/>
      <c r="AZ153" s="150" t="inlineStr">
        <is>
          <t>КИ</t>
        </is>
      </c>
    </row>
    <row r="154" ht="27" customHeight="1">
      <c r="A154" s="64" t="inlineStr">
        <is>
          <t>SU002823</t>
        </is>
      </c>
      <c r="B154" s="64" t="inlineStr">
        <is>
          <t>P003230</t>
        </is>
      </c>
      <c r="C154" s="37" t="n">
        <v>4301011454</v>
      </c>
      <c r="D154" s="328" t="n">
        <v>4680115881396</v>
      </c>
      <c r="E154" s="642" t="n"/>
      <c r="F154" s="674" t="n">
        <v>0.45</v>
      </c>
      <c r="G154" s="38" t="n">
        <v>6</v>
      </c>
      <c r="H154" s="674" t="n">
        <v>2.7</v>
      </c>
      <c r="I154" s="674" t="n">
        <v>2.9</v>
      </c>
      <c r="J154" s="38" t="n">
        <v>156</v>
      </c>
      <c r="K154" s="39" t="inlineStr">
        <is>
          <t>СК2</t>
        </is>
      </c>
      <c r="L154" s="38" t="n">
        <v>55</v>
      </c>
      <c r="M154" s="760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N154" s="676" t="n"/>
      <c r="O154" s="676" t="n"/>
      <c r="P154" s="676" t="n"/>
      <c r="Q154" s="642" t="n"/>
      <c r="R154" s="40" t="inlineStr"/>
      <c r="S154" s="40" t="inlineStr"/>
      <c r="T154" s="41" t="inlineStr">
        <is>
          <t>кг</t>
        </is>
      </c>
      <c r="U154" s="677" t="n">
        <v>0</v>
      </c>
      <c r="V154" s="678">
        <f>IFERROR(IF(U154="",0,CEILING((U154/$H154),1)*$H154),"")</f>
        <v/>
      </c>
      <c r="W154" s="42">
        <f>IFERROR(IF(V154=0,"",ROUNDUP(V154/H154,0)*0.00753),"")</f>
        <v/>
      </c>
      <c r="X154" s="69" t="inlineStr"/>
      <c r="Y154" s="70" t="inlineStr"/>
      <c r="AC154" s="71" t="n"/>
      <c r="AZ154" s="151" t="inlineStr">
        <is>
          <t>КИ</t>
        </is>
      </c>
    </row>
    <row r="155">
      <c r="A155" s="322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679" t="n"/>
      <c r="M155" s="680" t="inlineStr">
        <is>
          <t>Итого</t>
        </is>
      </c>
      <c r="N155" s="650" t="n"/>
      <c r="O155" s="650" t="n"/>
      <c r="P155" s="650" t="n"/>
      <c r="Q155" s="650" t="n"/>
      <c r="R155" s="650" t="n"/>
      <c r="S155" s="651" t="n"/>
      <c r="T155" s="43" t="inlineStr">
        <is>
          <t>кор</t>
        </is>
      </c>
      <c r="U155" s="681">
        <f>IFERROR(U153/H153,"0")+IFERROR(U154/H154,"0")</f>
        <v/>
      </c>
      <c r="V155" s="681">
        <f>IFERROR(V153/H153,"0")+IFERROR(V154/H154,"0")</f>
        <v/>
      </c>
      <c r="W155" s="681">
        <f>IFERROR(IF(W153="",0,W153),"0")+IFERROR(IF(W154="",0,W154),"0")</f>
        <v/>
      </c>
      <c r="X155" s="682" t="n"/>
      <c r="Y155" s="682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679" t="n"/>
      <c r="M156" s="680" t="inlineStr">
        <is>
          <t>Итого</t>
        </is>
      </c>
      <c r="N156" s="650" t="n"/>
      <c r="O156" s="650" t="n"/>
      <c r="P156" s="650" t="n"/>
      <c r="Q156" s="650" t="n"/>
      <c r="R156" s="650" t="n"/>
      <c r="S156" s="651" t="n"/>
      <c r="T156" s="43" t="inlineStr">
        <is>
          <t>кг</t>
        </is>
      </c>
      <c r="U156" s="681">
        <f>IFERROR(SUM(U153:U154),"0")</f>
        <v/>
      </c>
      <c r="V156" s="681">
        <f>IFERROR(SUM(V153:V154),"0")</f>
        <v/>
      </c>
      <c r="W156" s="43" t="n"/>
      <c r="X156" s="682" t="n"/>
      <c r="Y156" s="682" t="n"/>
    </row>
    <row r="157" ht="14.25" customHeight="1">
      <c r="A157" s="327" t="inlineStr">
        <is>
          <t>Ветчины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327" t="n"/>
      <c r="Y157" s="327" t="n"/>
    </row>
    <row r="158" ht="16.5" customHeight="1">
      <c r="A158" s="64" t="inlineStr">
        <is>
          <t>SU003068</t>
        </is>
      </c>
      <c r="B158" s="64" t="inlineStr">
        <is>
          <t>P003611</t>
        </is>
      </c>
      <c r="C158" s="37" t="n">
        <v>4301020262</v>
      </c>
      <c r="D158" s="328" t="n">
        <v>4680115882935</v>
      </c>
      <c r="E158" s="642" t="n"/>
      <c r="F158" s="674" t="n">
        <v>1.35</v>
      </c>
      <c r="G158" s="38" t="n">
        <v>8</v>
      </c>
      <c r="H158" s="674" t="n">
        <v>10.8</v>
      </c>
      <c r="I158" s="674" t="n">
        <v>11.28</v>
      </c>
      <c r="J158" s="38" t="n">
        <v>56</v>
      </c>
      <c r="K158" s="39" t="inlineStr">
        <is>
          <t>СК3</t>
        </is>
      </c>
      <c r="L158" s="38" t="n">
        <v>50</v>
      </c>
      <c r="M158" s="761" t="inlineStr">
        <is>
          <t>Ветчина «Сочинка с сочным окороком» Весовой п/а ТМ «Стародворье»</t>
        </is>
      </c>
      <c r="N158" s="676" t="n"/>
      <c r="O158" s="676" t="n"/>
      <c r="P158" s="676" t="n"/>
      <c r="Q158" s="642" t="n"/>
      <c r="R158" s="40" t="inlineStr"/>
      <c r="S158" s="40" t="inlineStr"/>
      <c r="T158" s="41" t="inlineStr">
        <is>
          <t>кг</t>
        </is>
      </c>
      <c r="U158" s="677" t="n">
        <v>0</v>
      </c>
      <c r="V158" s="678">
        <f>IFERROR(IF(U158="",0,CEILING((U158/$H158),1)*$H158),"")</f>
        <v/>
      </c>
      <c r="W158" s="42">
        <f>IFERROR(IF(V158=0,"",ROUNDUP(V158/H158,0)*0.02175),"")</f>
        <v/>
      </c>
      <c r="X158" s="69" t="inlineStr"/>
      <c r="Y158" s="70" t="inlineStr"/>
      <c r="AC158" s="71" t="n"/>
      <c r="AZ158" s="152" t="inlineStr">
        <is>
          <t>КИ</t>
        </is>
      </c>
    </row>
    <row r="159" ht="16.5" customHeight="1">
      <c r="A159" s="64" t="inlineStr">
        <is>
          <t>SU002757</t>
        </is>
      </c>
      <c r="B159" s="64" t="inlineStr">
        <is>
          <t>P003128</t>
        </is>
      </c>
      <c r="C159" s="37" t="n">
        <v>4301020220</v>
      </c>
      <c r="D159" s="328" t="n">
        <v>4680115880764</v>
      </c>
      <c r="E159" s="642" t="n"/>
      <c r="F159" s="674" t="n">
        <v>0.35</v>
      </c>
      <c r="G159" s="38" t="n">
        <v>6</v>
      </c>
      <c r="H159" s="674" t="n">
        <v>2.1</v>
      </c>
      <c r="I159" s="674" t="n">
        <v>2.3</v>
      </c>
      <c r="J159" s="38" t="n">
        <v>156</v>
      </c>
      <c r="K159" s="39" t="inlineStr">
        <is>
          <t>СК1</t>
        </is>
      </c>
      <c r="L159" s="38" t="n">
        <v>50</v>
      </c>
      <c r="M159" s="762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N159" s="676" t="n"/>
      <c r="O159" s="676" t="n"/>
      <c r="P159" s="676" t="n"/>
      <c r="Q159" s="642" t="n"/>
      <c r="R159" s="40" t="inlineStr"/>
      <c r="S159" s="40" t="inlineStr"/>
      <c r="T159" s="41" t="inlineStr">
        <is>
          <t>кг</t>
        </is>
      </c>
      <c r="U159" s="677" t="n">
        <v>0</v>
      </c>
      <c r="V159" s="678">
        <f>IFERROR(IF(U159="",0,CEILING((U159/$H159),1)*$H159),"")</f>
        <v/>
      </c>
      <c r="W159" s="42">
        <f>IFERROR(IF(V159=0,"",ROUNDUP(V159/H159,0)*0.00753),"")</f>
        <v/>
      </c>
      <c r="X159" s="69" t="inlineStr"/>
      <c r="Y159" s="70" t="inlineStr"/>
      <c r="AC159" s="71" t="n"/>
      <c r="AZ159" s="153" t="inlineStr">
        <is>
          <t>КИ</t>
        </is>
      </c>
    </row>
    <row r="160">
      <c r="A160" s="322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679" t="n"/>
      <c r="M160" s="680" t="inlineStr">
        <is>
          <t>Итого</t>
        </is>
      </c>
      <c r="N160" s="650" t="n"/>
      <c r="O160" s="650" t="n"/>
      <c r="P160" s="650" t="n"/>
      <c r="Q160" s="650" t="n"/>
      <c r="R160" s="650" t="n"/>
      <c r="S160" s="651" t="n"/>
      <c r="T160" s="43" t="inlineStr">
        <is>
          <t>кор</t>
        </is>
      </c>
      <c r="U160" s="681">
        <f>IFERROR(U158/H158,"0")+IFERROR(U159/H159,"0")</f>
        <v/>
      </c>
      <c r="V160" s="681">
        <f>IFERROR(V158/H158,"0")+IFERROR(V159/H159,"0")</f>
        <v/>
      </c>
      <c r="W160" s="681">
        <f>IFERROR(IF(W158="",0,W158),"0")+IFERROR(IF(W159="",0,W159),"0")</f>
        <v/>
      </c>
      <c r="X160" s="682" t="n"/>
      <c r="Y160" s="682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679" t="n"/>
      <c r="M161" s="680" t="inlineStr">
        <is>
          <t>Итого</t>
        </is>
      </c>
      <c r="N161" s="650" t="n"/>
      <c r="O161" s="650" t="n"/>
      <c r="P161" s="650" t="n"/>
      <c r="Q161" s="650" t="n"/>
      <c r="R161" s="650" t="n"/>
      <c r="S161" s="651" t="n"/>
      <c r="T161" s="43" t="inlineStr">
        <is>
          <t>кг</t>
        </is>
      </c>
      <c r="U161" s="681">
        <f>IFERROR(SUM(U158:U159),"0")</f>
        <v/>
      </c>
      <c r="V161" s="681">
        <f>IFERROR(SUM(V158:V159),"0")</f>
        <v/>
      </c>
      <c r="W161" s="43" t="n"/>
      <c r="X161" s="682" t="n"/>
      <c r="Y161" s="682" t="n"/>
    </row>
    <row r="162" ht="14.25" customHeight="1">
      <c r="A162" s="327" t="inlineStr">
        <is>
          <t>Копченые колбасы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327" t="n"/>
      <c r="Y162" s="327" t="n"/>
    </row>
    <row r="163" ht="27" customHeight="1">
      <c r="A163" s="64" t="inlineStr">
        <is>
          <t>SU002941</t>
        </is>
      </c>
      <c r="B163" s="64" t="inlineStr">
        <is>
          <t>P003387</t>
        </is>
      </c>
      <c r="C163" s="37" t="n">
        <v>4301031224</v>
      </c>
      <c r="D163" s="328" t="n">
        <v>4680115882683</v>
      </c>
      <c r="E163" s="642" t="n"/>
      <c r="F163" s="674" t="n">
        <v>0.9</v>
      </c>
      <c r="G163" s="38" t="n">
        <v>6</v>
      </c>
      <c r="H163" s="674" t="n">
        <v>5.4</v>
      </c>
      <c r="I163" s="674" t="n">
        <v>5.61</v>
      </c>
      <c r="J163" s="38" t="n">
        <v>120</v>
      </c>
      <c r="K163" s="39" t="inlineStr">
        <is>
          <t>СК2</t>
        </is>
      </c>
      <c r="L163" s="38" t="n">
        <v>40</v>
      </c>
      <c r="M163" s="763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N163" s="676" t="n"/>
      <c r="O163" s="676" t="n"/>
      <c r="P163" s="676" t="n"/>
      <c r="Q163" s="642" t="n"/>
      <c r="R163" s="40" t="inlineStr"/>
      <c r="S163" s="40" t="inlineStr"/>
      <c r="T163" s="41" t="inlineStr">
        <is>
          <t>кг</t>
        </is>
      </c>
      <c r="U163" s="677" t="n">
        <v>0</v>
      </c>
      <c r="V163" s="678">
        <f>IFERROR(IF(U163="",0,CEILING((U163/$H163),1)*$H163),"")</f>
        <v/>
      </c>
      <c r="W163" s="42">
        <f>IFERROR(IF(V163=0,"",ROUNDUP(V163/H163,0)*0.00937),"")</f>
        <v/>
      </c>
      <c r="X163" s="69" t="inlineStr"/>
      <c r="Y163" s="70" t="inlineStr"/>
      <c r="AC163" s="71" t="n"/>
      <c r="AZ163" s="154" t="inlineStr">
        <is>
          <t>КИ</t>
        </is>
      </c>
    </row>
    <row r="164" ht="27" customHeight="1">
      <c r="A164" s="64" t="inlineStr">
        <is>
          <t>SU002943</t>
        </is>
      </c>
      <c r="B164" s="64" t="inlineStr">
        <is>
          <t>P003401</t>
        </is>
      </c>
      <c r="C164" s="37" t="n">
        <v>4301031230</v>
      </c>
      <c r="D164" s="328" t="n">
        <v>4680115882690</v>
      </c>
      <c r="E164" s="642" t="n"/>
      <c r="F164" s="674" t="n">
        <v>0.9</v>
      </c>
      <c r="G164" s="38" t="n">
        <v>6</v>
      </c>
      <c r="H164" s="674" t="n">
        <v>5.4</v>
      </c>
      <c r="I164" s="674" t="n">
        <v>5.61</v>
      </c>
      <c r="J164" s="38" t="n">
        <v>120</v>
      </c>
      <c r="K164" s="39" t="inlineStr">
        <is>
          <t>СК2</t>
        </is>
      </c>
      <c r="L164" s="38" t="n">
        <v>40</v>
      </c>
      <c r="M164" s="764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N164" s="676" t="n"/>
      <c r="O164" s="676" t="n"/>
      <c r="P164" s="676" t="n"/>
      <c r="Q164" s="642" t="n"/>
      <c r="R164" s="40" t="inlineStr"/>
      <c r="S164" s="40" t="inlineStr"/>
      <c r="T164" s="41" t="inlineStr">
        <is>
          <t>кг</t>
        </is>
      </c>
      <c r="U164" s="677" t="n">
        <v>0</v>
      </c>
      <c r="V164" s="678">
        <f>IFERROR(IF(U164="",0,CEILING((U164/$H164),1)*$H164),"")</f>
        <v/>
      </c>
      <c r="W164" s="42">
        <f>IFERROR(IF(V164=0,"",ROUNDUP(V164/H164,0)*0.00937),"")</f>
        <v/>
      </c>
      <c r="X164" s="69" t="inlineStr"/>
      <c r="Y164" s="70" t="inlineStr"/>
      <c r="AC164" s="71" t="n"/>
      <c r="AZ164" s="155" t="inlineStr">
        <is>
          <t>КИ</t>
        </is>
      </c>
    </row>
    <row r="165" ht="27" customHeight="1">
      <c r="A165" s="64" t="inlineStr">
        <is>
          <t>SU002945</t>
        </is>
      </c>
      <c r="B165" s="64" t="inlineStr">
        <is>
          <t>P003383</t>
        </is>
      </c>
      <c r="C165" s="37" t="n">
        <v>4301031220</v>
      </c>
      <c r="D165" s="328" t="n">
        <v>4680115882669</v>
      </c>
      <c r="E165" s="642" t="n"/>
      <c r="F165" s="674" t="n">
        <v>0.9</v>
      </c>
      <c r="G165" s="38" t="n">
        <v>6</v>
      </c>
      <c r="H165" s="674" t="n">
        <v>5.4</v>
      </c>
      <c r="I165" s="674" t="n">
        <v>5.61</v>
      </c>
      <c r="J165" s="38" t="n">
        <v>120</v>
      </c>
      <c r="K165" s="39" t="inlineStr">
        <is>
          <t>СК2</t>
        </is>
      </c>
      <c r="L165" s="38" t="n">
        <v>40</v>
      </c>
      <c r="M165" s="765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N165" s="676" t="n"/>
      <c r="O165" s="676" t="n"/>
      <c r="P165" s="676" t="n"/>
      <c r="Q165" s="642" t="n"/>
      <c r="R165" s="40" t="inlineStr"/>
      <c r="S165" s="40" t="inlineStr"/>
      <c r="T165" s="41" t="inlineStr">
        <is>
          <t>кг</t>
        </is>
      </c>
      <c r="U165" s="677" t="n">
        <v>0</v>
      </c>
      <c r="V165" s="678">
        <f>IFERROR(IF(U165="",0,CEILING((U165/$H165),1)*$H165),"")</f>
        <v/>
      </c>
      <c r="W165" s="42">
        <f>IFERROR(IF(V165=0,"",ROUNDUP(V165/H165,0)*0.00937),"")</f>
        <v/>
      </c>
      <c r="X165" s="69" t="inlineStr"/>
      <c r="Y165" s="70" t="inlineStr"/>
      <c r="AC165" s="71" t="n"/>
      <c r="AZ165" s="156" t="inlineStr">
        <is>
          <t>КИ</t>
        </is>
      </c>
    </row>
    <row r="166" ht="27" customHeight="1">
      <c r="A166" s="64" t="inlineStr">
        <is>
          <t>SU002947</t>
        </is>
      </c>
      <c r="B166" s="64" t="inlineStr">
        <is>
          <t>P003384</t>
        </is>
      </c>
      <c r="C166" s="37" t="n">
        <v>4301031221</v>
      </c>
      <c r="D166" s="328" t="n">
        <v>4680115882676</v>
      </c>
      <c r="E166" s="642" t="n"/>
      <c r="F166" s="674" t="n">
        <v>0.9</v>
      </c>
      <c r="G166" s="38" t="n">
        <v>6</v>
      </c>
      <c r="H166" s="674" t="n">
        <v>5.4</v>
      </c>
      <c r="I166" s="674" t="n">
        <v>5.61</v>
      </c>
      <c r="J166" s="38" t="n">
        <v>120</v>
      </c>
      <c r="K166" s="39" t="inlineStr">
        <is>
          <t>СК2</t>
        </is>
      </c>
      <c r="L166" s="38" t="n">
        <v>40</v>
      </c>
      <c r="M166" s="766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N166" s="676" t="n"/>
      <c r="O166" s="676" t="n"/>
      <c r="P166" s="676" t="n"/>
      <c r="Q166" s="642" t="n"/>
      <c r="R166" s="40" t="inlineStr"/>
      <c r="S166" s="40" t="inlineStr"/>
      <c r="T166" s="41" t="inlineStr">
        <is>
          <t>кг</t>
        </is>
      </c>
      <c r="U166" s="677" t="n">
        <v>0</v>
      </c>
      <c r="V166" s="678">
        <f>IFERROR(IF(U166="",0,CEILING((U166/$H166),1)*$H166),"")</f>
        <v/>
      </c>
      <c r="W166" s="42">
        <f>IFERROR(IF(V166=0,"",ROUNDUP(V166/H166,0)*0.00937),"")</f>
        <v/>
      </c>
      <c r="X166" s="69" t="inlineStr"/>
      <c r="Y166" s="70" t="inlineStr"/>
      <c r="AC166" s="71" t="n"/>
      <c r="AZ166" s="157" t="inlineStr">
        <is>
          <t>КИ</t>
        </is>
      </c>
    </row>
    <row r="167">
      <c r="A167" s="322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679" t="n"/>
      <c r="M167" s="680" t="inlineStr">
        <is>
          <t>Итого</t>
        </is>
      </c>
      <c r="N167" s="650" t="n"/>
      <c r="O167" s="650" t="n"/>
      <c r="P167" s="650" t="n"/>
      <c r="Q167" s="650" t="n"/>
      <c r="R167" s="650" t="n"/>
      <c r="S167" s="651" t="n"/>
      <c r="T167" s="43" t="inlineStr">
        <is>
          <t>кор</t>
        </is>
      </c>
      <c r="U167" s="681">
        <f>IFERROR(U163/H163,"0")+IFERROR(U164/H164,"0")+IFERROR(U165/H165,"0")+IFERROR(U166/H166,"0")</f>
        <v/>
      </c>
      <c r="V167" s="681">
        <f>IFERROR(V163/H163,"0")+IFERROR(V164/H164,"0")+IFERROR(V165/H165,"0")+IFERROR(V166/H166,"0")</f>
        <v/>
      </c>
      <c r="W167" s="681">
        <f>IFERROR(IF(W163="",0,W163),"0")+IFERROR(IF(W164="",0,W164),"0")+IFERROR(IF(W165="",0,W165),"0")+IFERROR(IF(W166="",0,W166),"0")</f>
        <v/>
      </c>
      <c r="X167" s="682" t="n"/>
      <c r="Y167" s="682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679" t="n"/>
      <c r="M168" s="680" t="inlineStr">
        <is>
          <t>Итого</t>
        </is>
      </c>
      <c r="N168" s="650" t="n"/>
      <c r="O168" s="650" t="n"/>
      <c r="P168" s="650" t="n"/>
      <c r="Q168" s="650" t="n"/>
      <c r="R168" s="650" t="n"/>
      <c r="S168" s="651" t="n"/>
      <c r="T168" s="43" t="inlineStr">
        <is>
          <t>кг</t>
        </is>
      </c>
      <c r="U168" s="681">
        <f>IFERROR(SUM(U163:U166),"0")</f>
        <v/>
      </c>
      <c r="V168" s="681">
        <f>IFERROR(SUM(V163:V166),"0")</f>
        <v/>
      </c>
      <c r="W168" s="43" t="n"/>
      <c r="X168" s="682" t="n"/>
      <c r="Y168" s="682" t="n"/>
    </row>
    <row r="169" ht="14.25" customHeight="1">
      <c r="A169" s="327" t="inlineStr">
        <is>
          <t>Сосиски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327" t="n"/>
      <c r="Y169" s="327" t="n"/>
    </row>
    <row r="170" ht="27" customHeight="1">
      <c r="A170" s="64" t="inlineStr">
        <is>
          <t>SU002857</t>
        </is>
      </c>
      <c r="B170" s="64" t="inlineStr">
        <is>
          <t>P003264</t>
        </is>
      </c>
      <c r="C170" s="37" t="n">
        <v>4301051409</v>
      </c>
      <c r="D170" s="328" t="n">
        <v>4680115881556</v>
      </c>
      <c r="E170" s="642" t="n"/>
      <c r="F170" s="674" t="n">
        <v>1</v>
      </c>
      <c r="G170" s="38" t="n">
        <v>4</v>
      </c>
      <c r="H170" s="674" t="n">
        <v>4</v>
      </c>
      <c r="I170" s="674" t="n">
        <v>4.408</v>
      </c>
      <c r="J170" s="38" t="n">
        <v>104</v>
      </c>
      <c r="K170" s="39" t="inlineStr">
        <is>
          <t>СК3</t>
        </is>
      </c>
      <c r="L170" s="38" t="n">
        <v>45</v>
      </c>
      <c r="M170" s="767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N170" s="676" t="n"/>
      <c r="O170" s="676" t="n"/>
      <c r="P170" s="676" t="n"/>
      <c r="Q170" s="642" t="n"/>
      <c r="R170" s="40" t="inlineStr"/>
      <c r="S170" s="40" t="inlineStr"/>
      <c r="T170" s="41" t="inlineStr">
        <is>
          <t>кг</t>
        </is>
      </c>
      <c r="U170" s="677" t="n">
        <v>0</v>
      </c>
      <c r="V170" s="678">
        <f>IFERROR(IF(U170="",0,CEILING((U170/$H170),1)*$H170),"")</f>
        <v/>
      </c>
      <c r="W170" s="42">
        <f>IFERROR(IF(V170=0,"",ROUNDUP(V170/H170,0)*0.01196),"")</f>
        <v/>
      </c>
      <c r="X170" s="69" t="inlineStr"/>
      <c r="Y170" s="70" t="inlineStr"/>
      <c r="AC170" s="71" t="n"/>
      <c r="AZ170" s="158" t="inlineStr">
        <is>
          <t>КИ</t>
        </is>
      </c>
    </row>
    <row r="171" ht="16.5" customHeight="1">
      <c r="A171" s="64" t="inlineStr">
        <is>
          <t>SU002725</t>
        </is>
      </c>
      <c r="B171" s="64" t="inlineStr">
        <is>
          <t>P003672</t>
        </is>
      </c>
      <c r="C171" s="37" t="n">
        <v>4301051538</v>
      </c>
      <c r="D171" s="328" t="n">
        <v>4680115880573</v>
      </c>
      <c r="E171" s="642" t="n"/>
      <c r="F171" s="674" t="n">
        <v>1.45</v>
      </c>
      <c r="G171" s="38" t="n">
        <v>6</v>
      </c>
      <c r="H171" s="674" t="n">
        <v>8.699999999999999</v>
      </c>
      <c r="I171" s="674" t="n">
        <v>9.263999999999999</v>
      </c>
      <c r="J171" s="38" t="n">
        <v>56</v>
      </c>
      <c r="K171" s="39" t="inlineStr">
        <is>
          <t>СК2</t>
        </is>
      </c>
      <c r="L171" s="38" t="n">
        <v>45</v>
      </c>
      <c r="M171" s="768" t="inlineStr">
        <is>
          <t>Сосиски «Сочинки» Весовой п/а ТМ «Стародворье»</t>
        </is>
      </c>
      <c r="N171" s="676" t="n"/>
      <c r="O171" s="676" t="n"/>
      <c r="P171" s="676" t="n"/>
      <c r="Q171" s="642" t="n"/>
      <c r="R171" s="40" t="inlineStr"/>
      <c r="S171" s="40" t="inlineStr"/>
      <c r="T171" s="41" t="inlineStr">
        <is>
          <t>кг</t>
        </is>
      </c>
      <c r="U171" s="677" t="n">
        <v>0</v>
      </c>
      <c r="V171" s="678">
        <f>IFERROR(IF(U171="",0,CEILING((U171/$H171),1)*$H171),"")</f>
        <v/>
      </c>
      <c r="W171" s="42">
        <f>IFERROR(IF(V171=0,"",ROUNDUP(V171/H171,0)*0.02175),"")</f>
        <v/>
      </c>
      <c r="X171" s="69" t="inlineStr"/>
      <c r="Y171" s="70" t="inlineStr"/>
      <c r="AC171" s="71" t="n"/>
      <c r="AZ171" s="159" t="inlineStr">
        <is>
          <t>КИ</t>
        </is>
      </c>
    </row>
    <row r="172" ht="27" customHeight="1">
      <c r="A172" s="64" t="inlineStr">
        <is>
          <t>SU002843</t>
        </is>
      </c>
      <c r="B172" s="64" t="inlineStr">
        <is>
          <t>P003263</t>
        </is>
      </c>
      <c r="C172" s="37" t="n">
        <v>4301051408</v>
      </c>
      <c r="D172" s="328" t="n">
        <v>4680115881594</v>
      </c>
      <c r="E172" s="642" t="n"/>
      <c r="F172" s="674" t="n">
        <v>1.35</v>
      </c>
      <c r="G172" s="38" t="n">
        <v>6</v>
      </c>
      <c r="H172" s="674" t="n">
        <v>8.1</v>
      </c>
      <c r="I172" s="674" t="n">
        <v>8.664</v>
      </c>
      <c r="J172" s="38" t="n">
        <v>56</v>
      </c>
      <c r="K172" s="39" t="inlineStr">
        <is>
          <t>СК3</t>
        </is>
      </c>
      <c r="L172" s="38" t="n">
        <v>40</v>
      </c>
      <c r="M172" s="769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N172" s="676" t="n"/>
      <c r="O172" s="676" t="n"/>
      <c r="P172" s="676" t="n"/>
      <c r="Q172" s="642" t="n"/>
      <c r="R172" s="40" t="inlineStr"/>
      <c r="S172" s="40" t="inlineStr"/>
      <c r="T172" s="41" t="inlineStr">
        <is>
          <t>кг</t>
        </is>
      </c>
      <c r="U172" s="677" t="n">
        <v>0</v>
      </c>
      <c r="V172" s="678">
        <f>IFERROR(IF(U172="",0,CEILING((U172/$H172),1)*$H172),"")</f>
        <v/>
      </c>
      <c r="W172" s="42">
        <f>IFERROR(IF(V172=0,"",ROUNDUP(V172/H172,0)*0.02175),"")</f>
        <v/>
      </c>
      <c r="X172" s="69" t="inlineStr"/>
      <c r="Y172" s="70" t="inlineStr"/>
      <c r="AC172" s="71" t="n"/>
      <c r="AZ172" s="160" t="inlineStr">
        <is>
          <t>КИ</t>
        </is>
      </c>
    </row>
    <row r="173" ht="27" customHeight="1">
      <c r="A173" s="64" t="inlineStr">
        <is>
          <t>SU002858</t>
        </is>
      </c>
      <c r="B173" s="64" t="inlineStr">
        <is>
          <t>P003322</t>
        </is>
      </c>
      <c r="C173" s="37" t="n">
        <v>4301051433</v>
      </c>
      <c r="D173" s="328" t="n">
        <v>4680115881587</v>
      </c>
      <c r="E173" s="642" t="n"/>
      <c r="F173" s="674" t="n">
        <v>1</v>
      </c>
      <c r="G173" s="38" t="n">
        <v>4</v>
      </c>
      <c r="H173" s="674" t="n">
        <v>4</v>
      </c>
      <c r="I173" s="674" t="n">
        <v>4.408</v>
      </c>
      <c r="J173" s="38" t="n">
        <v>104</v>
      </c>
      <c r="K173" s="39" t="inlineStr">
        <is>
          <t>СК2</t>
        </is>
      </c>
      <c r="L173" s="38" t="n">
        <v>35</v>
      </c>
      <c r="M173" s="770">
        <f>HYPERLINK("https://abi.ru/products/Охлажденные/Стародворье/Сочинка/Сосиски/P003322/","Сосиски Сочинки по-баварски с сыром Бордо Весовой п/а Стародворье")</f>
        <v/>
      </c>
      <c r="N173" s="676" t="n"/>
      <c r="O173" s="676" t="n"/>
      <c r="P173" s="676" t="n"/>
      <c r="Q173" s="642" t="n"/>
      <c r="R173" s="40" t="inlineStr"/>
      <c r="S173" s="40" t="inlineStr"/>
      <c r="T173" s="41" t="inlineStr">
        <is>
          <t>кг</t>
        </is>
      </c>
      <c r="U173" s="677" t="n">
        <v>0</v>
      </c>
      <c r="V173" s="678">
        <f>IFERROR(IF(U173="",0,CEILING((U173/$H173),1)*$H173),"")</f>
        <v/>
      </c>
      <c r="W173" s="42">
        <f>IFERROR(IF(V173=0,"",ROUNDUP(V173/H173,0)*0.01196),"")</f>
        <v/>
      </c>
      <c r="X173" s="69" t="inlineStr"/>
      <c r="Y173" s="70" t="inlineStr"/>
      <c r="AC173" s="71" t="n"/>
      <c r="AZ173" s="161" t="inlineStr">
        <is>
          <t>КИ</t>
        </is>
      </c>
    </row>
    <row r="174" ht="16.5" customHeight="1">
      <c r="A174" s="64" t="inlineStr">
        <is>
          <t>SU002795</t>
        </is>
      </c>
      <c r="B174" s="64" t="inlineStr">
        <is>
          <t>P003203</t>
        </is>
      </c>
      <c r="C174" s="37" t="n">
        <v>4301051380</v>
      </c>
      <c r="D174" s="328" t="n">
        <v>4680115880962</v>
      </c>
      <c r="E174" s="642" t="n"/>
      <c r="F174" s="674" t="n">
        <v>1.3</v>
      </c>
      <c r="G174" s="38" t="n">
        <v>6</v>
      </c>
      <c r="H174" s="674" t="n">
        <v>7.8</v>
      </c>
      <c r="I174" s="674" t="n">
        <v>8.364000000000001</v>
      </c>
      <c r="J174" s="38" t="n">
        <v>56</v>
      </c>
      <c r="K174" s="39" t="inlineStr">
        <is>
          <t>СК2</t>
        </is>
      </c>
      <c r="L174" s="38" t="n">
        <v>40</v>
      </c>
      <c r="M174" s="771">
        <f>HYPERLINK("https://abi.ru/products/Охлажденные/Стародворье/Сочинка/Сосиски/P003203/","Сосиски Сочинки с сыром Бордо Весовой п/а Стародворье")</f>
        <v/>
      </c>
      <c r="N174" s="676" t="n"/>
      <c r="O174" s="676" t="n"/>
      <c r="P174" s="676" t="n"/>
      <c r="Q174" s="642" t="n"/>
      <c r="R174" s="40" t="inlineStr"/>
      <c r="S174" s="40" t="inlineStr"/>
      <c r="T174" s="41" t="inlineStr">
        <is>
          <t>кг</t>
        </is>
      </c>
      <c r="U174" s="677" t="n">
        <v>0</v>
      </c>
      <c r="V174" s="678">
        <f>IFERROR(IF(U174="",0,CEILING((U174/$H174),1)*$H174),"")</f>
        <v/>
      </c>
      <c r="W174" s="42">
        <f>IFERROR(IF(V174=0,"",ROUNDUP(V174/H174,0)*0.02175),"")</f>
        <v/>
      </c>
      <c r="X174" s="69" t="inlineStr"/>
      <c r="Y174" s="70" t="inlineStr"/>
      <c r="AC174" s="71" t="n"/>
      <c r="AZ174" s="162" t="inlineStr">
        <is>
          <t>КИ</t>
        </is>
      </c>
    </row>
    <row r="175" ht="27" customHeight="1">
      <c r="A175" s="64" t="inlineStr">
        <is>
          <t>SU002845</t>
        </is>
      </c>
      <c r="B175" s="64" t="inlineStr">
        <is>
          <t>P003266</t>
        </is>
      </c>
      <c r="C175" s="37" t="n">
        <v>4301051411</v>
      </c>
      <c r="D175" s="328" t="n">
        <v>4680115881617</v>
      </c>
      <c r="E175" s="642" t="n"/>
      <c r="F175" s="674" t="n">
        <v>1.35</v>
      </c>
      <c r="G175" s="38" t="n">
        <v>6</v>
      </c>
      <c r="H175" s="674" t="n">
        <v>8.1</v>
      </c>
      <c r="I175" s="674" t="n">
        <v>8.646000000000001</v>
      </c>
      <c r="J175" s="38" t="n">
        <v>56</v>
      </c>
      <c r="K175" s="39" t="inlineStr">
        <is>
          <t>СК3</t>
        </is>
      </c>
      <c r="L175" s="38" t="n">
        <v>40</v>
      </c>
      <c r="M175" s="772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N175" s="676" t="n"/>
      <c r="O175" s="676" t="n"/>
      <c r="P175" s="676" t="n"/>
      <c r="Q175" s="642" t="n"/>
      <c r="R175" s="40" t="inlineStr"/>
      <c r="S175" s="40" t="inlineStr"/>
      <c r="T175" s="41" t="inlineStr">
        <is>
          <t>кг</t>
        </is>
      </c>
      <c r="U175" s="677" t="n">
        <v>0</v>
      </c>
      <c r="V175" s="678">
        <f>IFERROR(IF(U175="",0,CEILING((U175/$H175),1)*$H175),"")</f>
        <v/>
      </c>
      <c r="W175" s="42">
        <f>IFERROR(IF(V175=0,"",ROUNDUP(V175/H175,0)*0.02175),"")</f>
        <v/>
      </c>
      <c r="X175" s="69" t="inlineStr"/>
      <c r="Y175" s="70" t="inlineStr"/>
      <c r="AC175" s="71" t="n"/>
      <c r="AZ175" s="163" t="inlineStr">
        <is>
          <t>КИ</t>
        </is>
      </c>
    </row>
    <row r="176" ht="27" customHeight="1">
      <c r="A176" s="64" t="inlineStr">
        <is>
          <t>SU002801</t>
        </is>
      </c>
      <c r="B176" s="64" t="inlineStr">
        <is>
          <t>P003200</t>
        </is>
      </c>
      <c r="C176" s="37" t="n">
        <v>4301051377</v>
      </c>
      <c r="D176" s="328" t="n">
        <v>4680115881228</v>
      </c>
      <c r="E176" s="642" t="n"/>
      <c r="F176" s="674" t="n">
        <v>0.4</v>
      </c>
      <c r="G176" s="38" t="n">
        <v>6</v>
      </c>
      <c r="H176" s="674" t="n">
        <v>2.4</v>
      </c>
      <c r="I176" s="674" t="n">
        <v>2.6</v>
      </c>
      <c r="J176" s="38" t="n">
        <v>156</v>
      </c>
      <c r="K176" s="39" t="inlineStr">
        <is>
          <t>СК2</t>
        </is>
      </c>
      <c r="L176" s="38" t="n">
        <v>35</v>
      </c>
      <c r="M176" s="773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/>
      </c>
      <c r="N176" s="676" t="n"/>
      <c r="O176" s="676" t="n"/>
      <c r="P176" s="676" t="n"/>
      <c r="Q176" s="642" t="n"/>
      <c r="R176" s="40" t="inlineStr"/>
      <c r="S176" s="40" t="inlineStr"/>
      <c r="T176" s="41" t="inlineStr">
        <is>
          <t>кг</t>
        </is>
      </c>
      <c r="U176" s="677" t="n">
        <v>0</v>
      </c>
      <c r="V176" s="678">
        <f>IFERROR(IF(U176="",0,CEILING((U176/$H176),1)*$H176),"")</f>
        <v/>
      </c>
      <c r="W176" s="42">
        <f>IFERROR(IF(V176=0,"",ROUNDUP(V176/H176,0)*0.00753),"")</f>
        <v/>
      </c>
      <c r="X176" s="69" t="inlineStr"/>
      <c r="Y176" s="70" t="inlineStr"/>
      <c r="AC176" s="71" t="n"/>
      <c r="AZ176" s="164" t="inlineStr">
        <is>
          <t>КИ</t>
        </is>
      </c>
    </row>
    <row r="177" ht="27" customHeight="1">
      <c r="A177" s="64" t="inlineStr">
        <is>
          <t>SU002802</t>
        </is>
      </c>
      <c r="B177" s="64" t="inlineStr">
        <is>
          <t>P003321</t>
        </is>
      </c>
      <c r="C177" s="37" t="n">
        <v>4301051432</v>
      </c>
      <c r="D177" s="328" t="n">
        <v>4680115881037</v>
      </c>
      <c r="E177" s="642" t="n"/>
      <c r="F177" s="674" t="n">
        <v>0.84</v>
      </c>
      <c r="G177" s="38" t="n">
        <v>4</v>
      </c>
      <c r="H177" s="674" t="n">
        <v>3.36</v>
      </c>
      <c r="I177" s="674" t="n">
        <v>3.618</v>
      </c>
      <c r="J177" s="38" t="n">
        <v>120</v>
      </c>
      <c r="K177" s="39" t="inlineStr">
        <is>
          <t>СК2</t>
        </is>
      </c>
      <c r="L177" s="38" t="n">
        <v>35</v>
      </c>
      <c r="M177" s="774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/>
      </c>
      <c r="N177" s="676" t="n"/>
      <c r="O177" s="676" t="n"/>
      <c r="P177" s="676" t="n"/>
      <c r="Q177" s="642" t="n"/>
      <c r="R177" s="40" t="inlineStr"/>
      <c r="S177" s="40" t="inlineStr"/>
      <c r="T177" s="41" t="inlineStr">
        <is>
          <t>кг</t>
        </is>
      </c>
      <c r="U177" s="677" t="n">
        <v>0</v>
      </c>
      <c r="V177" s="678">
        <f>IFERROR(IF(U177="",0,CEILING((U177/$H177),1)*$H177),"")</f>
        <v/>
      </c>
      <c r="W177" s="42">
        <f>IFERROR(IF(V177=0,"",ROUNDUP(V177/H177,0)*0.00937),"")</f>
        <v/>
      </c>
      <c r="X177" s="69" t="inlineStr"/>
      <c r="Y177" s="70" t="inlineStr"/>
      <c r="AC177" s="71" t="n"/>
      <c r="AZ177" s="165" t="inlineStr">
        <is>
          <t>КИ</t>
        </is>
      </c>
    </row>
    <row r="178" ht="27" customHeight="1">
      <c r="A178" s="64" t="inlineStr">
        <is>
          <t>SU002799</t>
        </is>
      </c>
      <c r="B178" s="64" t="inlineStr">
        <is>
          <t>P003217</t>
        </is>
      </c>
      <c r="C178" s="37" t="n">
        <v>4301051384</v>
      </c>
      <c r="D178" s="328" t="n">
        <v>4680115881211</v>
      </c>
      <c r="E178" s="642" t="n"/>
      <c r="F178" s="674" t="n">
        <v>0.4</v>
      </c>
      <c r="G178" s="38" t="n">
        <v>6</v>
      </c>
      <c r="H178" s="674" t="n">
        <v>2.4</v>
      </c>
      <c r="I178" s="674" t="n">
        <v>2.6</v>
      </c>
      <c r="J178" s="38" t="n">
        <v>156</v>
      </c>
      <c r="K178" s="39" t="inlineStr">
        <is>
          <t>СК2</t>
        </is>
      </c>
      <c r="L178" s="38" t="n">
        <v>45</v>
      </c>
      <c r="M178" s="775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N178" s="676" t="n"/>
      <c r="O178" s="676" t="n"/>
      <c r="P178" s="676" t="n"/>
      <c r="Q178" s="642" t="n"/>
      <c r="R178" s="40" t="inlineStr"/>
      <c r="S178" s="40" t="inlineStr"/>
      <c r="T178" s="41" t="inlineStr">
        <is>
          <t>кг</t>
        </is>
      </c>
      <c r="U178" s="677" t="n">
        <v>0</v>
      </c>
      <c r="V178" s="678">
        <f>IFERROR(IF(U178="",0,CEILING((U178/$H178),1)*$H178),"")</f>
        <v/>
      </c>
      <c r="W178" s="42">
        <f>IFERROR(IF(V178=0,"",ROUNDUP(V178/H178,0)*0.00753),"")</f>
        <v/>
      </c>
      <c r="X178" s="69" t="inlineStr"/>
      <c r="Y178" s="70" t="inlineStr"/>
      <c r="AC178" s="71" t="n"/>
      <c r="AZ178" s="166" t="inlineStr">
        <is>
          <t>КИ</t>
        </is>
      </c>
    </row>
    <row r="179" ht="27" customHeight="1">
      <c r="A179" s="64" t="inlineStr">
        <is>
          <t>SU002800</t>
        </is>
      </c>
      <c r="B179" s="64" t="inlineStr">
        <is>
          <t>P003201</t>
        </is>
      </c>
      <c r="C179" s="37" t="n">
        <v>4301051378</v>
      </c>
      <c r="D179" s="328" t="n">
        <v>4680115881020</v>
      </c>
      <c r="E179" s="642" t="n"/>
      <c r="F179" s="674" t="n">
        <v>0.84</v>
      </c>
      <c r="G179" s="38" t="n">
        <v>4</v>
      </c>
      <c r="H179" s="674" t="n">
        <v>3.36</v>
      </c>
      <c r="I179" s="674" t="n">
        <v>3.57</v>
      </c>
      <c r="J179" s="38" t="n">
        <v>120</v>
      </c>
      <c r="K179" s="39" t="inlineStr">
        <is>
          <t>СК2</t>
        </is>
      </c>
      <c r="L179" s="38" t="n">
        <v>45</v>
      </c>
      <c r="M179" s="776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N179" s="676" t="n"/>
      <c r="O179" s="676" t="n"/>
      <c r="P179" s="676" t="n"/>
      <c r="Q179" s="642" t="n"/>
      <c r="R179" s="40" t="inlineStr"/>
      <c r="S179" s="40" t="inlineStr"/>
      <c r="T179" s="41" t="inlineStr">
        <is>
          <t>кг</t>
        </is>
      </c>
      <c r="U179" s="677" t="n">
        <v>0</v>
      </c>
      <c r="V179" s="678">
        <f>IFERROR(IF(U179="",0,CEILING((U179/$H179),1)*$H179),"")</f>
        <v/>
      </c>
      <c r="W179" s="42">
        <f>IFERROR(IF(V179=0,"",ROUNDUP(V179/H179,0)*0.00937),"")</f>
        <v/>
      </c>
      <c r="X179" s="69" t="inlineStr"/>
      <c r="Y179" s="70" t="inlineStr"/>
      <c r="AC179" s="71" t="n"/>
      <c r="AZ179" s="167" t="inlineStr">
        <is>
          <t>КИ</t>
        </is>
      </c>
    </row>
    <row r="180" ht="27" customHeight="1">
      <c r="A180" s="64" t="inlineStr">
        <is>
          <t>SU002842</t>
        </is>
      </c>
      <c r="B180" s="64" t="inlineStr">
        <is>
          <t>P003262</t>
        </is>
      </c>
      <c r="C180" s="37" t="n">
        <v>4301051407</v>
      </c>
      <c r="D180" s="328" t="n">
        <v>4680115882195</v>
      </c>
      <c r="E180" s="642" t="n"/>
      <c r="F180" s="674" t="n">
        <v>0.4</v>
      </c>
      <c r="G180" s="38" t="n">
        <v>6</v>
      </c>
      <c r="H180" s="674" t="n">
        <v>2.4</v>
      </c>
      <c r="I180" s="674" t="n">
        <v>2.69</v>
      </c>
      <c r="J180" s="38" t="n">
        <v>156</v>
      </c>
      <c r="K180" s="39" t="inlineStr">
        <is>
          <t>СК3</t>
        </is>
      </c>
      <c r="L180" s="38" t="n">
        <v>40</v>
      </c>
      <c r="M180" s="777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N180" s="676" t="n"/>
      <c r="O180" s="676" t="n"/>
      <c r="P180" s="676" t="n"/>
      <c r="Q180" s="642" t="n"/>
      <c r="R180" s="40" t="inlineStr"/>
      <c r="S180" s="40" t="inlineStr"/>
      <c r="T180" s="41" t="inlineStr">
        <is>
          <t>кг</t>
        </is>
      </c>
      <c r="U180" s="677" t="n">
        <v>0</v>
      </c>
      <c r="V180" s="678">
        <f>IFERROR(IF(U180="",0,CEILING((U180/$H180),1)*$H180),"")</f>
        <v/>
      </c>
      <c r="W180" s="42">
        <f>IFERROR(IF(V180=0,"",ROUNDUP(V180/H180,0)*0.00753),"")</f>
        <v/>
      </c>
      <c r="X180" s="69" t="inlineStr"/>
      <c r="Y180" s="70" t="inlineStr"/>
      <c r="AC180" s="71" t="n"/>
      <c r="AZ180" s="168" t="inlineStr">
        <is>
          <t>КИ</t>
        </is>
      </c>
    </row>
    <row r="181" ht="27" customHeight="1">
      <c r="A181" s="64" t="inlineStr">
        <is>
          <t>SU002618</t>
        </is>
      </c>
      <c r="B181" s="64" t="inlineStr">
        <is>
          <t>P003398</t>
        </is>
      </c>
      <c r="C181" s="37" t="n">
        <v>4301051468</v>
      </c>
      <c r="D181" s="328" t="n">
        <v>4680115880092</v>
      </c>
      <c r="E181" s="642" t="n"/>
      <c r="F181" s="674" t="n">
        <v>0.4</v>
      </c>
      <c r="G181" s="38" t="n">
        <v>6</v>
      </c>
      <c r="H181" s="674" t="n">
        <v>2.4</v>
      </c>
      <c r="I181" s="674" t="n">
        <v>2.672</v>
      </c>
      <c r="J181" s="38" t="n">
        <v>156</v>
      </c>
      <c r="K181" s="39" t="inlineStr">
        <is>
          <t>СК3</t>
        </is>
      </c>
      <c r="L181" s="38" t="n">
        <v>45</v>
      </c>
      <c r="M181" s="778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N181" s="676" t="n"/>
      <c r="O181" s="676" t="n"/>
      <c r="P181" s="676" t="n"/>
      <c r="Q181" s="642" t="n"/>
      <c r="R181" s="40" t="inlineStr"/>
      <c r="S181" s="40" t="inlineStr"/>
      <c r="T181" s="41" t="inlineStr">
        <is>
          <t>кг</t>
        </is>
      </c>
      <c r="U181" s="677" t="n">
        <v>0</v>
      </c>
      <c r="V181" s="678">
        <f>IFERROR(IF(U181="",0,CEILING((U181/$H181),1)*$H181),"")</f>
        <v/>
      </c>
      <c r="W181" s="42">
        <f>IFERROR(IF(V181=0,"",ROUNDUP(V181/H181,0)*0.00753),"")</f>
        <v/>
      </c>
      <c r="X181" s="69" t="inlineStr"/>
      <c r="Y181" s="70" t="inlineStr"/>
      <c r="AC181" s="71" t="n"/>
      <c r="AZ181" s="169" t="inlineStr">
        <is>
          <t>КИ</t>
        </is>
      </c>
    </row>
    <row r="182" ht="27" customHeight="1">
      <c r="A182" s="64" t="inlineStr">
        <is>
          <t>SU002621</t>
        </is>
      </c>
      <c r="B182" s="64" t="inlineStr">
        <is>
          <t>P003399</t>
        </is>
      </c>
      <c r="C182" s="37" t="n">
        <v>4301051469</v>
      </c>
      <c r="D182" s="328" t="n">
        <v>4680115880221</v>
      </c>
      <c r="E182" s="642" t="n"/>
      <c r="F182" s="674" t="n">
        <v>0.4</v>
      </c>
      <c r="G182" s="38" t="n">
        <v>6</v>
      </c>
      <c r="H182" s="674" t="n">
        <v>2.4</v>
      </c>
      <c r="I182" s="674" t="n">
        <v>2.672</v>
      </c>
      <c r="J182" s="38" t="n">
        <v>156</v>
      </c>
      <c r="K182" s="39" t="inlineStr">
        <is>
          <t>СК3</t>
        </is>
      </c>
      <c r="L182" s="38" t="n">
        <v>45</v>
      </c>
      <c r="M182" s="779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N182" s="676" t="n"/>
      <c r="O182" s="676" t="n"/>
      <c r="P182" s="676" t="n"/>
      <c r="Q182" s="642" t="n"/>
      <c r="R182" s="40" t="inlineStr"/>
      <c r="S182" s="40" t="inlineStr"/>
      <c r="T182" s="41" t="inlineStr">
        <is>
          <t>кг</t>
        </is>
      </c>
      <c r="U182" s="677" t="n">
        <v>0</v>
      </c>
      <c r="V182" s="678">
        <f>IFERROR(IF(U182="",0,CEILING((U182/$H182),1)*$H182),"")</f>
        <v/>
      </c>
      <c r="W182" s="42">
        <f>IFERROR(IF(V182=0,"",ROUNDUP(V182/H182,0)*0.00753),"")</f>
        <v/>
      </c>
      <c r="X182" s="69" t="inlineStr"/>
      <c r="Y182" s="70" t="inlineStr"/>
      <c r="AC182" s="71" t="n"/>
      <c r="AZ182" s="170" t="inlineStr">
        <is>
          <t>КИ</t>
        </is>
      </c>
    </row>
    <row r="183" ht="16.5" customHeight="1">
      <c r="A183" s="64" t="inlineStr">
        <is>
          <t>SU003073</t>
        </is>
      </c>
      <c r="B183" s="64" t="inlineStr">
        <is>
          <t>P003613</t>
        </is>
      </c>
      <c r="C183" s="37" t="n">
        <v>4301051523</v>
      </c>
      <c r="D183" s="328" t="n">
        <v>4680115882942</v>
      </c>
      <c r="E183" s="642" t="n"/>
      <c r="F183" s="674" t="n">
        <v>0.3</v>
      </c>
      <c r="G183" s="38" t="n">
        <v>6</v>
      </c>
      <c r="H183" s="674" t="n">
        <v>1.8</v>
      </c>
      <c r="I183" s="674" t="n">
        <v>2.072</v>
      </c>
      <c r="J183" s="38" t="n">
        <v>156</v>
      </c>
      <c r="K183" s="39" t="inlineStr">
        <is>
          <t>СК2</t>
        </is>
      </c>
      <c r="L183" s="38" t="n">
        <v>40</v>
      </c>
      <c r="M183" s="780">
        <f>HYPERLINK("https://abi.ru/products/Охлажденные/Стародворье/Сочинка/Сосиски/P003613/","Сосиски «Сочинки с сыром» ф/в 0,3 кг п/а ТМ «Стародворье»")</f>
        <v/>
      </c>
      <c r="N183" s="676" t="n"/>
      <c r="O183" s="676" t="n"/>
      <c r="P183" s="676" t="n"/>
      <c r="Q183" s="642" t="n"/>
      <c r="R183" s="40" t="inlineStr"/>
      <c r="S183" s="40" t="inlineStr"/>
      <c r="T183" s="41" t="inlineStr">
        <is>
          <t>кг</t>
        </is>
      </c>
      <c r="U183" s="677" t="n">
        <v>0</v>
      </c>
      <c r="V183" s="678">
        <f>IFERROR(IF(U183="",0,CEILING((U183/$H183),1)*$H183),"")</f>
        <v/>
      </c>
      <c r="W183" s="42">
        <f>IFERROR(IF(V183=0,"",ROUNDUP(V183/H183,0)*0.00753),"")</f>
        <v/>
      </c>
      <c r="X183" s="69" t="inlineStr"/>
      <c r="Y183" s="70" t="inlineStr"/>
      <c r="AC183" s="71" t="n"/>
      <c r="AZ183" s="171" t="inlineStr">
        <is>
          <t>КИ</t>
        </is>
      </c>
    </row>
    <row r="184" ht="16.5" customHeight="1">
      <c r="A184" s="64" t="inlineStr">
        <is>
          <t>SU002686</t>
        </is>
      </c>
      <c r="B184" s="64" t="inlineStr">
        <is>
          <t>P003071</t>
        </is>
      </c>
      <c r="C184" s="37" t="n">
        <v>4301051326</v>
      </c>
      <c r="D184" s="328" t="n">
        <v>4680115880504</v>
      </c>
      <c r="E184" s="642" t="n"/>
      <c r="F184" s="674" t="n">
        <v>0.4</v>
      </c>
      <c r="G184" s="38" t="n">
        <v>6</v>
      </c>
      <c r="H184" s="674" t="n">
        <v>2.4</v>
      </c>
      <c r="I184" s="674" t="n">
        <v>2.672</v>
      </c>
      <c r="J184" s="38" t="n">
        <v>156</v>
      </c>
      <c r="K184" s="39" t="inlineStr">
        <is>
          <t>СК2</t>
        </is>
      </c>
      <c r="L184" s="38" t="n">
        <v>40</v>
      </c>
      <c r="M184" s="781">
        <f>HYPERLINK("https://abi.ru/products/Охлажденные/Стародворье/Сочинка/Сосиски/P003071/","Сосиски Сочинки с сыром Бордо ф/в 0,4 кг п/а Стародворье")</f>
        <v/>
      </c>
      <c r="N184" s="676" t="n"/>
      <c r="O184" s="676" t="n"/>
      <c r="P184" s="676" t="n"/>
      <c r="Q184" s="642" t="n"/>
      <c r="R184" s="40" t="inlineStr"/>
      <c r="S184" s="40" t="inlineStr"/>
      <c r="T184" s="41" t="inlineStr">
        <is>
          <t>кг</t>
        </is>
      </c>
      <c r="U184" s="677" t="n">
        <v>0</v>
      </c>
      <c r="V184" s="678">
        <f>IFERROR(IF(U184="",0,CEILING((U184/$H184),1)*$H184),"")</f>
        <v/>
      </c>
      <c r="W184" s="42">
        <f>IFERROR(IF(V184=0,"",ROUNDUP(V184/H184,0)*0.00753),"")</f>
        <v/>
      </c>
      <c r="X184" s="69" t="inlineStr"/>
      <c r="Y184" s="70" t="inlineStr"/>
      <c r="AC184" s="71" t="n"/>
      <c r="AZ184" s="172" t="inlineStr">
        <is>
          <t>КИ</t>
        </is>
      </c>
    </row>
    <row r="185" ht="27" customHeight="1">
      <c r="A185" s="64" t="inlineStr">
        <is>
          <t>SU002844</t>
        </is>
      </c>
      <c r="B185" s="64" t="inlineStr">
        <is>
          <t>P003265</t>
        </is>
      </c>
      <c r="C185" s="37" t="n">
        <v>4301051410</v>
      </c>
      <c r="D185" s="328" t="n">
        <v>4680115882164</v>
      </c>
      <c r="E185" s="642" t="n"/>
      <c r="F185" s="674" t="n">
        <v>0.4</v>
      </c>
      <c r="G185" s="38" t="n">
        <v>6</v>
      </c>
      <c r="H185" s="674" t="n">
        <v>2.4</v>
      </c>
      <c r="I185" s="674" t="n">
        <v>2.678</v>
      </c>
      <c r="J185" s="38" t="n">
        <v>156</v>
      </c>
      <c r="K185" s="39" t="inlineStr">
        <is>
          <t>СК3</t>
        </is>
      </c>
      <c r="L185" s="38" t="n">
        <v>40</v>
      </c>
      <c r="M185" s="782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N185" s="676" t="n"/>
      <c r="O185" s="676" t="n"/>
      <c r="P185" s="676" t="n"/>
      <c r="Q185" s="642" t="n"/>
      <c r="R185" s="40" t="inlineStr"/>
      <c r="S185" s="40" t="inlineStr"/>
      <c r="T185" s="41" t="inlineStr">
        <is>
          <t>кг</t>
        </is>
      </c>
      <c r="U185" s="677" t="n">
        <v>0</v>
      </c>
      <c r="V185" s="678">
        <f>IFERROR(IF(U185="",0,CEILING((U185/$H185),1)*$H185),"")</f>
        <v/>
      </c>
      <c r="W185" s="42">
        <f>IFERROR(IF(V185=0,"",ROUNDUP(V185/H185,0)*0.00753),"")</f>
        <v/>
      </c>
      <c r="X185" s="69" t="inlineStr"/>
      <c r="Y185" s="70" t="inlineStr"/>
      <c r="AC185" s="71" t="n"/>
      <c r="AZ185" s="173" t="inlineStr">
        <is>
          <t>КИ</t>
        </is>
      </c>
    </row>
    <row r="186">
      <c r="A186" s="322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679" t="n"/>
      <c r="M186" s="680" t="inlineStr">
        <is>
          <t>Итого</t>
        </is>
      </c>
      <c r="N186" s="650" t="n"/>
      <c r="O186" s="650" t="n"/>
      <c r="P186" s="650" t="n"/>
      <c r="Q186" s="650" t="n"/>
      <c r="R186" s="650" t="n"/>
      <c r="S186" s="651" t="n"/>
      <c r="T186" s="43" t="inlineStr">
        <is>
          <t>кор</t>
        </is>
      </c>
      <c r="U186" s="681">
        <f>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+IFERROR(U184/H184,"0")+IFERROR(U185/H185,"0")</f>
        <v/>
      </c>
      <c r="V186" s="681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</f>
        <v/>
      </c>
      <c r="W186" s="681">
        <f>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</f>
        <v/>
      </c>
      <c r="X186" s="682" t="n"/>
      <c r="Y186" s="682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679" t="n"/>
      <c r="M187" s="680" t="inlineStr">
        <is>
          <t>Итого</t>
        </is>
      </c>
      <c r="N187" s="650" t="n"/>
      <c r="O187" s="650" t="n"/>
      <c r="P187" s="650" t="n"/>
      <c r="Q187" s="650" t="n"/>
      <c r="R187" s="650" t="n"/>
      <c r="S187" s="651" t="n"/>
      <c r="T187" s="43" t="inlineStr">
        <is>
          <t>кг</t>
        </is>
      </c>
      <c r="U187" s="681">
        <f>IFERROR(SUM(U170:U185),"0")</f>
        <v/>
      </c>
      <c r="V187" s="681">
        <f>IFERROR(SUM(V170:V185),"0")</f>
        <v/>
      </c>
      <c r="W187" s="43" t="n"/>
      <c r="X187" s="682" t="n"/>
      <c r="Y187" s="682" t="n"/>
    </row>
    <row r="188" ht="14.25" customHeight="1">
      <c r="A188" s="327" t="inlineStr">
        <is>
          <t>Сардельки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327" t="n"/>
      <c r="Y188" s="327" t="n"/>
    </row>
    <row r="189" ht="16.5" customHeight="1">
      <c r="A189" s="64" t="inlineStr">
        <is>
          <t>SU002758</t>
        </is>
      </c>
      <c r="B189" s="64" t="inlineStr">
        <is>
          <t>P003129</t>
        </is>
      </c>
      <c r="C189" s="37" t="n">
        <v>4301060338</v>
      </c>
      <c r="D189" s="328" t="n">
        <v>4680115880801</v>
      </c>
      <c r="E189" s="642" t="n"/>
      <c r="F189" s="674" t="n">
        <v>0.4</v>
      </c>
      <c r="G189" s="38" t="n">
        <v>6</v>
      </c>
      <c r="H189" s="674" t="n">
        <v>2.4</v>
      </c>
      <c r="I189" s="674" t="n">
        <v>2.672</v>
      </c>
      <c r="J189" s="38" t="n">
        <v>156</v>
      </c>
      <c r="K189" s="39" t="inlineStr">
        <is>
          <t>СК2</t>
        </is>
      </c>
      <c r="L189" s="38" t="n">
        <v>40</v>
      </c>
      <c r="M189" s="783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N189" s="676" t="n"/>
      <c r="O189" s="676" t="n"/>
      <c r="P189" s="676" t="n"/>
      <c r="Q189" s="642" t="n"/>
      <c r="R189" s="40" t="inlineStr"/>
      <c r="S189" s="40" t="inlineStr"/>
      <c r="T189" s="41" t="inlineStr">
        <is>
          <t>кг</t>
        </is>
      </c>
      <c r="U189" s="677" t="n">
        <v>0</v>
      </c>
      <c r="V189" s="678">
        <f>IFERROR(IF(U189="",0,CEILING((U189/$H189),1)*$H189),"")</f>
        <v/>
      </c>
      <c r="W189" s="42">
        <f>IFERROR(IF(V189=0,"",ROUNDUP(V189/H189,0)*0.00753),"")</f>
        <v/>
      </c>
      <c r="X189" s="69" t="inlineStr"/>
      <c r="Y189" s="70" t="inlineStr"/>
      <c r="AC189" s="71" t="n"/>
      <c r="AZ189" s="174" t="inlineStr">
        <is>
          <t>КИ</t>
        </is>
      </c>
    </row>
    <row r="190" ht="27" customHeight="1">
      <c r="A190" s="64" t="inlineStr">
        <is>
          <t>SU002759</t>
        </is>
      </c>
      <c r="B190" s="64" t="inlineStr">
        <is>
          <t>P003130</t>
        </is>
      </c>
      <c r="C190" s="37" t="n">
        <v>4301060339</v>
      </c>
      <c r="D190" s="328" t="n">
        <v>4680115880818</v>
      </c>
      <c r="E190" s="642" t="n"/>
      <c r="F190" s="674" t="n">
        <v>0.4</v>
      </c>
      <c r="G190" s="38" t="n">
        <v>6</v>
      </c>
      <c r="H190" s="674" t="n">
        <v>2.4</v>
      </c>
      <c r="I190" s="674" t="n">
        <v>2.672</v>
      </c>
      <c r="J190" s="38" t="n">
        <v>156</v>
      </c>
      <c r="K190" s="39" t="inlineStr">
        <is>
          <t>СК2</t>
        </is>
      </c>
      <c r="L190" s="38" t="n">
        <v>40</v>
      </c>
      <c r="M190" s="784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N190" s="676" t="n"/>
      <c r="O190" s="676" t="n"/>
      <c r="P190" s="676" t="n"/>
      <c r="Q190" s="642" t="n"/>
      <c r="R190" s="40" t="inlineStr"/>
      <c r="S190" s="40" t="inlineStr"/>
      <c r="T190" s="41" t="inlineStr">
        <is>
          <t>кг</t>
        </is>
      </c>
      <c r="U190" s="677" t="n">
        <v>0</v>
      </c>
      <c r="V190" s="678">
        <f>IFERROR(IF(U190="",0,CEILING((U190/$H190),1)*$H190),"")</f>
        <v/>
      </c>
      <c r="W190" s="42">
        <f>IFERROR(IF(V190=0,"",ROUNDUP(V190/H190,0)*0.00753),"")</f>
        <v/>
      </c>
      <c r="X190" s="69" t="inlineStr"/>
      <c r="Y190" s="70" t="inlineStr"/>
      <c r="AC190" s="71" t="n"/>
      <c r="AZ190" s="175" t="inlineStr">
        <is>
          <t>КИ</t>
        </is>
      </c>
    </row>
    <row r="191">
      <c r="A191" s="322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679" t="n"/>
      <c r="M191" s="680" t="inlineStr">
        <is>
          <t>Итого</t>
        </is>
      </c>
      <c r="N191" s="650" t="n"/>
      <c r="O191" s="650" t="n"/>
      <c r="P191" s="650" t="n"/>
      <c r="Q191" s="650" t="n"/>
      <c r="R191" s="650" t="n"/>
      <c r="S191" s="651" t="n"/>
      <c r="T191" s="43" t="inlineStr">
        <is>
          <t>кор</t>
        </is>
      </c>
      <c r="U191" s="681">
        <f>IFERROR(U189/H189,"0")+IFERROR(U190/H190,"0")</f>
        <v/>
      </c>
      <c r="V191" s="681">
        <f>IFERROR(V189/H189,"0")+IFERROR(V190/H190,"0")</f>
        <v/>
      </c>
      <c r="W191" s="681">
        <f>IFERROR(IF(W189="",0,W189),"0")+IFERROR(IF(W190="",0,W190),"0")</f>
        <v/>
      </c>
      <c r="X191" s="682" t="n"/>
      <c r="Y191" s="682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679" t="n"/>
      <c r="M192" s="680" t="inlineStr">
        <is>
          <t>Итого</t>
        </is>
      </c>
      <c r="N192" s="650" t="n"/>
      <c r="O192" s="650" t="n"/>
      <c r="P192" s="650" t="n"/>
      <c r="Q192" s="650" t="n"/>
      <c r="R192" s="650" t="n"/>
      <c r="S192" s="651" t="n"/>
      <c r="T192" s="43" t="inlineStr">
        <is>
          <t>кг</t>
        </is>
      </c>
      <c r="U192" s="681">
        <f>IFERROR(SUM(U189:U190),"0")</f>
        <v/>
      </c>
      <c r="V192" s="681">
        <f>IFERROR(SUM(V189:V190),"0")</f>
        <v/>
      </c>
      <c r="W192" s="43" t="n"/>
      <c r="X192" s="682" t="n"/>
      <c r="Y192" s="682" t="n"/>
    </row>
    <row r="193" ht="16.5" customHeight="1">
      <c r="A193" s="335" t="inlineStr">
        <is>
          <t>Бордо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335" t="n"/>
      <c r="Y193" s="335" t="n"/>
    </row>
    <row r="194" ht="14.25" customHeight="1">
      <c r="A194" s="327" t="inlineStr">
        <is>
          <t>Вареные колбасы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327" t="n"/>
      <c r="Y194" s="327" t="n"/>
    </row>
    <row r="195" ht="27" customHeight="1">
      <c r="A195" s="64" t="inlineStr">
        <is>
          <t>SU000057</t>
        </is>
      </c>
      <c r="B195" s="64" t="inlineStr">
        <is>
          <t>P002047</t>
        </is>
      </c>
      <c r="C195" s="37" t="n">
        <v>4301011346</v>
      </c>
      <c r="D195" s="328" t="n">
        <v>4607091387445</v>
      </c>
      <c r="E195" s="642" t="n"/>
      <c r="F195" s="674" t="n">
        <v>0.9</v>
      </c>
      <c r="G195" s="38" t="n">
        <v>10</v>
      </c>
      <c r="H195" s="674" t="n">
        <v>9</v>
      </c>
      <c r="I195" s="674" t="n">
        <v>9.630000000000001</v>
      </c>
      <c r="J195" s="38" t="n">
        <v>56</v>
      </c>
      <c r="K195" s="39" t="inlineStr">
        <is>
          <t>СК1</t>
        </is>
      </c>
      <c r="L195" s="38" t="n">
        <v>31</v>
      </c>
      <c r="M195" s="785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95" s="676" t="n"/>
      <c r="O195" s="676" t="n"/>
      <c r="P195" s="676" t="n"/>
      <c r="Q195" s="642" t="n"/>
      <c r="R195" s="40" t="inlineStr"/>
      <c r="S195" s="40" t="inlineStr"/>
      <c r="T195" s="41" t="inlineStr">
        <is>
          <t>кг</t>
        </is>
      </c>
      <c r="U195" s="677" t="n">
        <v>0</v>
      </c>
      <c r="V195" s="678">
        <f>IFERROR(IF(U195="",0,CEILING((U195/$H195),1)*$H195),"")</f>
        <v/>
      </c>
      <c r="W195" s="42">
        <f>IFERROR(IF(V195=0,"",ROUNDUP(V195/H195,0)*0.02175),"")</f>
        <v/>
      </c>
      <c r="X195" s="69" t="inlineStr"/>
      <c r="Y195" s="70" t="inlineStr"/>
      <c r="AC195" s="71" t="n"/>
      <c r="AZ195" s="176" t="inlineStr">
        <is>
          <t>КИ</t>
        </is>
      </c>
    </row>
    <row r="196" ht="27" customHeight="1">
      <c r="A196" s="64" t="inlineStr">
        <is>
          <t>SU001777</t>
        </is>
      </c>
      <c r="B196" s="64" t="inlineStr">
        <is>
          <t>P002226</t>
        </is>
      </c>
      <c r="C196" s="37" t="n">
        <v>4301011362</v>
      </c>
      <c r="D196" s="328" t="n">
        <v>4607091386004</v>
      </c>
      <c r="E196" s="642" t="n"/>
      <c r="F196" s="674" t="n">
        <v>1.35</v>
      </c>
      <c r="G196" s="38" t="n">
        <v>8</v>
      </c>
      <c r="H196" s="674" t="n">
        <v>10.8</v>
      </c>
      <c r="I196" s="674" t="n">
        <v>11.28</v>
      </c>
      <c r="J196" s="38" t="n">
        <v>48</v>
      </c>
      <c r="K196" s="39" t="inlineStr">
        <is>
          <t>ВЗ</t>
        </is>
      </c>
      <c r="L196" s="38" t="n">
        <v>55</v>
      </c>
      <c r="M196" s="786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96" s="676" t="n"/>
      <c r="O196" s="676" t="n"/>
      <c r="P196" s="676" t="n"/>
      <c r="Q196" s="642" t="n"/>
      <c r="R196" s="40" t="inlineStr"/>
      <c r="S196" s="40" t="inlineStr"/>
      <c r="T196" s="41" t="inlineStr">
        <is>
          <t>кг</t>
        </is>
      </c>
      <c r="U196" s="677" t="n">
        <v>0</v>
      </c>
      <c r="V196" s="678">
        <f>IFERROR(IF(U196="",0,CEILING((U196/$H196),1)*$H196),"")</f>
        <v/>
      </c>
      <c r="W196" s="42">
        <f>IFERROR(IF(V196=0,"",ROUNDUP(V196/H196,0)*0.02039),"")</f>
        <v/>
      </c>
      <c r="X196" s="69" t="inlineStr"/>
      <c r="Y196" s="70" t="inlineStr"/>
      <c r="AC196" s="71" t="n"/>
      <c r="AZ196" s="177" t="inlineStr">
        <is>
          <t>КИ</t>
        </is>
      </c>
    </row>
    <row r="197" ht="27" customHeight="1">
      <c r="A197" s="64" t="inlineStr">
        <is>
          <t>SU001777</t>
        </is>
      </c>
      <c r="B197" s="64" t="inlineStr">
        <is>
          <t>P001777</t>
        </is>
      </c>
      <c r="C197" s="37" t="n">
        <v>4301011308</v>
      </c>
      <c r="D197" s="328" t="n">
        <v>4607091386004</v>
      </c>
      <c r="E197" s="642" t="n"/>
      <c r="F197" s="674" t="n">
        <v>1.35</v>
      </c>
      <c r="G197" s="38" t="n">
        <v>8</v>
      </c>
      <c r="H197" s="674" t="n">
        <v>10.8</v>
      </c>
      <c r="I197" s="674" t="n">
        <v>11.28</v>
      </c>
      <c r="J197" s="38" t="n">
        <v>56</v>
      </c>
      <c r="K197" s="39" t="inlineStr">
        <is>
          <t>СК1</t>
        </is>
      </c>
      <c r="L197" s="38" t="n">
        <v>55</v>
      </c>
      <c r="M197" s="787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97" s="676" t="n"/>
      <c r="O197" s="676" t="n"/>
      <c r="P197" s="676" t="n"/>
      <c r="Q197" s="642" t="n"/>
      <c r="R197" s="40" t="inlineStr"/>
      <c r="S197" s="40" t="inlineStr"/>
      <c r="T197" s="41" t="inlineStr">
        <is>
          <t>кг</t>
        </is>
      </c>
      <c r="U197" s="677" t="n">
        <v>0</v>
      </c>
      <c r="V197" s="678">
        <f>IFERROR(IF(U197="",0,CEILING((U197/$H197),1)*$H197),"")</f>
        <v/>
      </c>
      <c r="W197" s="42">
        <f>IFERROR(IF(V197=0,"",ROUNDUP(V197/H197,0)*0.02175),"")</f>
        <v/>
      </c>
      <c r="X197" s="69" t="inlineStr"/>
      <c r="Y197" s="70" t="inlineStr"/>
      <c r="AC197" s="71" t="n"/>
      <c r="AZ197" s="178" t="inlineStr">
        <is>
          <t>КИ</t>
        </is>
      </c>
    </row>
    <row r="198" ht="27" customHeight="1">
      <c r="A198" s="64" t="inlineStr">
        <is>
          <t>SU000058</t>
        </is>
      </c>
      <c r="B198" s="64" t="inlineStr">
        <is>
          <t>P002048</t>
        </is>
      </c>
      <c r="C198" s="37" t="n">
        <v>4301011347</v>
      </c>
      <c r="D198" s="328" t="n">
        <v>4607091386073</v>
      </c>
      <c r="E198" s="642" t="n"/>
      <c r="F198" s="674" t="n">
        <v>0.9</v>
      </c>
      <c r="G198" s="38" t="n">
        <v>10</v>
      </c>
      <c r="H198" s="674" t="n">
        <v>9</v>
      </c>
      <c r="I198" s="674" t="n">
        <v>9.630000000000001</v>
      </c>
      <c r="J198" s="38" t="n">
        <v>56</v>
      </c>
      <c r="K198" s="39" t="inlineStr">
        <is>
          <t>СК1</t>
        </is>
      </c>
      <c r="L198" s="38" t="n">
        <v>31</v>
      </c>
      <c r="M198" s="788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98" s="676" t="n"/>
      <c r="O198" s="676" t="n"/>
      <c r="P198" s="676" t="n"/>
      <c r="Q198" s="642" t="n"/>
      <c r="R198" s="40" t="inlineStr"/>
      <c r="S198" s="40" t="inlineStr"/>
      <c r="T198" s="41" t="inlineStr">
        <is>
          <t>кг</t>
        </is>
      </c>
      <c r="U198" s="677" t="n">
        <v>0</v>
      </c>
      <c r="V198" s="678">
        <f>IFERROR(IF(U198="",0,CEILING((U198/$H198),1)*$H198),"")</f>
        <v/>
      </c>
      <c r="W198" s="42">
        <f>IFERROR(IF(V198=0,"",ROUNDUP(V198/H198,0)*0.02175),"")</f>
        <v/>
      </c>
      <c r="X198" s="69" t="inlineStr"/>
      <c r="Y198" s="70" t="inlineStr"/>
      <c r="AC198" s="71" t="n"/>
      <c r="AZ198" s="179" t="inlineStr">
        <is>
          <t>КИ</t>
        </is>
      </c>
    </row>
    <row r="199" ht="27" customHeight="1">
      <c r="A199" s="64" t="inlineStr">
        <is>
          <t>SU001780</t>
        </is>
      </c>
      <c r="B199" s="64" t="inlineStr">
        <is>
          <t>P003075</t>
        </is>
      </c>
      <c r="C199" s="37" t="n">
        <v>4301011395</v>
      </c>
      <c r="D199" s="328" t="n">
        <v>4607091387322</v>
      </c>
      <c r="E199" s="642" t="n"/>
      <c r="F199" s="674" t="n">
        <v>1.35</v>
      </c>
      <c r="G199" s="38" t="n">
        <v>8</v>
      </c>
      <c r="H199" s="674" t="n">
        <v>10.8</v>
      </c>
      <c r="I199" s="674" t="n">
        <v>11.28</v>
      </c>
      <c r="J199" s="38" t="n">
        <v>48</v>
      </c>
      <c r="K199" s="39" t="inlineStr">
        <is>
          <t>ВЗ</t>
        </is>
      </c>
      <c r="L199" s="38" t="n">
        <v>55</v>
      </c>
      <c r="M199" s="789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99" s="676" t="n"/>
      <c r="O199" s="676" t="n"/>
      <c r="P199" s="676" t="n"/>
      <c r="Q199" s="642" t="n"/>
      <c r="R199" s="40" t="inlineStr"/>
      <c r="S199" s="40" t="inlineStr"/>
      <c r="T199" s="41" t="inlineStr">
        <is>
          <t>кг</t>
        </is>
      </c>
      <c r="U199" s="677" t="n">
        <v>0</v>
      </c>
      <c r="V199" s="678">
        <f>IFERROR(IF(U199="",0,CEILING((U199/$H199),1)*$H199),"")</f>
        <v/>
      </c>
      <c r="W199" s="42">
        <f>IFERROR(IF(V199=0,"",ROUNDUP(V199/H199,0)*0.02039),"")</f>
        <v/>
      </c>
      <c r="X199" s="69" t="inlineStr"/>
      <c r="Y199" s="70" t="inlineStr"/>
      <c r="AC199" s="71" t="n"/>
      <c r="AZ199" s="180" t="inlineStr">
        <is>
          <t>КИ</t>
        </is>
      </c>
    </row>
    <row r="200" ht="27" customHeight="1">
      <c r="A200" s="64" t="inlineStr">
        <is>
          <t>SU001780</t>
        </is>
      </c>
      <c r="B200" s="64" t="inlineStr">
        <is>
          <t>P001780</t>
        </is>
      </c>
      <c r="C200" s="37" t="n">
        <v>4301010928</v>
      </c>
      <c r="D200" s="328" t="n">
        <v>4607091387322</v>
      </c>
      <c r="E200" s="642" t="n"/>
      <c r="F200" s="674" t="n">
        <v>1.35</v>
      </c>
      <c r="G200" s="38" t="n">
        <v>8</v>
      </c>
      <c r="H200" s="674" t="n">
        <v>10.8</v>
      </c>
      <c r="I200" s="674" t="n">
        <v>11.28</v>
      </c>
      <c r="J200" s="38" t="n">
        <v>56</v>
      </c>
      <c r="K200" s="39" t="inlineStr">
        <is>
          <t>СК1</t>
        </is>
      </c>
      <c r="L200" s="38" t="n">
        <v>55</v>
      </c>
      <c r="M200" s="790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200" s="676" t="n"/>
      <c r="O200" s="676" t="n"/>
      <c r="P200" s="676" t="n"/>
      <c r="Q200" s="642" t="n"/>
      <c r="R200" s="40" t="inlineStr"/>
      <c r="S200" s="40" t="inlineStr"/>
      <c r="T200" s="41" t="inlineStr">
        <is>
          <t>кг</t>
        </is>
      </c>
      <c r="U200" s="677" t="n">
        <v>0</v>
      </c>
      <c r="V200" s="678">
        <f>IFERROR(IF(U200="",0,CEILING((U200/$H200),1)*$H200),"")</f>
        <v/>
      </c>
      <c r="W200" s="42">
        <f>IFERROR(IF(V200=0,"",ROUNDUP(V200/H200,0)*0.02175),"")</f>
        <v/>
      </c>
      <c r="X200" s="69" t="inlineStr"/>
      <c r="Y200" s="70" t="inlineStr"/>
      <c r="AC200" s="71" t="n"/>
      <c r="AZ200" s="181" t="inlineStr">
        <is>
          <t>КИ</t>
        </is>
      </c>
    </row>
    <row r="201" ht="27" customHeight="1">
      <c r="A201" s="64" t="inlineStr">
        <is>
          <t>SU001778</t>
        </is>
      </c>
      <c r="B201" s="64" t="inlineStr">
        <is>
          <t>P001778</t>
        </is>
      </c>
      <c r="C201" s="37" t="n">
        <v>4301011311</v>
      </c>
      <c r="D201" s="328" t="n">
        <v>4607091387377</v>
      </c>
      <c r="E201" s="642" t="n"/>
      <c r="F201" s="674" t="n">
        <v>1.35</v>
      </c>
      <c r="G201" s="38" t="n">
        <v>8</v>
      </c>
      <c r="H201" s="674" t="n">
        <v>10.8</v>
      </c>
      <c r="I201" s="674" t="n">
        <v>11.28</v>
      </c>
      <c r="J201" s="38" t="n">
        <v>56</v>
      </c>
      <c r="K201" s="39" t="inlineStr">
        <is>
          <t>СК1</t>
        </is>
      </c>
      <c r="L201" s="38" t="n">
        <v>55</v>
      </c>
      <c r="M201" s="791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201" s="676" t="n"/>
      <c r="O201" s="676" t="n"/>
      <c r="P201" s="676" t="n"/>
      <c r="Q201" s="642" t="n"/>
      <c r="R201" s="40" t="inlineStr"/>
      <c r="S201" s="40" t="inlineStr"/>
      <c r="T201" s="41" t="inlineStr">
        <is>
          <t>кг</t>
        </is>
      </c>
      <c r="U201" s="677" t="n">
        <v>0</v>
      </c>
      <c r="V201" s="678">
        <f>IFERROR(IF(U201="",0,CEILING((U201/$H201),1)*$H201),"")</f>
        <v/>
      </c>
      <c r="W201" s="42">
        <f>IFERROR(IF(V201=0,"",ROUNDUP(V201/H201,0)*0.02175),"")</f>
        <v/>
      </c>
      <c r="X201" s="69" t="inlineStr"/>
      <c r="Y201" s="70" t="inlineStr"/>
      <c r="AC201" s="71" t="n"/>
      <c r="AZ201" s="182" t="inlineStr">
        <is>
          <t>КИ</t>
        </is>
      </c>
    </row>
    <row r="202" ht="27" customHeight="1">
      <c r="A202" s="64" t="inlineStr">
        <is>
          <t>SU000043</t>
        </is>
      </c>
      <c r="B202" s="64" t="inlineStr">
        <is>
          <t>P001807</t>
        </is>
      </c>
      <c r="C202" s="37" t="n">
        <v>4301010945</v>
      </c>
      <c r="D202" s="328" t="n">
        <v>4607091387353</v>
      </c>
      <c r="E202" s="642" t="n"/>
      <c r="F202" s="674" t="n">
        <v>1.35</v>
      </c>
      <c r="G202" s="38" t="n">
        <v>8</v>
      </c>
      <c r="H202" s="674" t="n">
        <v>10.8</v>
      </c>
      <c r="I202" s="674" t="n">
        <v>11.28</v>
      </c>
      <c r="J202" s="38" t="n">
        <v>56</v>
      </c>
      <c r="K202" s="39" t="inlineStr">
        <is>
          <t>СК1</t>
        </is>
      </c>
      <c r="L202" s="38" t="n">
        <v>55</v>
      </c>
      <c r="M202" s="792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202" s="676" t="n"/>
      <c r="O202" s="676" t="n"/>
      <c r="P202" s="676" t="n"/>
      <c r="Q202" s="642" t="n"/>
      <c r="R202" s="40" t="inlineStr"/>
      <c r="S202" s="40" t="inlineStr"/>
      <c r="T202" s="41" t="inlineStr">
        <is>
          <t>кг</t>
        </is>
      </c>
      <c r="U202" s="677" t="n">
        <v>0</v>
      </c>
      <c r="V202" s="678">
        <f>IFERROR(IF(U202="",0,CEILING((U202/$H202),1)*$H202),"")</f>
        <v/>
      </c>
      <c r="W202" s="42">
        <f>IFERROR(IF(V202=0,"",ROUNDUP(V202/H202,0)*0.02175),"")</f>
        <v/>
      </c>
      <c r="X202" s="69" t="inlineStr"/>
      <c r="Y202" s="70" t="inlineStr"/>
      <c r="AC202" s="71" t="n"/>
      <c r="AZ202" s="183" t="inlineStr">
        <is>
          <t>КИ</t>
        </is>
      </c>
    </row>
    <row r="203" ht="27" customHeight="1">
      <c r="A203" s="64" t="inlineStr">
        <is>
          <t>SU001800</t>
        </is>
      </c>
      <c r="B203" s="64" t="inlineStr">
        <is>
          <t>P001800</t>
        </is>
      </c>
      <c r="C203" s="37" t="n">
        <v>4301011328</v>
      </c>
      <c r="D203" s="328" t="n">
        <v>4607091386011</v>
      </c>
      <c r="E203" s="642" t="n"/>
      <c r="F203" s="674" t="n">
        <v>0.5</v>
      </c>
      <c r="G203" s="38" t="n">
        <v>10</v>
      </c>
      <c r="H203" s="674" t="n">
        <v>5</v>
      </c>
      <c r="I203" s="674" t="n">
        <v>5.21</v>
      </c>
      <c r="J203" s="38" t="n">
        <v>120</v>
      </c>
      <c r="K203" s="39" t="inlineStr">
        <is>
          <t>СК2</t>
        </is>
      </c>
      <c r="L203" s="38" t="n">
        <v>55</v>
      </c>
      <c r="M203" s="793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203" s="676" t="n"/>
      <c r="O203" s="676" t="n"/>
      <c r="P203" s="676" t="n"/>
      <c r="Q203" s="642" t="n"/>
      <c r="R203" s="40" t="inlineStr"/>
      <c r="S203" s="40" t="inlineStr"/>
      <c r="T203" s="41" t="inlineStr">
        <is>
          <t>кг</t>
        </is>
      </c>
      <c r="U203" s="677" t="n">
        <v>0</v>
      </c>
      <c r="V203" s="678">
        <f>IFERROR(IF(U203="",0,CEILING((U203/$H203),1)*$H203),"")</f>
        <v/>
      </c>
      <c r="W203" s="42">
        <f>IFERROR(IF(V203=0,"",ROUNDUP(V203/H203,0)*0.00937),"")</f>
        <v/>
      </c>
      <c r="X203" s="69" t="inlineStr"/>
      <c r="Y203" s="70" t="inlineStr"/>
      <c r="AC203" s="71" t="n"/>
      <c r="AZ203" s="184" t="inlineStr">
        <is>
          <t>КИ</t>
        </is>
      </c>
    </row>
    <row r="204" ht="27" customHeight="1">
      <c r="A204" s="64" t="inlineStr">
        <is>
          <t>SU001805</t>
        </is>
      </c>
      <c r="B204" s="64" t="inlineStr">
        <is>
          <t>P001805</t>
        </is>
      </c>
      <c r="C204" s="37" t="n">
        <v>4301011329</v>
      </c>
      <c r="D204" s="328" t="n">
        <v>4607091387308</v>
      </c>
      <c r="E204" s="642" t="n"/>
      <c r="F204" s="674" t="n">
        <v>0.5</v>
      </c>
      <c r="G204" s="38" t="n">
        <v>10</v>
      </c>
      <c r="H204" s="674" t="n">
        <v>5</v>
      </c>
      <c r="I204" s="674" t="n">
        <v>5.21</v>
      </c>
      <c r="J204" s="38" t="n">
        <v>120</v>
      </c>
      <c r="K204" s="39" t="inlineStr">
        <is>
          <t>СК2</t>
        </is>
      </c>
      <c r="L204" s="38" t="n">
        <v>55</v>
      </c>
      <c r="M204" s="794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204" s="676" t="n"/>
      <c r="O204" s="676" t="n"/>
      <c r="P204" s="676" t="n"/>
      <c r="Q204" s="642" t="n"/>
      <c r="R204" s="40" t="inlineStr"/>
      <c r="S204" s="40" t="inlineStr"/>
      <c r="T204" s="41" t="inlineStr">
        <is>
          <t>кг</t>
        </is>
      </c>
      <c r="U204" s="677" t="n">
        <v>0</v>
      </c>
      <c r="V204" s="678">
        <f>IFERROR(IF(U204="",0,CEILING((U204/$H204),1)*$H204),"")</f>
        <v/>
      </c>
      <c r="W204" s="42">
        <f>IFERROR(IF(V204=0,"",ROUNDUP(V204/H204,0)*0.00937),"")</f>
        <v/>
      </c>
      <c r="X204" s="69" t="inlineStr"/>
      <c r="Y204" s="70" t="inlineStr"/>
      <c r="AC204" s="71" t="n"/>
      <c r="AZ204" s="185" t="inlineStr">
        <is>
          <t>КИ</t>
        </is>
      </c>
    </row>
    <row r="205" ht="27" customHeight="1">
      <c r="A205" s="64" t="inlineStr">
        <is>
          <t>SU001829</t>
        </is>
      </c>
      <c r="B205" s="64" t="inlineStr">
        <is>
          <t>P001829</t>
        </is>
      </c>
      <c r="C205" s="37" t="n">
        <v>4301011049</v>
      </c>
      <c r="D205" s="328" t="n">
        <v>4607091387339</v>
      </c>
      <c r="E205" s="642" t="n"/>
      <c r="F205" s="674" t="n">
        <v>0.5</v>
      </c>
      <c r="G205" s="38" t="n">
        <v>10</v>
      </c>
      <c r="H205" s="674" t="n">
        <v>5</v>
      </c>
      <c r="I205" s="674" t="n">
        <v>5.24</v>
      </c>
      <c r="J205" s="38" t="n">
        <v>120</v>
      </c>
      <c r="K205" s="39" t="inlineStr">
        <is>
          <t>СК1</t>
        </is>
      </c>
      <c r="L205" s="38" t="n">
        <v>55</v>
      </c>
      <c r="M205" s="795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205" s="676" t="n"/>
      <c r="O205" s="676" t="n"/>
      <c r="P205" s="676" t="n"/>
      <c r="Q205" s="642" t="n"/>
      <c r="R205" s="40" t="inlineStr"/>
      <c r="S205" s="40" t="inlineStr"/>
      <c r="T205" s="41" t="inlineStr">
        <is>
          <t>кг</t>
        </is>
      </c>
      <c r="U205" s="677" t="n">
        <v>0</v>
      </c>
      <c r="V205" s="678">
        <f>IFERROR(IF(U205="",0,CEILING((U205/$H205),1)*$H205),"")</f>
        <v/>
      </c>
      <c r="W205" s="42">
        <f>IFERROR(IF(V205=0,"",ROUNDUP(V205/H205,0)*0.00937),"")</f>
        <v/>
      </c>
      <c r="X205" s="69" t="inlineStr"/>
      <c r="Y205" s="70" t="inlineStr"/>
      <c r="AC205" s="71" t="n"/>
      <c r="AZ205" s="186" t="inlineStr">
        <is>
          <t>КИ</t>
        </is>
      </c>
    </row>
    <row r="206" ht="27" customHeight="1">
      <c r="A206" s="64" t="inlineStr">
        <is>
          <t>SU002787</t>
        </is>
      </c>
      <c r="B206" s="64" t="inlineStr">
        <is>
          <t>P003189</t>
        </is>
      </c>
      <c r="C206" s="37" t="n">
        <v>4301011433</v>
      </c>
      <c r="D206" s="328" t="n">
        <v>4680115882638</v>
      </c>
      <c r="E206" s="642" t="n"/>
      <c r="F206" s="674" t="n">
        <v>0.4</v>
      </c>
      <c r="G206" s="38" t="n">
        <v>10</v>
      </c>
      <c r="H206" s="674" t="n">
        <v>4</v>
      </c>
      <c r="I206" s="674" t="n">
        <v>4.24</v>
      </c>
      <c r="J206" s="38" t="n">
        <v>120</v>
      </c>
      <c r="K206" s="39" t="inlineStr">
        <is>
          <t>СК1</t>
        </is>
      </c>
      <c r="L206" s="38" t="n">
        <v>90</v>
      </c>
      <c r="M206" s="796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N206" s="676" t="n"/>
      <c r="O206" s="676" t="n"/>
      <c r="P206" s="676" t="n"/>
      <c r="Q206" s="642" t="n"/>
      <c r="R206" s="40" t="inlineStr"/>
      <c r="S206" s="40" t="inlineStr"/>
      <c r="T206" s="41" t="inlineStr">
        <is>
          <t>кг</t>
        </is>
      </c>
      <c r="U206" s="677" t="n">
        <v>0</v>
      </c>
      <c r="V206" s="678">
        <f>IFERROR(IF(U206="",0,CEILING((U206/$H206),1)*$H206),"")</f>
        <v/>
      </c>
      <c r="W206" s="42">
        <f>IFERROR(IF(V206=0,"",ROUNDUP(V206/H206,0)*0.00937),"")</f>
        <v/>
      </c>
      <c r="X206" s="69" t="inlineStr"/>
      <c r="Y206" s="70" t="inlineStr"/>
      <c r="AC206" s="71" t="n"/>
      <c r="AZ206" s="187" t="inlineStr">
        <is>
          <t>КИ</t>
        </is>
      </c>
    </row>
    <row r="207" ht="27" customHeight="1">
      <c r="A207" s="64" t="inlineStr">
        <is>
          <t>SU002894</t>
        </is>
      </c>
      <c r="B207" s="64" t="inlineStr">
        <is>
          <t>P003314</t>
        </is>
      </c>
      <c r="C207" s="37" t="n">
        <v>4301011573</v>
      </c>
      <c r="D207" s="328" t="n">
        <v>4680115881938</v>
      </c>
      <c r="E207" s="642" t="n"/>
      <c r="F207" s="674" t="n">
        <v>0.4</v>
      </c>
      <c r="G207" s="38" t="n">
        <v>10</v>
      </c>
      <c r="H207" s="674" t="n">
        <v>4</v>
      </c>
      <c r="I207" s="674" t="n">
        <v>4.24</v>
      </c>
      <c r="J207" s="38" t="n">
        <v>120</v>
      </c>
      <c r="K207" s="39" t="inlineStr">
        <is>
          <t>СК1</t>
        </is>
      </c>
      <c r="L207" s="38" t="n">
        <v>90</v>
      </c>
      <c r="M207" s="797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N207" s="676" t="n"/>
      <c r="O207" s="676" t="n"/>
      <c r="P207" s="676" t="n"/>
      <c r="Q207" s="642" t="n"/>
      <c r="R207" s="40" t="inlineStr"/>
      <c r="S207" s="40" t="inlineStr"/>
      <c r="T207" s="41" t="inlineStr">
        <is>
          <t>кг</t>
        </is>
      </c>
      <c r="U207" s="677" t="n">
        <v>0</v>
      </c>
      <c r="V207" s="678">
        <f>IFERROR(IF(U207="",0,CEILING((U207/$H207),1)*$H207),"")</f>
        <v/>
      </c>
      <c r="W207" s="42">
        <f>IFERROR(IF(V207=0,"",ROUNDUP(V207/H207,0)*0.00937),"")</f>
        <v/>
      </c>
      <c r="X207" s="69" t="inlineStr"/>
      <c r="Y207" s="70" t="inlineStr"/>
      <c r="AC207" s="71" t="n"/>
      <c r="AZ207" s="188" t="inlineStr">
        <is>
          <t>КИ</t>
        </is>
      </c>
    </row>
    <row r="208" ht="27" customHeight="1">
      <c r="A208" s="64" t="inlineStr">
        <is>
          <t>SU000078</t>
        </is>
      </c>
      <c r="B208" s="64" t="inlineStr">
        <is>
          <t>P001806</t>
        </is>
      </c>
      <c r="C208" s="37" t="n">
        <v>4301010944</v>
      </c>
      <c r="D208" s="328" t="n">
        <v>4607091387346</v>
      </c>
      <c r="E208" s="642" t="n"/>
      <c r="F208" s="674" t="n">
        <v>0.4</v>
      </c>
      <c r="G208" s="38" t="n">
        <v>10</v>
      </c>
      <c r="H208" s="674" t="n">
        <v>4</v>
      </c>
      <c r="I208" s="674" t="n">
        <v>4.24</v>
      </c>
      <c r="J208" s="38" t="n">
        <v>120</v>
      </c>
      <c r="K208" s="39" t="inlineStr">
        <is>
          <t>СК1</t>
        </is>
      </c>
      <c r="L208" s="38" t="n">
        <v>55</v>
      </c>
      <c r="M208" s="798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208" s="676" t="n"/>
      <c r="O208" s="676" t="n"/>
      <c r="P208" s="676" t="n"/>
      <c r="Q208" s="642" t="n"/>
      <c r="R208" s="40" t="inlineStr"/>
      <c r="S208" s="40" t="inlineStr"/>
      <c r="T208" s="41" t="inlineStr">
        <is>
          <t>кг</t>
        </is>
      </c>
      <c r="U208" s="677" t="n">
        <v>0</v>
      </c>
      <c r="V208" s="678">
        <f>IFERROR(IF(U208="",0,CEILING((U208/$H208),1)*$H208),"")</f>
        <v/>
      </c>
      <c r="W208" s="42">
        <f>IFERROR(IF(V208=0,"",ROUNDUP(V208/H208,0)*0.00937),"")</f>
        <v/>
      </c>
      <c r="X208" s="69" t="inlineStr"/>
      <c r="Y208" s="70" t="inlineStr"/>
      <c r="AC208" s="71" t="n"/>
      <c r="AZ208" s="189" t="inlineStr">
        <is>
          <t>КИ</t>
        </is>
      </c>
    </row>
    <row r="209" ht="27" customHeight="1">
      <c r="A209" s="64" t="inlineStr">
        <is>
          <t>SU002616</t>
        </is>
      </c>
      <c r="B209" s="64" t="inlineStr">
        <is>
          <t>P002950</t>
        </is>
      </c>
      <c r="C209" s="37" t="n">
        <v>4301011353</v>
      </c>
      <c r="D209" s="328" t="n">
        <v>4607091389807</v>
      </c>
      <c r="E209" s="642" t="n"/>
      <c r="F209" s="674" t="n">
        <v>0.4</v>
      </c>
      <c r="G209" s="38" t="n">
        <v>10</v>
      </c>
      <c r="H209" s="674" t="n">
        <v>4</v>
      </c>
      <c r="I209" s="674" t="n">
        <v>4.24</v>
      </c>
      <c r="J209" s="38" t="n">
        <v>120</v>
      </c>
      <c r="K209" s="39" t="inlineStr">
        <is>
          <t>СК1</t>
        </is>
      </c>
      <c r="L209" s="38" t="n">
        <v>55</v>
      </c>
      <c r="M209" s="799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209" s="676" t="n"/>
      <c r="O209" s="676" t="n"/>
      <c r="P209" s="676" t="n"/>
      <c r="Q209" s="642" t="n"/>
      <c r="R209" s="40" t="inlineStr"/>
      <c r="S209" s="40" t="inlineStr"/>
      <c r="T209" s="41" t="inlineStr">
        <is>
          <t>кг</t>
        </is>
      </c>
      <c r="U209" s="677" t="n">
        <v>0</v>
      </c>
      <c r="V209" s="678">
        <f>IFERROR(IF(U209="",0,CEILING((U209/$H209),1)*$H209),"")</f>
        <v/>
      </c>
      <c r="W209" s="42">
        <f>IFERROR(IF(V209=0,"",ROUNDUP(V209/H209,0)*0.00937),"")</f>
        <v/>
      </c>
      <c r="X209" s="69" t="inlineStr"/>
      <c r="Y209" s="70" t="inlineStr"/>
      <c r="AC209" s="71" t="n"/>
      <c r="AZ209" s="190" t="inlineStr">
        <is>
          <t>КИ</t>
        </is>
      </c>
    </row>
    <row r="210">
      <c r="A210" s="322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679" t="n"/>
      <c r="M210" s="680" t="inlineStr">
        <is>
          <t>Итого</t>
        </is>
      </c>
      <c r="N210" s="650" t="n"/>
      <c r="O210" s="650" t="n"/>
      <c r="P210" s="650" t="n"/>
      <c r="Q210" s="650" t="n"/>
      <c r="R210" s="650" t="n"/>
      <c r="S210" s="651" t="n"/>
      <c r="T210" s="43" t="inlineStr">
        <is>
          <t>кор</t>
        </is>
      </c>
      <c r="U210" s="681">
        <f>IFERROR(U195/H195,"0")+IFERROR(U196/H196,"0")+IFERROR(U197/H197,"0")+IFERROR(U198/H198,"0")+IFERROR(U199/H199,"0")+IFERROR(U200/H200,"0")+IFERROR(U201/H201,"0")+IFERROR(U202/H202,"0")+IFERROR(U203/H203,"0")+IFERROR(U204/H204,"0")+IFERROR(U205/H205,"0")+IFERROR(U206/H206,"0")+IFERROR(U207/H207,"0")+IFERROR(U208/H208,"0")+IFERROR(U209/H209,"0")</f>
        <v/>
      </c>
      <c r="V210" s="681">
        <f>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</f>
        <v/>
      </c>
      <c r="W210" s="681">
        <f>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+IFERROR(IF(W208="",0,W208),"0")+IFERROR(IF(W209="",0,W209),"0")</f>
        <v/>
      </c>
      <c r="X210" s="682" t="n"/>
      <c r="Y210" s="682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679" t="n"/>
      <c r="M211" s="680" t="inlineStr">
        <is>
          <t>Итого</t>
        </is>
      </c>
      <c r="N211" s="650" t="n"/>
      <c r="O211" s="650" t="n"/>
      <c r="P211" s="650" t="n"/>
      <c r="Q211" s="650" t="n"/>
      <c r="R211" s="650" t="n"/>
      <c r="S211" s="651" t="n"/>
      <c r="T211" s="43" t="inlineStr">
        <is>
          <t>кг</t>
        </is>
      </c>
      <c r="U211" s="681">
        <f>IFERROR(SUM(U195:U209),"0")</f>
        <v/>
      </c>
      <c r="V211" s="681">
        <f>IFERROR(SUM(V195:V209),"0")</f>
        <v/>
      </c>
      <c r="W211" s="43" t="n"/>
      <c r="X211" s="682" t="n"/>
      <c r="Y211" s="682" t="n"/>
    </row>
    <row r="212" ht="14.25" customHeight="1">
      <c r="A212" s="327" t="inlineStr">
        <is>
          <t>Ветчины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327" t="n"/>
      <c r="Y212" s="327" t="n"/>
    </row>
    <row r="213" ht="27" customHeight="1">
      <c r="A213" s="64" t="inlineStr">
        <is>
          <t>SU002788</t>
        </is>
      </c>
      <c r="B213" s="64" t="inlineStr">
        <is>
          <t>P003190</t>
        </is>
      </c>
      <c r="C213" s="37" t="n">
        <v>4301020254</v>
      </c>
      <c r="D213" s="328" t="n">
        <v>4680115881914</v>
      </c>
      <c r="E213" s="642" t="n"/>
      <c r="F213" s="674" t="n">
        <v>0.4</v>
      </c>
      <c r="G213" s="38" t="n">
        <v>10</v>
      </c>
      <c r="H213" s="674" t="n">
        <v>4</v>
      </c>
      <c r="I213" s="674" t="n">
        <v>4.24</v>
      </c>
      <c r="J213" s="38" t="n">
        <v>120</v>
      </c>
      <c r="K213" s="39" t="inlineStr">
        <is>
          <t>СК1</t>
        </is>
      </c>
      <c r="L213" s="38" t="n">
        <v>90</v>
      </c>
      <c r="M213" s="800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N213" s="676" t="n"/>
      <c r="O213" s="676" t="n"/>
      <c r="P213" s="676" t="n"/>
      <c r="Q213" s="642" t="n"/>
      <c r="R213" s="40" t="inlineStr"/>
      <c r="S213" s="40" t="inlineStr"/>
      <c r="T213" s="41" t="inlineStr">
        <is>
          <t>кг</t>
        </is>
      </c>
      <c r="U213" s="677" t="n">
        <v>0</v>
      </c>
      <c r="V213" s="678">
        <f>IFERROR(IF(U213="",0,CEILING((U213/$H213),1)*$H213),"")</f>
        <v/>
      </c>
      <c r="W213" s="42">
        <f>IFERROR(IF(V213=0,"",ROUNDUP(V213/H213,0)*0.00937),"")</f>
        <v/>
      </c>
      <c r="X213" s="69" t="inlineStr"/>
      <c r="Y213" s="70" t="inlineStr"/>
      <c r="AC213" s="71" t="n"/>
      <c r="AZ213" s="191" t="inlineStr">
        <is>
          <t>КИ</t>
        </is>
      </c>
    </row>
    <row r="214">
      <c r="A214" s="322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679" t="n"/>
      <c r="M214" s="680" t="inlineStr">
        <is>
          <t>Итого</t>
        </is>
      </c>
      <c r="N214" s="650" t="n"/>
      <c r="O214" s="650" t="n"/>
      <c r="P214" s="650" t="n"/>
      <c r="Q214" s="650" t="n"/>
      <c r="R214" s="650" t="n"/>
      <c r="S214" s="651" t="n"/>
      <c r="T214" s="43" t="inlineStr">
        <is>
          <t>кор</t>
        </is>
      </c>
      <c r="U214" s="681">
        <f>IFERROR(U213/H213,"0")</f>
        <v/>
      </c>
      <c r="V214" s="681">
        <f>IFERROR(V213/H213,"0")</f>
        <v/>
      </c>
      <c r="W214" s="681">
        <f>IFERROR(IF(W213="",0,W213),"0")</f>
        <v/>
      </c>
      <c r="X214" s="682" t="n"/>
      <c r="Y214" s="682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679" t="n"/>
      <c r="M215" s="680" t="inlineStr">
        <is>
          <t>Итого</t>
        </is>
      </c>
      <c r="N215" s="650" t="n"/>
      <c r="O215" s="650" t="n"/>
      <c r="P215" s="650" t="n"/>
      <c r="Q215" s="650" t="n"/>
      <c r="R215" s="650" t="n"/>
      <c r="S215" s="651" t="n"/>
      <c r="T215" s="43" t="inlineStr">
        <is>
          <t>кг</t>
        </is>
      </c>
      <c r="U215" s="681">
        <f>IFERROR(SUM(U213:U213),"0")</f>
        <v/>
      </c>
      <c r="V215" s="681">
        <f>IFERROR(SUM(V213:V213),"0")</f>
        <v/>
      </c>
      <c r="W215" s="43" t="n"/>
      <c r="X215" s="682" t="n"/>
      <c r="Y215" s="682" t="n"/>
    </row>
    <row r="216" ht="14.25" customHeight="1">
      <c r="A216" s="327" t="inlineStr">
        <is>
          <t>Копченые колбасы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327" t="n"/>
      <c r="Y216" s="327" t="n"/>
    </row>
    <row r="217" ht="27" customHeight="1">
      <c r="A217" s="64" t="inlineStr">
        <is>
          <t>SU001820</t>
        </is>
      </c>
      <c r="B217" s="64" t="inlineStr">
        <is>
          <t>P001820</t>
        </is>
      </c>
      <c r="C217" s="37" t="n">
        <v>4301030878</v>
      </c>
      <c r="D217" s="328" t="n">
        <v>4607091387193</v>
      </c>
      <c r="E217" s="642" t="n"/>
      <c r="F217" s="674" t="n">
        <v>0.7</v>
      </c>
      <c r="G217" s="38" t="n">
        <v>6</v>
      </c>
      <c r="H217" s="674" t="n">
        <v>4.2</v>
      </c>
      <c r="I217" s="674" t="n">
        <v>4.46</v>
      </c>
      <c r="J217" s="38" t="n">
        <v>156</v>
      </c>
      <c r="K217" s="39" t="inlineStr">
        <is>
          <t>СК2</t>
        </is>
      </c>
      <c r="L217" s="38" t="n">
        <v>35</v>
      </c>
      <c r="M217" s="801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217" s="676" t="n"/>
      <c r="O217" s="676" t="n"/>
      <c r="P217" s="676" t="n"/>
      <c r="Q217" s="642" t="n"/>
      <c r="R217" s="40" t="inlineStr"/>
      <c r="S217" s="40" t="inlineStr"/>
      <c r="T217" s="41" t="inlineStr">
        <is>
          <t>кг</t>
        </is>
      </c>
      <c r="U217" s="677" t="n">
        <v>0</v>
      </c>
      <c r="V217" s="678">
        <f>IFERROR(IF(U217="",0,CEILING((U217/$H217),1)*$H217),"")</f>
        <v/>
      </c>
      <c r="W217" s="42">
        <f>IFERROR(IF(V217=0,"",ROUNDUP(V217/H217,0)*0.00753),"")</f>
        <v/>
      </c>
      <c r="X217" s="69" t="inlineStr"/>
      <c r="Y217" s="70" t="inlineStr"/>
      <c r="AC217" s="71" t="n"/>
      <c r="AZ217" s="192" t="inlineStr">
        <is>
          <t>КИ</t>
        </is>
      </c>
    </row>
    <row r="218" ht="27" customHeight="1">
      <c r="A218" s="64" t="inlineStr">
        <is>
          <t>SU001822</t>
        </is>
      </c>
      <c r="B218" s="64" t="inlineStr">
        <is>
          <t>P003013</t>
        </is>
      </c>
      <c r="C218" s="37" t="n">
        <v>4301031153</v>
      </c>
      <c r="D218" s="328" t="n">
        <v>4607091387230</v>
      </c>
      <c r="E218" s="642" t="n"/>
      <c r="F218" s="674" t="n">
        <v>0.7</v>
      </c>
      <c r="G218" s="38" t="n">
        <v>6</v>
      </c>
      <c r="H218" s="674" t="n">
        <v>4.2</v>
      </c>
      <c r="I218" s="674" t="n">
        <v>4.46</v>
      </c>
      <c r="J218" s="38" t="n">
        <v>156</v>
      </c>
      <c r="K218" s="39" t="inlineStr">
        <is>
          <t>СК2</t>
        </is>
      </c>
      <c r="L218" s="38" t="n">
        <v>40</v>
      </c>
      <c r="M218" s="802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218" s="676" t="n"/>
      <c r="O218" s="676" t="n"/>
      <c r="P218" s="676" t="n"/>
      <c r="Q218" s="642" t="n"/>
      <c r="R218" s="40" t="inlineStr"/>
      <c r="S218" s="40" t="inlineStr"/>
      <c r="T218" s="41" t="inlineStr">
        <is>
          <t>кг</t>
        </is>
      </c>
      <c r="U218" s="677" t="n">
        <v>0</v>
      </c>
      <c r="V218" s="678">
        <f>IFERROR(IF(U218="",0,CEILING((U218/$H218),1)*$H218),"")</f>
        <v/>
      </c>
      <c r="W218" s="42">
        <f>IFERROR(IF(V218=0,"",ROUNDUP(V218/H218,0)*0.00753),"")</f>
        <v/>
      </c>
      <c r="X218" s="69" t="inlineStr"/>
      <c r="Y218" s="70" t="inlineStr"/>
      <c r="AC218" s="71" t="n"/>
      <c r="AZ218" s="193" t="inlineStr">
        <is>
          <t>КИ</t>
        </is>
      </c>
    </row>
    <row r="219" ht="27" customHeight="1">
      <c r="A219" s="64" t="inlineStr">
        <is>
          <t>SU002579</t>
        </is>
      </c>
      <c r="B219" s="64" t="inlineStr">
        <is>
          <t>P003012</t>
        </is>
      </c>
      <c r="C219" s="37" t="n">
        <v>4301031152</v>
      </c>
      <c r="D219" s="328" t="n">
        <v>4607091387285</v>
      </c>
      <c r="E219" s="642" t="n"/>
      <c r="F219" s="674" t="n">
        <v>0.35</v>
      </c>
      <c r="G219" s="38" t="n">
        <v>6</v>
      </c>
      <c r="H219" s="674" t="n">
        <v>2.1</v>
      </c>
      <c r="I219" s="674" t="n">
        <v>2.23</v>
      </c>
      <c r="J219" s="38" t="n">
        <v>234</v>
      </c>
      <c r="K219" s="39" t="inlineStr">
        <is>
          <t>СК2</t>
        </is>
      </c>
      <c r="L219" s="38" t="n">
        <v>40</v>
      </c>
      <c r="M219" s="803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219" s="676" t="n"/>
      <c r="O219" s="676" t="n"/>
      <c r="P219" s="676" t="n"/>
      <c r="Q219" s="642" t="n"/>
      <c r="R219" s="40" t="inlineStr"/>
      <c r="S219" s="40" t="inlineStr"/>
      <c r="T219" s="41" t="inlineStr">
        <is>
          <t>кг</t>
        </is>
      </c>
      <c r="U219" s="677" t="n">
        <v>0</v>
      </c>
      <c r="V219" s="678">
        <f>IFERROR(IF(U219="",0,CEILING((U219/$H219),1)*$H219),"")</f>
        <v/>
      </c>
      <c r="W219" s="42">
        <f>IFERROR(IF(V219=0,"",ROUNDUP(V219/H219,0)*0.00502),"")</f>
        <v/>
      </c>
      <c r="X219" s="69" t="inlineStr"/>
      <c r="Y219" s="70" t="inlineStr"/>
      <c r="AC219" s="71" t="n"/>
      <c r="AZ219" s="194" t="inlineStr">
        <is>
          <t>КИ</t>
        </is>
      </c>
    </row>
    <row r="220" ht="27" customHeight="1">
      <c r="A220" s="64" t="inlineStr">
        <is>
          <t>SU002617</t>
        </is>
      </c>
      <c r="B220" s="64" t="inlineStr">
        <is>
          <t>P002951</t>
        </is>
      </c>
      <c r="C220" s="37" t="n">
        <v>4301031151</v>
      </c>
      <c r="D220" s="328" t="n">
        <v>4607091389845</v>
      </c>
      <c r="E220" s="642" t="n"/>
      <c r="F220" s="674" t="n">
        <v>0.35</v>
      </c>
      <c r="G220" s="38" t="n">
        <v>6</v>
      </c>
      <c r="H220" s="674" t="n">
        <v>2.1</v>
      </c>
      <c r="I220" s="674" t="n">
        <v>2.2</v>
      </c>
      <c r="J220" s="38" t="n">
        <v>234</v>
      </c>
      <c r="K220" s="39" t="inlineStr">
        <is>
          <t>СК2</t>
        </is>
      </c>
      <c r="L220" s="38" t="n">
        <v>40</v>
      </c>
      <c r="M220" s="804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220" s="676" t="n"/>
      <c r="O220" s="676" t="n"/>
      <c r="P220" s="676" t="n"/>
      <c r="Q220" s="642" t="n"/>
      <c r="R220" s="40" t="inlineStr"/>
      <c r="S220" s="40" t="inlineStr"/>
      <c r="T220" s="41" t="inlineStr">
        <is>
          <t>кг</t>
        </is>
      </c>
      <c r="U220" s="677" t="n">
        <v>0</v>
      </c>
      <c r="V220" s="678">
        <f>IFERROR(IF(U220="",0,CEILING((U220/$H220),1)*$H220),"")</f>
        <v/>
      </c>
      <c r="W220" s="42">
        <f>IFERROR(IF(V220=0,"",ROUNDUP(V220/H220,0)*0.00502),"")</f>
        <v/>
      </c>
      <c r="X220" s="69" t="inlineStr"/>
      <c r="Y220" s="70" t="inlineStr"/>
      <c r="AC220" s="71" t="n"/>
      <c r="AZ220" s="195" t="inlineStr">
        <is>
          <t>КИ</t>
        </is>
      </c>
    </row>
    <row r="221">
      <c r="A221" s="322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679" t="n"/>
      <c r="M221" s="680" t="inlineStr">
        <is>
          <t>Итого</t>
        </is>
      </c>
      <c r="N221" s="650" t="n"/>
      <c r="O221" s="650" t="n"/>
      <c r="P221" s="650" t="n"/>
      <c r="Q221" s="650" t="n"/>
      <c r="R221" s="650" t="n"/>
      <c r="S221" s="651" t="n"/>
      <c r="T221" s="43" t="inlineStr">
        <is>
          <t>кор</t>
        </is>
      </c>
      <c r="U221" s="681">
        <f>IFERROR(U217/H217,"0")+IFERROR(U218/H218,"0")+IFERROR(U219/H219,"0")+IFERROR(U220/H220,"0")</f>
        <v/>
      </c>
      <c r="V221" s="681">
        <f>IFERROR(V217/H217,"0")+IFERROR(V218/H218,"0")+IFERROR(V219/H219,"0")+IFERROR(V220/H220,"0")</f>
        <v/>
      </c>
      <c r="W221" s="681">
        <f>IFERROR(IF(W217="",0,W217),"0")+IFERROR(IF(W218="",0,W218),"0")+IFERROR(IF(W219="",0,W219),"0")+IFERROR(IF(W220="",0,W220),"0")</f>
        <v/>
      </c>
      <c r="X221" s="682" t="n"/>
      <c r="Y221" s="682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679" t="n"/>
      <c r="M222" s="680" t="inlineStr">
        <is>
          <t>Итого</t>
        </is>
      </c>
      <c r="N222" s="650" t="n"/>
      <c r="O222" s="650" t="n"/>
      <c r="P222" s="650" t="n"/>
      <c r="Q222" s="650" t="n"/>
      <c r="R222" s="650" t="n"/>
      <c r="S222" s="651" t="n"/>
      <c r="T222" s="43" t="inlineStr">
        <is>
          <t>кг</t>
        </is>
      </c>
      <c r="U222" s="681">
        <f>IFERROR(SUM(U217:U220),"0")</f>
        <v/>
      </c>
      <c r="V222" s="681">
        <f>IFERROR(SUM(V217:V220),"0")</f>
        <v/>
      </c>
      <c r="W222" s="43" t="n"/>
      <c r="X222" s="682" t="n"/>
      <c r="Y222" s="682" t="n"/>
    </row>
    <row r="223" ht="14.25" customHeight="1">
      <c r="A223" s="327" t="inlineStr">
        <is>
          <t>Сосиски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327" t="n"/>
      <c r="Y223" s="327" t="n"/>
    </row>
    <row r="224" ht="16.5" customHeight="1">
      <c r="A224" s="64" t="inlineStr">
        <is>
          <t>SU001340</t>
        </is>
      </c>
      <c r="B224" s="64" t="inlineStr">
        <is>
          <t>P002209</t>
        </is>
      </c>
      <c r="C224" s="37" t="n">
        <v>4301051100</v>
      </c>
      <c r="D224" s="328" t="n">
        <v>4607091387766</v>
      </c>
      <c r="E224" s="642" t="n"/>
      <c r="F224" s="674" t="n">
        <v>1.35</v>
      </c>
      <c r="G224" s="38" t="n">
        <v>6</v>
      </c>
      <c r="H224" s="674" t="n">
        <v>8.1</v>
      </c>
      <c r="I224" s="674" t="n">
        <v>8.657999999999999</v>
      </c>
      <c r="J224" s="38" t="n">
        <v>56</v>
      </c>
      <c r="K224" s="39" t="inlineStr">
        <is>
          <t>СК3</t>
        </is>
      </c>
      <c r="L224" s="38" t="n">
        <v>40</v>
      </c>
      <c r="M224" s="805">
        <f>HYPERLINK("https://abi.ru/products/Охлажденные/Стародворье/Бордо/Сосиски/P002209/","Сосиски Ганноверские Бордо Весовые П/а мгс Баварушка")</f>
        <v/>
      </c>
      <c r="N224" s="676" t="n"/>
      <c r="O224" s="676" t="n"/>
      <c r="P224" s="676" t="n"/>
      <c r="Q224" s="642" t="n"/>
      <c r="R224" s="40" t="inlineStr"/>
      <c r="S224" s="40" t="inlineStr"/>
      <c r="T224" s="41" t="inlineStr">
        <is>
          <t>кг</t>
        </is>
      </c>
      <c r="U224" s="677" t="n">
        <v>0</v>
      </c>
      <c r="V224" s="678">
        <f>IFERROR(IF(U224="",0,CEILING((U224/$H224),1)*$H224),"")</f>
        <v/>
      </c>
      <c r="W224" s="42">
        <f>IFERROR(IF(V224=0,"",ROUNDUP(V224/H224,0)*0.02175),"")</f>
        <v/>
      </c>
      <c r="X224" s="69" t="inlineStr"/>
      <c r="Y224" s="70" t="inlineStr"/>
      <c r="AC224" s="71" t="n"/>
      <c r="AZ224" s="196" t="inlineStr">
        <is>
          <t>КИ</t>
        </is>
      </c>
    </row>
    <row r="225" ht="27" customHeight="1">
      <c r="A225" s="64" t="inlineStr">
        <is>
          <t>SU001727</t>
        </is>
      </c>
      <c r="B225" s="64" t="inlineStr">
        <is>
          <t>P002205</t>
        </is>
      </c>
      <c r="C225" s="37" t="n">
        <v>4301051116</v>
      </c>
      <c r="D225" s="328" t="n">
        <v>4607091387957</v>
      </c>
      <c r="E225" s="642" t="n"/>
      <c r="F225" s="674" t="n">
        <v>1.3</v>
      </c>
      <c r="G225" s="38" t="n">
        <v>6</v>
      </c>
      <c r="H225" s="674" t="n">
        <v>7.8</v>
      </c>
      <c r="I225" s="674" t="n">
        <v>8.364000000000001</v>
      </c>
      <c r="J225" s="38" t="n">
        <v>56</v>
      </c>
      <c r="K225" s="39" t="inlineStr">
        <is>
          <t>СК2</t>
        </is>
      </c>
      <c r="L225" s="38" t="n">
        <v>40</v>
      </c>
      <c r="M225" s="806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225" s="676" t="n"/>
      <c r="O225" s="676" t="n"/>
      <c r="P225" s="676" t="n"/>
      <c r="Q225" s="642" t="n"/>
      <c r="R225" s="40" t="inlineStr"/>
      <c r="S225" s="40" t="inlineStr"/>
      <c r="T225" s="41" t="inlineStr">
        <is>
          <t>кг</t>
        </is>
      </c>
      <c r="U225" s="677" t="n">
        <v>0</v>
      </c>
      <c r="V225" s="678">
        <f>IFERROR(IF(U225="",0,CEILING((U225/$H225),1)*$H225),"")</f>
        <v/>
      </c>
      <c r="W225" s="42">
        <f>IFERROR(IF(V225=0,"",ROUNDUP(V225/H225,0)*0.02175),"")</f>
        <v/>
      </c>
      <c r="X225" s="69" t="inlineStr"/>
      <c r="Y225" s="70" t="inlineStr"/>
      <c r="AC225" s="71" t="n"/>
      <c r="AZ225" s="197" t="inlineStr">
        <is>
          <t>КИ</t>
        </is>
      </c>
    </row>
    <row r="226" ht="27" customHeight="1">
      <c r="A226" s="64" t="inlineStr">
        <is>
          <t>SU001728</t>
        </is>
      </c>
      <c r="B226" s="64" t="inlineStr">
        <is>
          <t>P002207</t>
        </is>
      </c>
      <c r="C226" s="37" t="n">
        <v>4301051115</v>
      </c>
      <c r="D226" s="328" t="n">
        <v>4607091387964</v>
      </c>
      <c r="E226" s="642" t="n"/>
      <c r="F226" s="674" t="n">
        <v>1.35</v>
      </c>
      <c r="G226" s="38" t="n">
        <v>6</v>
      </c>
      <c r="H226" s="674" t="n">
        <v>8.1</v>
      </c>
      <c r="I226" s="674" t="n">
        <v>8.646000000000001</v>
      </c>
      <c r="J226" s="38" t="n">
        <v>56</v>
      </c>
      <c r="K226" s="39" t="inlineStr">
        <is>
          <t>СК2</t>
        </is>
      </c>
      <c r="L226" s="38" t="n">
        <v>40</v>
      </c>
      <c r="M226" s="807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226" s="676" t="n"/>
      <c r="O226" s="676" t="n"/>
      <c r="P226" s="676" t="n"/>
      <c r="Q226" s="642" t="n"/>
      <c r="R226" s="40" t="inlineStr"/>
      <c r="S226" s="40" t="inlineStr"/>
      <c r="T226" s="41" t="inlineStr">
        <is>
          <t>кг</t>
        </is>
      </c>
      <c r="U226" s="677" t="n">
        <v>0</v>
      </c>
      <c r="V226" s="678">
        <f>IFERROR(IF(U226="",0,CEILING((U226/$H226),1)*$H226),"")</f>
        <v/>
      </c>
      <c r="W226" s="42">
        <f>IFERROR(IF(V226=0,"",ROUNDUP(V226/H226,0)*0.02175),"")</f>
        <v/>
      </c>
      <c r="X226" s="69" t="inlineStr"/>
      <c r="Y226" s="70" t="inlineStr"/>
      <c r="AC226" s="71" t="n"/>
      <c r="AZ226" s="198" t="inlineStr">
        <is>
          <t>КИ</t>
        </is>
      </c>
    </row>
    <row r="227" ht="16.5" customHeight="1">
      <c r="A227" s="64" t="inlineStr">
        <is>
          <t>SU001341</t>
        </is>
      </c>
      <c r="B227" s="64" t="inlineStr">
        <is>
          <t>P002204</t>
        </is>
      </c>
      <c r="C227" s="37" t="n">
        <v>4301051134</v>
      </c>
      <c r="D227" s="328" t="n">
        <v>4607091381672</v>
      </c>
      <c r="E227" s="642" t="n"/>
      <c r="F227" s="674" t="n">
        <v>0.6</v>
      </c>
      <c r="G227" s="38" t="n">
        <v>6</v>
      </c>
      <c r="H227" s="674" t="n">
        <v>3.6</v>
      </c>
      <c r="I227" s="674" t="n">
        <v>3.876</v>
      </c>
      <c r="J227" s="38" t="n">
        <v>120</v>
      </c>
      <c r="K227" s="39" t="inlineStr">
        <is>
          <t>СК2</t>
        </is>
      </c>
      <c r="L227" s="38" t="n">
        <v>40</v>
      </c>
      <c r="M227" s="808">
        <f>HYPERLINK("https://abi.ru/products/Охлажденные/Стародворье/Бордо/Сосиски/P002204/","Сосиски Ганноверские Бордо Фикс.вес 0,6 П/а мгс Баварушка")</f>
        <v/>
      </c>
      <c r="N227" s="676" t="n"/>
      <c r="O227" s="676" t="n"/>
      <c r="P227" s="676" t="n"/>
      <c r="Q227" s="642" t="n"/>
      <c r="R227" s="40" t="inlineStr"/>
      <c r="S227" s="40" t="inlineStr"/>
      <c r="T227" s="41" t="inlineStr">
        <is>
          <t>кг</t>
        </is>
      </c>
      <c r="U227" s="677" t="n">
        <v>0</v>
      </c>
      <c r="V227" s="678">
        <f>IFERROR(IF(U227="",0,CEILING((U227/$H227),1)*$H227),"")</f>
        <v/>
      </c>
      <c r="W227" s="42">
        <f>IFERROR(IF(V227=0,"",ROUNDUP(V227/H227,0)*0.00937),"")</f>
        <v/>
      </c>
      <c r="X227" s="69" t="inlineStr"/>
      <c r="Y227" s="70" t="inlineStr"/>
      <c r="AC227" s="71" t="n"/>
      <c r="AZ227" s="199" t="inlineStr">
        <is>
          <t>КИ</t>
        </is>
      </c>
    </row>
    <row r="228" ht="27" customHeight="1">
      <c r="A228" s="64" t="inlineStr">
        <is>
          <t>SU001763</t>
        </is>
      </c>
      <c r="B228" s="64" t="inlineStr">
        <is>
          <t>P002206</t>
        </is>
      </c>
      <c r="C228" s="37" t="n">
        <v>4301051130</v>
      </c>
      <c r="D228" s="328" t="n">
        <v>4607091387537</v>
      </c>
      <c r="E228" s="642" t="n"/>
      <c r="F228" s="674" t="n">
        <v>0.45</v>
      </c>
      <c r="G228" s="38" t="n">
        <v>6</v>
      </c>
      <c r="H228" s="674" t="n">
        <v>2.7</v>
      </c>
      <c r="I228" s="674" t="n">
        <v>2.99</v>
      </c>
      <c r="J228" s="38" t="n">
        <v>156</v>
      </c>
      <c r="K228" s="39" t="inlineStr">
        <is>
          <t>СК2</t>
        </is>
      </c>
      <c r="L228" s="38" t="n">
        <v>40</v>
      </c>
      <c r="M228" s="809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228" s="676" t="n"/>
      <c r="O228" s="676" t="n"/>
      <c r="P228" s="676" t="n"/>
      <c r="Q228" s="642" t="n"/>
      <c r="R228" s="40" t="inlineStr"/>
      <c r="S228" s="40" t="inlineStr"/>
      <c r="T228" s="41" t="inlineStr">
        <is>
          <t>кг</t>
        </is>
      </c>
      <c r="U228" s="677" t="n">
        <v>0</v>
      </c>
      <c r="V228" s="678">
        <f>IFERROR(IF(U228="",0,CEILING((U228/$H228),1)*$H228),"")</f>
        <v/>
      </c>
      <c r="W228" s="42">
        <f>IFERROR(IF(V228=0,"",ROUNDUP(V228/H228,0)*0.00753),"")</f>
        <v/>
      </c>
      <c r="X228" s="69" t="inlineStr"/>
      <c r="Y228" s="70" t="inlineStr"/>
      <c r="AC228" s="71" t="n"/>
      <c r="AZ228" s="200" t="inlineStr">
        <is>
          <t>КИ</t>
        </is>
      </c>
    </row>
    <row r="229" ht="27" customHeight="1">
      <c r="A229" s="64" t="inlineStr">
        <is>
          <t>SU001762</t>
        </is>
      </c>
      <c r="B229" s="64" t="inlineStr">
        <is>
          <t>P002208</t>
        </is>
      </c>
      <c r="C229" s="37" t="n">
        <v>4301051132</v>
      </c>
      <c r="D229" s="328" t="n">
        <v>4607091387513</v>
      </c>
      <c r="E229" s="642" t="n"/>
      <c r="F229" s="674" t="n">
        <v>0.45</v>
      </c>
      <c r="G229" s="38" t="n">
        <v>6</v>
      </c>
      <c r="H229" s="674" t="n">
        <v>2.7</v>
      </c>
      <c r="I229" s="674" t="n">
        <v>2.978</v>
      </c>
      <c r="J229" s="38" t="n">
        <v>156</v>
      </c>
      <c r="K229" s="39" t="inlineStr">
        <is>
          <t>СК2</t>
        </is>
      </c>
      <c r="L229" s="38" t="n">
        <v>40</v>
      </c>
      <c r="M229" s="810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229" s="676" t="n"/>
      <c r="O229" s="676" t="n"/>
      <c r="P229" s="676" t="n"/>
      <c r="Q229" s="642" t="n"/>
      <c r="R229" s="40" t="inlineStr"/>
      <c r="S229" s="40" t="inlineStr"/>
      <c r="T229" s="41" t="inlineStr">
        <is>
          <t>кг</t>
        </is>
      </c>
      <c r="U229" s="677" t="n">
        <v>0</v>
      </c>
      <c r="V229" s="678">
        <f>IFERROR(IF(U229="",0,CEILING((U229/$H229),1)*$H229),"")</f>
        <v/>
      </c>
      <c r="W229" s="42">
        <f>IFERROR(IF(V229=0,"",ROUNDUP(V229/H229,0)*0.00753),"")</f>
        <v/>
      </c>
      <c r="X229" s="69" t="inlineStr"/>
      <c r="Y229" s="70" t="inlineStr"/>
      <c r="AC229" s="71" t="n"/>
      <c r="AZ229" s="201" t="inlineStr">
        <is>
          <t>КИ</t>
        </is>
      </c>
    </row>
    <row r="230">
      <c r="A230" s="322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679" t="n"/>
      <c r="M230" s="680" t="inlineStr">
        <is>
          <t>Итого</t>
        </is>
      </c>
      <c r="N230" s="650" t="n"/>
      <c r="O230" s="650" t="n"/>
      <c r="P230" s="650" t="n"/>
      <c r="Q230" s="650" t="n"/>
      <c r="R230" s="650" t="n"/>
      <c r="S230" s="651" t="n"/>
      <c r="T230" s="43" t="inlineStr">
        <is>
          <t>кор</t>
        </is>
      </c>
      <c r="U230" s="681">
        <f>IFERROR(U224/H224,"0")+IFERROR(U225/H225,"0")+IFERROR(U226/H226,"0")+IFERROR(U227/H227,"0")+IFERROR(U228/H228,"0")+IFERROR(U229/H229,"0")</f>
        <v/>
      </c>
      <c r="V230" s="681">
        <f>IFERROR(V224/H224,"0")+IFERROR(V225/H225,"0")+IFERROR(V226/H226,"0")+IFERROR(V227/H227,"0")+IFERROR(V228/H228,"0")+IFERROR(V229/H229,"0")</f>
        <v/>
      </c>
      <c r="W230" s="681">
        <f>IFERROR(IF(W224="",0,W224),"0")+IFERROR(IF(W225="",0,W225),"0")+IFERROR(IF(W226="",0,W226),"0")+IFERROR(IF(W227="",0,W227),"0")+IFERROR(IF(W228="",0,W228),"0")+IFERROR(IF(W229="",0,W229),"0")</f>
        <v/>
      </c>
      <c r="X230" s="682" t="n"/>
      <c r="Y230" s="682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679" t="n"/>
      <c r="M231" s="680" t="inlineStr">
        <is>
          <t>Итого</t>
        </is>
      </c>
      <c r="N231" s="650" t="n"/>
      <c r="O231" s="650" t="n"/>
      <c r="P231" s="650" t="n"/>
      <c r="Q231" s="650" t="n"/>
      <c r="R231" s="650" t="n"/>
      <c r="S231" s="651" t="n"/>
      <c r="T231" s="43" t="inlineStr">
        <is>
          <t>кг</t>
        </is>
      </c>
      <c r="U231" s="681">
        <f>IFERROR(SUM(U224:U229),"0")</f>
        <v/>
      </c>
      <c r="V231" s="681">
        <f>IFERROR(SUM(V224:V229),"0")</f>
        <v/>
      </c>
      <c r="W231" s="43" t="n"/>
      <c r="X231" s="682" t="n"/>
      <c r="Y231" s="682" t="n"/>
    </row>
    <row r="232" ht="14.25" customHeight="1">
      <c r="A232" s="327" t="inlineStr">
        <is>
          <t>Сардельки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327" t="n"/>
      <c r="Y232" s="327" t="n"/>
    </row>
    <row r="233" ht="16.5" customHeight="1">
      <c r="A233" s="64" t="inlineStr">
        <is>
          <t>SU001051</t>
        </is>
      </c>
      <c r="B233" s="64" t="inlineStr">
        <is>
          <t>P002061</t>
        </is>
      </c>
      <c r="C233" s="37" t="n">
        <v>4301060326</v>
      </c>
      <c r="D233" s="328" t="n">
        <v>4607091380880</v>
      </c>
      <c r="E233" s="642" t="n"/>
      <c r="F233" s="674" t="n">
        <v>1.4</v>
      </c>
      <c r="G233" s="38" t="n">
        <v>6</v>
      </c>
      <c r="H233" s="674" t="n">
        <v>8.4</v>
      </c>
      <c r="I233" s="674" t="n">
        <v>8.964</v>
      </c>
      <c r="J233" s="38" t="n">
        <v>56</v>
      </c>
      <c r="K233" s="39" t="inlineStr">
        <is>
          <t>СК2</t>
        </is>
      </c>
      <c r="L233" s="38" t="n">
        <v>30</v>
      </c>
      <c r="M233" s="811">
        <f>HYPERLINK("https://abi.ru/products/Охлажденные/Стародворье/Бордо/Сардельки/P002061/","Сардельки Нежные Бордо Весовые н/о мгс Стародворье")</f>
        <v/>
      </c>
      <c r="N233" s="676" t="n"/>
      <c r="O233" s="676" t="n"/>
      <c r="P233" s="676" t="n"/>
      <c r="Q233" s="642" t="n"/>
      <c r="R233" s="40" t="inlineStr"/>
      <c r="S233" s="40" t="inlineStr"/>
      <c r="T233" s="41" t="inlineStr">
        <is>
          <t>кг</t>
        </is>
      </c>
      <c r="U233" s="677" t="n">
        <v>0</v>
      </c>
      <c r="V233" s="678">
        <f>IFERROR(IF(U233="",0,CEILING((U233/$H233),1)*$H233),"")</f>
        <v/>
      </c>
      <c r="W233" s="42">
        <f>IFERROR(IF(V233=0,"",ROUNDUP(V233/H233,0)*0.02175),"")</f>
        <v/>
      </c>
      <c r="X233" s="69" t="inlineStr"/>
      <c r="Y233" s="70" t="inlineStr"/>
      <c r="AC233" s="71" t="n"/>
      <c r="AZ233" s="202" t="inlineStr">
        <is>
          <t>КИ</t>
        </is>
      </c>
    </row>
    <row r="234" ht="27" customHeight="1">
      <c r="A234" s="64" t="inlineStr">
        <is>
          <t>SU000227</t>
        </is>
      </c>
      <c r="B234" s="64" t="inlineStr">
        <is>
          <t>P002536</t>
        </is>
      </c>
      <c r="C234" s="37" t="n">
        <v>4301060308</v>
      </c>
      <c r="D234" s="328" t="n">
        <v>4607091384482</v>
      </c>
      <c r="E234" s="642" t="n"/>
      <c r="F234" s="674" t="n">
        <v>1.3</v>
      </c>
      <c r="G234" s="38" t="n">
        <v>6</v>
      </c>
      <c r="H234" s="674" t="n">
        <v>7.8</v>
      </c>
      <c r="I234" s="674" t="n">
        <v>8.364000000000001</v>
      </c>
      <c r="J234" s="38" t="n">
        <v>56</v>
      </c>
      <c r="K234" s="39" t="inlineStr">
        <is>
          <t>СК2</t>
        </is>
      </c>
      <c r="L234" s="38" t="n">
        <v>30</v>
      </c>
      <c r="M234" s="812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34" s="676" t="n"/>
      <c r="O234" s="676" t="n"/>
      <c r="P234" s="676" t="n"/>
      <c r="Q234" s="642" t="n"/>
      <c r="R234" s="40" t="inlineStr"/>
      <c r="S234" s="40" t="inlineStr"/>
      <c r="T234" s="41" t="inlineStr">
        <is>
          <t>кг</t>
        </is>
      </c>
      <c r="U234" s="677" t="n">
        <v>0</v>
      </c>
      <c r="V234" s="678">
        <f>IFERROR(IF(U234="",0,CEILING((U234/$H234),1)*$H234),"")</f>
        <v/>
      </c>
      <c r="W234" s="42">
        <f>IFERROR(IF(V234=0,"",ROUNDUP(V234/H234,0)*0.02175),"")</f>
        <v/>
      </c>
      <c r="X234" s="69" t="inlineStr"/>
      <c r="Y234" s="70" t="inlineStr"/>
      <c r="AC234" s="71" t="n"/>
      <c r="AZ234" s="203" t="inlineStr">
        <is>
          <t>КИ</t>
        </is>
      </c>
    </row>
    <row r="235" ht="16.5" customHeight="1">
      <c r="A235" s="64" t="inlineStr">
        <is>
          <t>SU001430</t>
        </is>
      </c>
      <c r="B235" s="64" t="inlineStr">
        <is>
          <t>P002036</t>
        </is>
      </c>
      <c r="C235" s="37" t="n">
        <v>4301060325</v>
      </c>
      <c r="D235" s="328" t="n">
        <v>4607091380897</v>
      </c>
      <c r="E235" s="642" t="n"/>
      <c r="F235" s="674" t="n">
        <v>1.4</v>
      </c>
      <c r="G235" s="38" t="n">
        <v>6</v>
      </c>
      <c r="H235" s="674" t="n">
        <v>8.4</v>
      </c>
      <c r="I235" s="674" t="n">
        <v>8.964</v>
      </c>
      <c r="J235" s="38" t="n">
        <v>56</v>
      </c>
      <c r="K235" s="39" t="inlineStr">
        <is>
          <t>СК2</t>
        </is>
      </c>
      <c r="L235" s="38" t="n">
        <v>30</v>
      </c>
      <c r="M235" s="813">
        <f>HYPERLINK("https://abi.ru/products/Охлажденные/Стародворье/Бордо/Сардельки/P002036/","Сардельки Шпикачки Бордо Весовые NDX мгс Стародворье")</f>
        <v/>
      </c>
      <c r="N235" s="676" t="n"/>
      <c r="O235" s="676" t="n"/>
      <c r="P235" s="676" t="n"/>
      <c r="Q235" s="642" t="n"/>
      <c r="R235" s="40" t="inlineStr"/>
      <c r="S235" s="40" t="inlineStr"/>
      <c r="T235" s="41" t="inlineStr">
        <is>
          <t>кг</t>
        </is>
      </c>
      <c r="U235" s="677" t="n">
        <v>0</v>
      </c>
      <c r="V235" s="678">
        <f>IFERROR(IF(U235="",0,CEILING((U235/$H235),1)*$H235),"")</f>
        <v/>
      </c>
      <c r="W235" s="42">
        <f>IFERROR(IF(V235=0,"",ROUNDUP(V235/H235,0)*0.02175),"")</f>
        <v/>
      </c>
      <c r="X235" s="69" t="inlineStr"/>
      <c r="Y235" s="70" t="inlineStr"/>
      <c r="AC235" s="71" t="n"/>
      <c r="AZ235" s="204" t="inlineStr">
        <is>
          <t>КИ</t>
        </is>
      </c>
    </row>
    <row r="236" ht="16.5" customHeight="1">
      <c r="A236" s="64" t="inlineStr">
        <is>
          <t>SU002691</t>
        </is>
      </c>
      <c r="B236" s="64" t="inlineStr">
        <is>
          <t>P003055</t>
        </is>
      </c>
      <c r="C236" s="37" t="n">
        <v>4301060337</v>
      </c>
      <c r="D236" s="328" t="n">
        <v>4680115880368</v>
      </c>
      <c r="E236" s="642" t="n"/>
      <c r="F236" s="674" t="n">
        <v>1</v>
      </c>
      <c r="G236" s="38" t="n">
        <v>4</v>
      </c>
      <c r="H236" s="674" t="n">
        <v>4</v>
      </c>
      <c r="I236" s="674" t="n">
        <v>4.36</v>
      </c>
      <c r="J236" s="38" t="n">
        <v>104</v>
      </c>
      <c r="K236" s="39" t="inlineStr">
        <is>
          <t>СК3</t>
        </is>
      </c>
      <c r="L236" s="38" t="n">
        <v>40</v>
      </c>
      <c r="M236" s="814">
        <f>HYPERLINK("https://abi.ru/products/Охлажденные/Стародворье/Бордо/Сардельки/P003055/","Сардельки Царедворские Бордо ф/в 1 кг п/а Стародворье")</f>
        <v/>
      </c>
      <c r="N236" s="676" t="n"/>
      <c r="O236" s="676" t="n"/>
      <c r="P236" s="676" t="n"/>
      <c r="Q236" s="642" t="n"/>
      <c r="R236" s="40" t="inlineStr"/>
      <c r="S236" s="40" t="inlineStr"/>
      <c r="T236" s="41" t="inlineStr">
        <is>
          <t>кг</t>
        </is>
      </c>
      <c r="U236" s="677" t="n">
        <v>0</v>
      </c>
      <c r="V236" s="678">
        <f>IFERROR(IF(U236="",0,CEILING((U236/$H236),1)*$H236),"")</f>
        <v/>
      </c>
      <c r="W236" s="42">
        <f>IFERROR(IF(V236=0,"",ROUNDUP(V236/H236,0)*0.01196),"")</f>
        <v/>
      </c>
      <c r="X236" s="69" t="inlineStr"/>
      <c r="Y236" s="70" t="inlineStr"/>
      <c r="AC236" s="71" t="n"/>
      <c r="AZ236" s="205" t="inlineStr">
        <is>
          <t>КИ</t>
        </is>
      </c>
    </row>
    <row r="237">
      <c r="A237" s="322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679" t="n"/>
      <c r="M237" s="680" t="inlineStr">
        <is>
          <t>Итого</t>
        </is>
      </c>
      <c r="N237" s="650" t="n"/>
      <c r="O237" s="650" t="n"/>
      <c r="P237" s="650" t="n"/>
      <c r="Q237" s="650" t="n"/>
      <c r="R237" s="650" t="n"/>
      <c r="S237" s="651" t="n"/>
      <c r="T237" s="43" t="inlineStr">
        <is>
          <t>кор</t>
        </is>
      </c>
      <c r="U237" s="681">
        <f>IFERROR(U233/H233,"0")+IFERROR(U234/H234,"0")+IFERROR(U235/H235,"0")+IFERROR(U236/H236,"0")</f>
        <v/>
      </c>
      <c r="V237" s="681">
        <f>IFERROR(V233/H233,"0")+IFERROR(V234/H234,"0")+IFERROR(V235/H235,"0")+IFERROR(V236/H236,"0")</f>
        <v/>
      </c>
      <c r="W237" s="681">
        <f>IFERROR(IF(W233="",0,W233),"0")+IFERROR(IF(W234="",0,W234),"0")+IFERROR(IF(W235="",0,W235),"0")+IFERROR(IF(W236="",0,W236),"0")</f>
        <v/>
      </c>
      <c r="X237" s="682" t="n"/>
      <c r="Y237" s="682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679" t="n"/>
      <c r="M238" s="680" t="inlineStr">
        <is>
          <t>Итого</t>
        </is>
      </c>
      <c r="N238" s="650" t="n"/>
      <c r="O238" s="650" t="n"/>
      <c r="P238" s="650" t="n"/>
      <c r="Q238" s="650" t="n"/>
      <c r="R238" s="650" t="n"/>
      <c r="S238" s="651" t="n"/>
      <c r="T238" s="43" t="inlineStr">
        <is>
          <t>кг</t>
        </is>
      </c>
      <c r="U238" s="681">
        <f>IFERROR(SUM(U233:U236),"0")</f>
        <v/>
      </c>
      <c r="V238" s="681">
        <f>IFERROR(SUM(V233:V236),"0")</f>
        <v/>
      </c>
      <c r="W238" s="43" t="n"/>
      <c r="X238" s="682" t="n"/>
      <c r="Y238" s="682" t="n"/>
    </row>
    <row r="239" ht="14.25" customHeight="1">
      <c r="A239" s="327" t="inlineStr">
        <is>
          <t>Сырокопченые колбасы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327" t="n"/>
      <c r="Y239" s="327" t="n"/>
    </row>
    <row r="240" ht="16.5" customHeight="1">
      <c r="A240" s="64" t="inlineStr">
        <is>
          <t>SU001920</t>
        </is>
      </c>
      <c r="B240" s="64" t="inlineStr">
        <is>
          <t>P001900</t>
        </is>
      </c>
      <c r="C240" s="37" t="n">
        <v>4301030232</v>
      </c>
      <c r="D240" s="328" t="n">
        <v>4607091388374</v>
      </c>
      <c r="E240" s="642" t="n"/>
      <c r="F240" s="674" t="n">
        <v>0.38</v>
      </c>
      <c r="G240" s="38" t="n">
        <v>8</v>
      </c>
      <c r="H240" s="674" t="n">
        <v>3.04</v>
      </c>
      <c r="I240" s="674" t="n">
        <v>3.28</v>
      </c>
      <c r="J240" s="38" t="n">
        <v>156</v>
      </c>
      <c r="K240" s="39" t="inlineStr">
        <is>
          <t>АК</t>
        </is>
      </c>
      <c r="L240" s="38" t="n">
        <v>180</v>
      </c>
      <c r="M240" s="815" t="inlineStr">
        <is>
          <t>С/к колбасы Княжеская Бордо Весовые б/о терм/п Стародворье</t>
        </is>
      </c>
      <c r="N240" s="676" t="n"/>
      <c r="O240" s="676" t="n"/>
      <c r="P240" s="676" t="n"/>
      <c r="Q240" s="642" t="n"/>
      <c r="R240" s="40" t="inlineStr"/>
      <c r="S240" s="40" t="inlineStr"/>
      <c r="T240" s="41" t="inlineStr">
        <is>
          <t>кг</t>
        </is>
      </c>
      <c r="U240" s="677" t="n">
        <v>0</v>
      </c>
      <c r="V240" s="678">
        <f>IFERROR(IF(U240="",0,CEILING((U240/$H240),1)*$H240),"")</f>
        <v/>
      </c>
      <c r="W240" s="42">
        <f>IFERROR(IF(V240=0,"",ROUNDUP(V240/H240,0)*0.00753),"")</f>
        <v/>
      </c>
      <c r="X240" s="69" t="inlineStr"/>
      <c r="Y240" s="70" t="inlineStr"/>
      <c r="AC240" s="71" t="n"/>
      <c r="AZ240" s="206" t="inlineStr">
        <is>
          <t>КИ</t>
        </is>
      </c>
    </row>
    <row r="241" ht="27" customHeight="1">
      <c r="A241" s="64" t="inlineStr">
        <is>
          <t>SU001921</t>
        </is>
      </c>
      <c r="B241" s="64" t="inlineStr">
        <is>
          <t>P001916</t>
        </is>
      </c>
      <c r="C241" s="37" t="n">
        <v>4301030235</v>
      </c>
      <c r="D241" s="328" t="n">
        <v>4607091388381</v>
      </c>
      <c r="E241" s="642" t="n"/>
      <c r="F241" s="674" t="n">
        <v>0.38</v>
      </c>
      <c r="G241" s="38" t="n">
        <v>8</v>
      </c>
      <c r="H241" s="674" t="n">
        <v>3.04</v>
      </c>
      <c r="I241" s="674" t="n">
        <v>3.32</v>
      </c>
      <c r="J241" s="38" t="n">
        <v>156</v>
      </c>
      <c r="K241" s="39" t="inlineStr">
        <is>
          <t>АК</t>
        </is>
      </c>
      <c r="L241" s="38" t="n">
        <v>180</v>
      </c>
      <c r="M241" s="816" t="inlineStr">
        <is>
          <t>С/к колбасы Салями Охотничья Бордо Весовые б/о терм/п 180 Стародворье</t>
        </is>
      </c>
      <c r="N241" s="676" t="n"/>
      <c r="O241" s="676" t="n"/>
      <c r="P241" s="676" t="n"/>
      <c r="Q241" s="642" t="n"/>
      <c r="R241" s="40" t="inlineStr"/>
      <c r="S241" s="40" t="inlineStr"/>
      <c r="T241" s="41" t="inlineStr">
        <is>
          <t>кг</t>
        </is>
      </c>
      <c r="U241" s="677" t="n">
        <v>0</v>
      </c>
      <c r="V241" s="678">
        <f>IFERROR(IF(U241="",0,CEILING((U241/$H241),1)*$H241),"")</f>
        <v/>
      </c>
      <c r="W241" s="42">
        <f>IFERROR(IF(V241=0,"",ROUNDUP(V241/H241,0)*0.00753),"")</f>
        <v/>
      </c>
      <c r="X241" s="69" t="inlineStr"/>
      <c r="Y241" s="70" t="inlineStr"/>
      <c r="AC241" s="71" t="n"/>
      <c r="AZ241" s="207" t="inlineStr">
        <is>
          <t>КИ</t>
        </is>
      </c>
    </row>
    <row r="242" ht="27" customHeight="1">
      <c r="A242" s="64" t="inlineStr">
        <is>
          <t>SU001869</t>
        </is>
      </c>
      <c r="B242" s="64" t="inlineStr">
        <is>
          <t>P001909</t>
        </is>
      </c>
      <c r="C242" s="37" t="n">
        <v>4301030233</v>
      </c>
      <c r="D242" s="328" t="n">
        <v>4607091388404</v>
      </c>
      <c r="E242" s="642" t="n"/>
      <c r="F242" s="674" t="n">
        <v>0.17</v>
      </c>
      <c r="G242" s="38" t="n">
        <v>15</v>
      </c>
      <c r="H242" s="674" t="n">
        <v>2.55</v>
      </c>
      <c r="I242" s="674" t="n">
        <v>2.9</v>
      </c>
      <c r="J242" s="38" t="n">
        <v>156</v>
      </c>
      <c r="K242" s="39" t="inlineStr">
        <is>
          <t>АК</t>
        </is>
      </c>
      <c r="L242" s="38" t="n">
        <v>180</v>
      </c>
      <c r="M242" s="817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42" s="676" t="n"/>
      <c r="O242" s="676" t="n"/>
      <c r="P242" s="676" t="n"/>
      <c r="Q242" s="642" t="n"/>
      <c r="R242" s="40" t="inlineStr"/>
      <c r="S242" s="40" t="inlineStr"/>
      <c r="T242" s="41" t="inlineStr">
        <is>
          <t>кг</t>
        </is>
      </c>
      <c r="U242" s="677" t="n">
        <v>0</v>
      </c>
      <c r="V242" s="678">
        <f>IFERROR(IF(U242="",0,CEILING((U242/$H242),1)*$H242),"")</f>
        <v/>
      </c>
      <c r="W242" s="42">
        <f>IFERROR(IF(V242=0,"",ROUNDUP(V242/H242,0)*0.00753),"")</f>
        <v/>
      </c>
      <c r="X242" s="69" t="inlineStr"/>
      <c r="Y242" s="70" t="inlineStr"/>
      <c r="AC242" s="71" t="n"/>
      <c r="AZ242" s="208" t="inlineStr">
        <is>
          <t>КИ</t>
        </is>
      </c>
    </row>
    <row r="243">
      <c r="A243" s="322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679" t="n"/>
      <c r="M243" s="680" t="inlineStr">
        <is>
          <t>Итого</t>
        </is>
      </c>
      <c r="N243" s="650" t="n"/>
      <c r="O243" s="650" t="n"/>
      <c r="P243" s="650" t="n"/>
      <c r="Q243" s="650" t="n"/>
      <c r="R243" s="650" t="n"/>
      <c r="S243" s="651" t="n"/>
      <c r="T243" s="43" t="inlineStr">
        <is>
          <t>кор</t>
        </is>
      </c>
      <c r="U243" s="681">
        <f>IFERROR(U240/H240,"0")+IFERROR(U241/H241,"0")+IFERROR(U242/H242,"0")</f>
        <v/>
      </c>
      <c r="V243" s="681">
        <f>IFERROR(V240/H240,"0")+IFERROR(V241/H241,"0")+IFERROR(V242/H242,"0")</f>
        <v/>
      </c>
      <c r="W243" s="681">
        <f>IFERROR(IF(W240="",0,W240),"0")+IFERROR(IF(W241="",0,W241),"0")+IFERROR(IF(W242="",0,W242),"0")</f>
        <v/>
      </c>
      <c r="X243" s="682" t="n"/>
      <c r="Y243" s="682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679" t="n"/>
      <c r="M244" s="680" t="inlineStr">
        <is>
          <t>Итого</t>
        </is>
      </c>
      <c r="N244" s="650" t="n"/>
      <c r="O244" s="650" t="n"/>
      <c r="P244" s="650" t="n"/>
      <c r="Q244" s="650" t="n"/>
      <c r="R244" s="650" t="n"/>
      <c r="S244" s="651" t="n"/>
      <c r="T244" s="43" t="inlineStr">
        <is>
          <t>кг</t>
        </is>
      </c>
      <c r="U244" s="681">
        <f>IFERROR(SUM(U240:U242),"0")</f>
        <v/>
      </c>
      <c r="V244" s="681">
        <f>IFERROR(SUM(V240:V242),"0")</f>
        <v/>
      </c>
      <c r="W244" s="43" t="n"/>
      <c r="X244" s="682" t="n"/>
      <c r="Y244" s="682" t="n"/>
    </row>
    <row r="245" ht="14.25" customHeight="1">
      <c r="A245" s="327" t="inlineStr">
        <is>
          <t>Паштеты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327" t="n"/>
      <c r="Y245" s="327" t="n"/>
    </row>
    <row r="246" ht="16.5" customHeight="1">
      <c r="A246" s="64" t="inlineStr">
        <is>
          <t>SU002841</t>
        </is>
      </c>
      <c r="B246" s="64" t="inlineStr">
        <is>
          <t>P003253</t>
        </is>
      </c>
      <c r="C246" s="37" t="n">
        <v>4301180007</v>
      </c>
      <c r="D246" s="328" t="n">
        <v>4680115881808</v>
      </c>
      <c r="E246" s="642" t="n"/>
      <c r="F246" s="674" t="n">
        <v>0.1</v>
      </c>
      <c r="G246" s="38" t="n">
        <v>20</v>
      </c>
      <c r="H246" s="674" t="n">
        <v>2</v>
      </c>
      <c r="I246" s="674" t="n">
        <v>2.24</v>
      </c>
      <c r="J246" s="38" t="n">
        <v>238</v>
      </c>
      <c r="K246" s="39" t="inlineStr">
        <is>
          <t>РК</t>
        </is>
      </c>
      <c r="L246" s="38" t="n">
        <v>730</v>
      </c>
      <c r="M246" s="818">
        <f>HYPERLINK("https://abi.ru/products/Охлажденные/Стародворье/Бордо/Паштеты/P003253/","Паштеты «Любительский ГОСТ» Фикс.вес 0,1 ТМ «Стародворье»")</f>
        <v/>
      </c>
      <c r="N246" s="676" t="n"/>
      <c r="O246" s="676" t="n"/>
      <c r="P246" s="676" t="n"/>
      <c r="Q246" s="642" t="n"/>
      <c r="R246" s="40" t="inlineStr"/>
      <c r="S246" s="40" t="inlineStr"/>
      <c r="T246" s="41" t="inlineStr">
        <is>
          <t>кг</t>
        </is>
      </c>
      <c r="U246" s="677" t="n">
        <v>0</v>
      </c>
      <c r="V246" s="678">
        <f>IFERROR(IF(U246="",0,CEILING((U246/$H246),1)*$H246),"")</f>
        <v/>
      </c>
      <c r="W246" s="42">
        <f>IFERROR(IF(V246=0,"",ROUNDUP(V246/H246,0)*0.00474),"")</f>
        <v/>
      </c>
      <c r="X246" s="69" t="inlineStr"/>
      <c r="Y246" s="70" t="inlineStr"/>
      <c r="AC246" s="71" t="n"/>
      <c r="AZ246" s="209" t="inlineStr">
        <is>
          <t>КИ</t>
        </is>
      </c>
    </row>
    <row r="247" ht="27" customHeight="1">
      <c r="A247" s="64" t="inlineStr">
        <is>
          <t>SU002840</t>
        </is>
      </c>
      <c r="B247" s="64" t="inlineStr">
        <is>
          <t>P003252</t>
        </is>
      </c>
      <c r="C247" s="37" t="n">
        <v>4301180006</v>
      </c>
      <c r="D247" s="328" t="n">
        <v>4680115881822</v>
      </c>
      <c r="E247" s="642" t="n"/>
      <c r="F247" s="674" t="n">
        <v>0.1</v>
      </c>
      <c r="G247" s="38" t="n">
        <v>20</v>
      </c>
      <c r="H247" s="674" t="n">
        <v>2</v>
      </c>
      <c r="I247" s="674" t="n">
        <v>2.24</v>
      </c>
      <c r="J247" s="38" t="n">
        <v>238</v>
      </c>
      <c r="K247" s="39" t="inlineStr">
        <is>
          <t>РК</t>
        </is>
      </c>
      <c r="L247" s="38" t="n">
        <v>730</v>
      </c>
      <c r="M247" s="819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N247" s="676" t="n"/>
      <c r="O247" s="676" t="n"/>
      <c r="P247" s="676" t="n"/>
      <c r="Q247" s="642" t="n"/>
      <c r="R247" s="40" t="inlineStr"/>
      <c r="S247" s="40" t="inlineStr"/>
      <c r="T247" s="41" t="inlineStr">
        <is>
          <t>кг</t>
        </is>
      </c>
      <c r="U247" s="677" t="n">
        <v>0</v>
      </c>
      <c r="V247" s="678">
        <f>IFERROR(IF(U247="",0,CEILING((U247/$H247),1)*$H247),"")</f>
        <v/>
      </c>
      <c r="W247" s="42">
        <f>IFERROR(IF(V247=0,"",ROUNDUP(V247/H247,0)*0.00474),"")</f>
        <v/>
      </c>
      <c r="X247" s="69" t="inlineStr"/>
      <c r="Y247" s="70" t="inlineStr"/>
      <c r="AC247" s="71" t="n"/>
      <c r="AZ247" s="210" t="inlineStr">
        <is>
          <t>КИ</t>
        </is>
      </c>
    </row>
    <row r="248" ht="27" customHeight="1">
      <c r="A248" s="64" t="inlineStr">
        <is>
          <t>SU002368</t>
        </is>
      </c>
      <c r="B248" s="64" t="inlineStr">
        <is>
          <t>P002648</t>
        </is>
      </c>
      <c r="C248" s="37" t="n">
        <v>4301180001</v>
      </c>
      <c r="D248" s="328" t="n">
        <v>4680115880016</v>
      </c>
      <c r="E248" s="642" t="n"/>
      <c r="F248" s="674" t="n">
        <v>0.1</v>
      </c>
      <c r="G248" s="38" t="n">
        <v>20</v>
      </c>
      <c r="H248" s="674" t="n">
        <v>2</v>
      </c>
      <c r="I248" s="674" t="n">
        <v>2.24</v>
      </c>
      <c r="J248" s="38" t="n">
        <v>238</v>
      </c>
      <c r="K248" s="39" t="inlineStr">
        <is>
          <t>РК</t>
        </is>
      </c>
      <c r="L248" s="38" t="n">
        <v>730</v>
      </c>
      <c r="M248" s="820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48" s="676" t="n"/>
      <c r="O248" s="676" t="n"/>
      <c r="P248" s="676" t="n"/>
      <c r="Q248" s="642" t="n"/>
      <c r="R248" s="40" t="inlineStr"/>
      <c r="S248" s="40" t="inlineStr"/>
      <c r="T248" s="41" t="inlineStr">
        <is>
          <t>кг</t>
        </is>
      </c>
      <c r="U248" s="677" t="n">
        <v>0</v>
      </c>
      <c r="V248" s="678">
        <f>IFERROR(IF(U248="",0,CEILING((U248/$H248),1)*$H248),"")</f>
        <v/>
      </c>
      <c r="W248" s="42">
        <f>IFERROR(IF(V248=0,"",ROUNDUP(V248/H248,0)*0.00474),"")</f>
        <v/>
      </c>
      <c r="X248" s="69" t="inlineStr"/>
      <c r="Y248" s="70" t="inlineStr"/>
      <c r="AC248" s="71" t="n"/>
      <c r="AZ248" s="211" t="inlineStr">
        <is>
          <t>КИ</t>
        </is>
      </c>
    </row>
    <row r="249">
      <c r="A249" s="322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679" t="n"/>
      <c r="M249" s="680" t="inlineStr">
        <is>
          <t>Итого</t>
        </is>
      </c>
      <c r="N249" s="650" t="n"/>
      <c r="O249" s="650" t="n"/>
      <c r="P249" s="650" t="n"/>
      <c r="Q249" s="650" t="n"/>
      <c r="R249" s="650" t="n"/>
      <c r="S249" s="651" t="n"/>
      <c r="T249" s="43" t="inlineStr">
        <is>
          <t>кор</t>
        </is>
      </c>
      <c r="U249" s="681">
        <f>IFERROR(U246/H246,"0")+IFERROR(U247/H247,"0")+IFERROR(U248/H248,"0")</f>
        <v/>
      </c>
      <c r="V249" s="681">
        <f>IFERROR(V246/H246,"0")+IFERROR(V247/H247,"0")+IFERROR(V248/H248,"0")</f>
        <v/>
      </c>
      <c r="W249" s="681">
        <f>IFERROR(IF(W246="",0,W246),"0")+IFERROR(IF(W247="",0,W247),"0")+IFERROR(IF(W248="",0,W248),"0")</f>
        <v/>
      </c>
      <c r="X249" s="682" t="n"/>
      <c r="Y249" s="682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679" t="n"/>
      <c r="M250" s="680" t="inlineStr">
        <is>
          <t>Итого</t>
        </is>
      </c>
      <c r="N250" s="650" t="n"/>
      <c r="O250" s="650" t="n"/>
      <c r="P250" s="650" t="n"/>
      <c r="Q250" s="650" t="n"/>
      <c r="R250" s="650" t="n"/>
      <c r="S250" s="651" t="n"/>
      <c r="T250" s="43" t="inlineStr">
        <is>
          <t>кг</t>
        </is>
      </c>
      <c r="U250" s="681">
        <f>IFERROR(SUM(U246:U248),"0")</f>
        <v/>
      </c>
      <c r="V250" s="681">
        <f>IFERROR(SUM(V246:V248),"0")</f>
        <v/>
      </c>
      <c r="W250" s="43" t="n"/>
      <c r="X250" s="682" t="n"/>
      <c r="Y250" s="682" t="n"/>
    </row>
    <row r="251" ht="16.5" customHeight="1">
      <c r="A251" s="335" t="inlineStr">
        <is>
          <t>Фирменная</t>
        </is>
      </c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335" t="n"/>
      <c r="Y251" s="335" t="n"/>
    </row>
    <row r="252" ht="14.25" customHeight="1">
      <c r="A252" s="327" t="inlineStr">
        <is>
          <t>Вареные колбасы</t>
        </is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327" t="n"/>
      <c r="Y252" s="327" t="n"/>
    </row>
    <row r="253" ht="27" customHeight="1">
      <c r="A253" s="64" t="inlineStr">
        <is>
          <t>SU001793</t>
        </is>
      </c>
      <c r="B253" s="64" t="inlineStr">
        <is>
          <t>P001793</t>
        </is>
      </c>
      <c r="C253" s="37" t="n">
        <v>4301011315</v>
      </c>
      <c r="D253" s="328" t="n">
        <v>4607091387421</v>
      </c>
      <c r="E253" s="642" t="n"/>
      <c r="F253" s="674" t="n">
        <v>1.35</v>
      </c>
      <c r="G253" s="38" t="n">
        <v>8</v>
      </c>
      <c r="H253" s="674" t="n">
        <v>10.8</v>
      </c>
      <c r="I253" s="674" t="n">
        <v>11.28</v>
      </c>
      <c r="J253" s="38" t="n">
        <v>56</v>
      </c>
      <c r="K253" s="39" t="inlineStr">
        <is>
          <t>СК1</t>
        </is>
      </c>
      <c r="L253" s="38" t="n">
        <v>55</v>
      </c>
      <c r="M253" s="821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53" s="676" t="n"/>
      <c r="O253" s="676" t="n"/>
      <c r="P253" s="676" t="n"/>
      <c r="Q253" s="642" t="n"/>
      <c r="R253" s="40" t="inlineStr"/>
      <c r="S253" s="40" t="inlineStr"/>
      <c r="T253" s="41" t="inlineStr">
        <is>
          <t>кг</t>
        </is>
      </c>
      <c r="U253" s="677" t="n">
        <v>0</v>
      </c>
      <c r="V253" s="678">
        <f>IFERROR(IF(U253="",0,CEILING((U253/$H253),1)*$H253),"")</f>
        <v/>
      </c>
      <c r="W253" s="42">
        <f>IFERROR(IF(V253=0,"",ROUNDUP(V253/H253,0)*0.02175),"")</f>
        <v/>
      </c>
      <c r="X253" s="69" t="inlineStr"/>
      <c r="Y253" s="70" t="inlineStr"/>
      <c r="AC253" s="71" t="n"/>
      <c r="AZ253" s="212" t="inlineStr">
        <is>
          <t>КИ</t>
        </is>
      </c>
    </row>
    <row r="254" ht="27" customHeight="1">
      <c r="A254" s="64" t="inlineStr">
        <is>
          <t>SU001793</t>
        </is>
      </c>
      <c r="B254" s="64" t="inlineStr">
        <is>
          <t>P002227</t>
        </is>
      </c>
      <c r="C254" s="37" t="n">
        <v>4301011121</v>
      </c>
      <c r="D254" s="328" t="n">
        <v>4607091387421</v>
      </c>
      <c r="E254" s="642" t="n"/>
      <c r="F254" s="674" t="n">
        <v>1.35</v>
      </c>
      <c r="G254" s="38" t="n">
        <v>8</v>
      </c>
      <c r="H254" s="674" t="n">
        <v>10.8</v>
      </c>
      <c r="I254" s="674" t="n">
        <v>11.28</v>
      </c>
      <c r="J254" s="38" t="n">
        <v>48</v>
      </c>
      <c r="K254" s="39" t="inlineStr">
        <is>
          <t>ВЗ</t>
        </is>
      </c>
      <c r="L254" s="38" t="n">
        <v>55</v>
      </c>
      <c r="M254" s="822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54" s="676" t="n"/>
      <c r="O254" s="676" t="n"/>
      <c r="P254" s="676" t="n"/>
      <c r="Q254" s="642" t="n"/>
      <c r="R254" s="40" t="inlineStr"/>
      <c r="S254" s="40" t="inlineStr"/>
      <c r="T254" s="41" t="inlineStr">
        <is>
          <t>кг</t>
        </is>
      </c>
      <c r="U254" s="677" t="n">
        <v>180</v>
      </c>
      <c r="V254" s="678">
        <f>IFERROR(IF(U254="",0,CEILING((U254/$H254),1)*$H254),"")</f>
        <v/>
      </c>
      <c r="W254" s="42">
        <f>IFERROR(IF(V254=0,"",ROUNDUP(V254/H254,0)*0.02039),"")</f>
        <v/>
      </c>
      <c r="X254" s="69" t="inlineStr"/>
      <c r="Y254" s="70" t="inlineStr"/>
      <c r="AC254" s="71" t="n"/>
      <c r="AZ254" s="213" t="inlineStr">
        <is>
          <t>КИ</t>
        </is>
      </c>
    </row>
    <row r="255" ht="27" customHeight="1">
      <c r="A255" s="64" t="inlineStr">
        <is>
          <t>SU001799</t>
        </is>
      </c>
      <c r="B255" s="64" t="inlineStr">
        <is>
          <t>P003673</t>
        </is>
      </c>
      <c r="C255" s="37" t="n">
        <v>4301011619</v>
      </c>
      <c r="D255" s="328" t="n">
        <v>4607091387452</v>
      </c>
      <c r="E255" s="642" t="n"/>
      <c r="F255" s="674" t="n">
        <v>1.45</v>
      </c>
      <c r="G255" s="38" t="n">
        <v>8</v>
      </c>
      <c r="H255" s="674" t="n">
        <v>11.6</v>
      </c>
      <c r="I255" s="674" t="n">
        <v>12.08</v>
      </c>
      <c r="J255" s="38" t="n">
        <v>56</v>
      </c>
      <c r="K255" s="39" t="inlineStr">
        <is>
          <t>СК1</t>
        </is>
      </c>
      <c r="L255" s="38" t="n">
        <v>55</v>
      </c>
      <c r="M255" s="823" t="inlineStr">
        <is>
          <t>Вареные колбасы Молочная По-стародворски Фирменная Весовые П/а Стародворье</t>
        </is>
      </c>
      <c r="N255" s="676" t="n"/>
      <c r="O255" s="676" t="n"/>
      <c r="P255" s="676" t="n"/>
      <c r="Q255" s="642" t="n"/>
      <c r="R255" s="40" t="inlineStr"/>
      <c r="S255" s="40" t="inlineStr"/>
      <c r="T255" s="41" t="inlineStr">
        <is>
          <t>кг</t>
        </is>
      </c>
      <c r="U255" s="677" t="n">
        <v>0</v>
      </c>
      <c r="V255" s="678">
        <f>IFERROR(IF(U255="",0,CEILING((U255/$H255),1)*$H255),"")</f>
        <v/>
      </c>
      <c r="W255" s="42">
        <f>IFERROR(IF(V255=0,"",ROUNDUP(V255/H255,0)*0.02175),"")</f>
        <v/>
      </c>
      <c r="X255" s="69" t="inlineStr"/>
      <c r="Y255" s="70" t="inlineStr"/>
      <c r="AC255" s="71" t="n"/>
      <c r="AZ255" s="214" t="inlineStr">
        <is>
          <t>КИ</t>
        </is>
      </c>
    </row>
    <row r="256" ht="27" customHeight="1">
      <c r="A256" s="64" t="inlineStr">
        <is>
          <t>SU001799</t>
        </is>
      </c>
      <c r="B256" s="64" t="inlineStr">
        <is>
          <t>P003076</t>
        </is>
      </c>
      <c r="C256" s="37" t="n">
        <v>4301011396</v>
      </c>
      <c r="D256" s="328" t="n">
        <v>4607091387452</v>
      </c>
      <c r="E256" s="642" t="n"/>
      <c r="F256" s="674" t="n">
        <v>1.35</v>
      </c>
      <c r="G256" s="38" t="n">
        <v>8</v>
      </c>
      <c r="H256" s="674" t="n">
        <v>10.8</v>
      </c>
      <c r="I256" s="674" t="n">
        <v>11.28</v>
      </c>
      <c r="J256" s="38" t="n">
        <v>48</v>
      </c>
      <c r="K256" s="39" t="inlineStr">
        <is>
          <t>ВЗ</t>
        </is>
      </c>
      <c r="L256" s="38" t="n">
        <v>55</v>
      </c>
      <c r="M256" s="824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56" s="676" t="n"/>
      <c r="O256" s="676" t="n"/>
      <c r="P256" s="676" t="n"/>
      <c r="Q256" s="642" t="n"/>
      <c r="R256" s="40" t="inlineStr"/>
      <c r="S256" s="40" t="inlineStr"/>
      <c r="T256" s="41" t="inlineStr">
        <is>
          <t>кг</t>
        </is>
      </c>
      <c r="U256" s="677" t="n">
        <v>0</v>
      </c>
      <c r="V256" s="678">
        <f>IFERROR(IF(U256="",0,CEILING((U256/$H256),1)*$H256),"")</f>
        <v/>
      </c>
      <c r="W256" s="42">
        <f>IFERROR(IF(V256=0,"",ROUNDUP(V256/H256,0)*0.02039),"")</f>
        <v/>
      </c>
      <c r="X256" s="69" t="inlineStr"/>
      <c r="Y256" s="70" t="inlineStr"/>
      <c r="AC256" s="71" t="n"/>
      <c r="AZ256" s="215" t="inlineStr">
        <is>
          <t>КИ</t>
        </is>
      </c>
    </row>
    <row r="257" ht="27" customHeight="1">
      <c r="A257" s="64" t="inlineStr">
        <is>
          <t>SU001792</t>
        </is>
      </c>
      <c r="B257" s="64" t="inlineStr">
        <is>
          <t>P001792</t>
        </is>
      </c>
      <c r="C257" s="37" t="n">
        <v>4301011313</v>
      </c>
      <c r="D257" s="328" t="n">
        <v>4607091385984</v>
      </c>
      <c r="E257" s="642" t="n"/>
      <c r="F257" s="674" t="n">
        <v>1.35</v>
      </c>
      <c r="G257" s="38" t="n">
        <v>8</v>
      </c>
      <c r="H257" s="674" t="n">
        <v>10.8</v>
      </c>
      <c r="I257" s="674" t="n">
        <v>11.28</v>
      </c>
      <c r="J257" s="38" t="n">
        <v>56</v>
      </c>
      <c r="K257" s="39" t="inlineStr">
        <is>
          <t>СК1</t>
        </is>
      </c>
      <c r="L257" s="38" t="n">
        <v>55</v>
      </c>
      <c r="M257" s="825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57" s="676" t="n"/>
      <c r="O257" s="676" t="n"/>
      <c r="P257" s="676" t="n"/>
      <c r="Q257" s="642" t="n"/>
      <c r="R257" s="40" t="inlineStr"/>
      <c r="S257" s="40" t="inlineStr"/>
      <c r="T257" s="41" t="inlineStr">
        <is>
          <t>кг</t>
        </is>
      </c>
      <c r="U257" s="677" t="n">
        <v>0</v>
      </c>
      <c r="V257" s="678">
        <f>IFERROR(IF(U257="",0,CEILING((U257/$H257),1)*$H257),"")</f>
        <v/>
      </c>
      <c r="W257" s="42">
        <f>IFERROR(IF(V257=0,"",ROUNDUP(V257/H257,0)*0.02175),"")</f>
        <v/>
      </c>
      <c r="X257" s="69" t="inlineStr"/>
      <c r="Y257" s="70" t="inlineStr"/>
      <c r="AC257" s="71" t="n"/>
      <c r="AZ257" s="216" t="inlineStr">
        <is>
          <t>КИ</t>
        </is>
      </c>
    </row>
    <row r="258" ht="27" customHeight="1">
      <c r="A258" s="64" t="inlineStr">
        <is>
          <t>SU001794</t>
        </is>
      </c>
      <c r="B258" s="64" t="inlineStr">
        <is>
          <t>P001794</t>
        </is>
      </c>
      <c r="C258" s="37" t="n">
        <v>4301011316</v>
      </c>
      <c r="D258" s="328" t="n">
        <v>4607091387438</v>
      </c>
      <c r="E258" s="642" t="n"/>
      <c r="F258" s="674" t="n">
        <v>0.5</v>
      </c>
      <c r="G258" s="38" t="n">
        <v>10</v>
      </c>
      <c r="H258" s="674" t="n">
        <v>5</v>
      </c>
      <c r="I258" s="674" t="n">
        <v>5.24</v>
      </c>
      <c r="J258" s="38" t="n">
        <v>120</v>
      </c>
      <c r="K258" s="39" t="inlineStr">
        <is>
          <t>СК1</t>
        </is>
      </c>
      <c r="L258" s="38" t="n">
        <v>55</v>
      </c>
      <c r="M258" s="826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58" s="676" t="n"/>
      <c r="O258" s="676" t="n"/>
      <c r="P258" s="676" t="n"/>
      <c r="Q258" s="642" t="n"/>
      <c r="R258" s="40" t="inlineStr"/>
      <c r="S258" s="40" t="inlineStr"/>
      <c r="T258" s="41" t="inlineStr">
        <is>
          <t>кг</t>
        </is>
      </c>
      <c r="U258" s="677" t="n">
        <v>0</v>
      </c>
      <c r="V258" s="678">
        <f>IFERROR(IF(U258="",0,CEILING((U258/$H258),1)*$H258),"")</f>
        <v/>
      </c>
      <c r="W258" s="42">
        <f>IFERROR(IF(V258=0,"",ROUNDUP(V258/H258,0)*0.00937),"")</f>
        <v/>
      </c>
      <c r="X258" s="69" t="inlineStr"/>
      <c r="Y258" s="70" t="inlineStr"/>
      <c r="AC258" s="71" t="n"/>
      <c r="AZ258" s="217" t="inlineStr">
        <is>
          <t>КИ</t>
        </is>
      </c>
    </row>
    <row r="259" ht="27" customHeight="1">
      <c r="A259" s="64" t="inlineStr">
        <is>
          <t>SU001795</t>
        </is>
      </c>
      <c r="B259" s="64" t="inlineStr">
        <is>
          <t>P001795</t>
        </is>
      </c>
      <c r="C259" s="37" t="n">
        <v>4301011318</v>
      </c>
      <c r="D259" s="328" t="n">
        <v>4607091387469</v>
      </c>
      <c r="E259" s="642" t="n"/>
      <c r="F259" s="674" t="n">
        <v>0.5</v>
      </c>
      <c r="G259" s="38" t="n">
        <v>10</v>
      </c>
      <c r="H259" s="674" t="n">
        <v>5</v>
      </c>
      <c r="I259" s="674" t="n">
        <v>5.21</v>
      </c>
      <c r="J259" s="38" t="n">
        <v>120</v>
      </c>
      <c r="K259" s="39" t="inlineStr">
        <is>
          <t>СК2</t>
        </is>
      </c>
      <c r="L259" s="38" t="n">
        <v>55</v>
      </c>
      <c r="M259" s="827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59" s="676" t="n"/>
      <c r="O259" s="676" t="n"/>
      <c r="P259" s="676" t="n"/>
      <c r="Q259" s="642" t="n"/>
      <c r="R259" s="40" t="inlineStr"/>
      <c r="S259" s="40" t="inlineStr"/>
      <c r="T259" s="41" t="inlineStr">
        <is>
          <t>кг</t>
        </is>
      </c>
      <c r="U259" s="677" t="n">
        <v>0</v>
      </c>
      <c r="V259" s="678">
        <f>IFERROR(IF(U259="",0,CEILING((U259/$H259),1)*$H259),"")</f>
        <v/>
      </c>
      <c r="W259" s="42">
        <f>IFERROR(IF(V259=0,"",ROUNDUP(V259/H259,0)*0.00937),"")</f>
        <v/>
      </c>
      <c r="X259" s="69" t="inlineStr"/>
      <c r="Y259" s="70" t="inlineStr"/>
      <c r="AC259" s="71" t="n"/>
      <c r="AZ259" s="218" t="inlineStr">
        <is>
          <t>КИ</t>
        </is>
      </c>
    </row>
    <row r="260">
      <c r="A260" s="322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679" t="n"/>
      <c r="M260" s="680" t="inlineStr">
        <is>
          <t>Итого</t>
        </is>
      </c>
      <c r="N260" s="650" t="n"/>
      <c r="O260" s="650" t="n"/>
      <c r="P260" s="650" t="n"/>
      <c r="Q260" s="650" t="n"/>
      <c r="R260" s="650" t="n"/>
      <c r="S260" s="651" t="n"/>
      <c r="T260" s="43" t="inlineStr">
        <is>
          <t>кор</t>
        </is>
      </c>
      <c r="U260" s="681">
        <f>IFERROR(U253/H253,"0")+IFERROR(U254/H254,"0")+IFERROR(U255/H255,"0")+IFERROR(U256/H256,"0")+IFERROR(U257/H257,"0")+IFERROR(U258/H258,"0")+IFERROR(U259/H259,"0")</f>
        <v/>
      </c>
      <c r="V260" s="681">
        <f>IFERROR(V253/H253,"0")+IFERROR(V254/H254,"0")+IFERROR(V255/H255,"0")+IFERROR(V256/H256,"0")+IFERROR(V257/H257,"0")+IFERROR(V258/H258,"0")+IFERROR(V259/H259,"0")</f>
        <v/>
      </c>
      <c r="W260" s="681">
        <f>IFERROR(IF(W253="",0,W253),"0")+IFERROR(IF(W254="",0,W254),"0")+IFERROR(IF(W255="",0,W255),"0")+IFERROR(IF(W256="",0,W256),"0")+IFERROR(IF(W257="",0,W257),"0")+IFERROR(IF(W258="",0,W258),"0")+IFERROR(IF(W259="",0,W259),"0")</f>
        <v/>
      </c>
      <c r="X260" s="682" t="n"/>
      <c r="Y260" s="682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679" t="n"/>
      <c r="M261" s="680" t="inlineStr">
        <is>
          <t>Итого</t>
        </is>
      </c>
      <c r="N261" s="650" t="n"/>
      <c r="O261" s="650" t="n"/>
      <c r="P261" s="650" t="n"/>
      <c r="Q261" s="650" t="n"/>
      <c r="R261" s="650" t="n"/>
      <c r="S261" s="651" t="n"/>
      <c r="T261" s="43" t="inlineStr">
        <is>
          <t>кг</t>
        </is>
      </c>
      <c r="U261" s="681">
        <f>IFERROR(SUM(U253:U259),"0")</f>
        <v/>
      </c>
      <c r="V261" s="681">
        <f>IFERROR(SUM(V253:V259),"0")</f>
        <v/>
      </c>
      <c r="W261" s="43" t="n"/>
      <c r="X261" s="682" t="n"/>
      <c r="Y261" s="682" t="n"/>
    </row>
    <row r="262" ht="14.25" customHeight="1">
      <c r="A262" s="327" t="inlineStr">
        <is>
          <t>Копченые колбасы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327" t="n"/>
      <c r="Y262" s="327" t="n"/>
    </row>
    <row r="263" ht="27" customHeight="1">
      <c r="A263" s="64" t="inlineStr">
        <is>
          <t>SU001801</t>
        </is>
      </c>
      <c r="B263" s="64" t="inlineStr">
        <is>
          <t>P003014</t>
        </is>
      </c>
      <c r="C263" s="37" t="n">
        <v>4301031154</v>
      </c>
      <c r="D263" s="328" t="n">
        <v>4607091387292</v>
      </c>
      <c r="E263" s="642" t="n"/>
      <c r="F263" s="674" t="n">
        <v>0.73</v>
      </c>
      <c r="G263" s="38" t="n">
        <v>6</v>
      </c>
      <c r="H263" s="674" t="n">
        <v>4.38</v>
      </c>
      <c r="I263" s="674" t="n">
        <v>4.64</v>
      </c>
      <c r="J263" s="38" t="n">
        <v>156</v>
      </c>
      <c r="K263" s="39" t="inlineStr">
        <is>
          <t>СК2</t>
        </is>
      </c>
      <c r="L263" s="38" t="n">
        <v>45</v>
      </c>
      <c r="M263" s="828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63" s="676" t="n"/>
      <c r="O263" s="676" t="n"/>
      <c r="P263" s="676" t="n"/>
      <c r="Q263" s="642" t="n"/>
      <c r="R263" s="40" t="inlineStr"/>
      <c r="S263" s="40" t="inlineStr"/>
      <c r="T263" s="41" t="inlineStr">
        <is>
          <t>кг</t>
        </is>
      </c>
      <c r="U263" s="677" t="n">
        <v>0</v>
      </c>
      <c r="V263" s="678">
        <f>IFERROR(IF(U263="",0,CEILING((U263/$H263),1)*$H263),"")</f>
        <v/>
      </c>
      <c r="W263" s="42">
        <f>IFERROR(IF(V263=0,"",ROUNDUP(V263/H263,0)*0.00753),"")</f>
        <v/>
      </c>
      <c r="X263" s="69" t="inlineStr"/>
      <c r="Y263" s="70" t="inlineStr"/>
      <c r="AC263" s="71" t="n"/>
      <c r="AZ263" s="219" t="inlineStr">
        <is>
          <t>КИ</t>
        </is>
      </c>
    </row>
    <row r="264" ht="27" customHeight="1">
      <c r="A264" s="64" t="inlineStr">
        <is>
          <t>SU000231</t>
        </is>
      </c>
      <c r="B264" s="64" t="inlineStr">
        <is>
          <t>P003015</t>
        </is>
      </c>
      <c r="C264" s="37" t="n">
        <v>4301031155</v>
      </c>
      <c r="D264" s="328" t="n">
        <v>4607091387315</v>
      </c>
      <c r="E264" s="642" t="n"/>
      <c r="F264" s="674" t="n">
        <v>0.7</v>
      </c>
      <c r="G264" s="38" t="n">
        <v>4</v>
      </c>
      <c r="H264" s="674" t="n">
        <v>2.8</v>
      </c>
      <c r="I264" s="674" t="n">
        <v>3.048</v>
      </c>
      <c r="J264" s="38" t="n">
        <v>156</v>
      </c>
      <c r="K264" s="39" t="inlineStr">
        <is>
          <t>СК2</t>
        </is>
      </c>
      <c r="L264" s="38" t="n">
        <v>45</v>
      </c>
      <c r="M264" s="829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64" s="676" t="n"/>
      <c r="O264" s="676" t="n"/>
      <c r="P264" s="676" t="n"/>
      <c r="Q264" s="642" t="n"/>
      <c r="R264" s="40" t="inlineStr"/>
      <c r="S264" s="40" t="inlineStr"/>
      <c r="T264" s="41" t="inlineStr">
        <is>
          <t>кг</t>
        </is>
      </c>
      <c r="U264" s="677" t="n">
        <v>0</v>
      </c>
      <c r="V264" s="678">
        <f>IFERROR(IF(U264="",0,CEILING((U264/$H264),1)*$H264),"")</f>
        <v/>
      </c>
      <c r="W264" s="42">
        <f>IFERROR(IF(V264=0,"",ROUNDUP(V264/H264,0)*0.00753),"")</f>
        <v/>
      </c>
      <c r="X264" s="69" t="inlineStr"/>
      <c r="Y264" s="70" t="inlineStr"/>
      <c r="AC264" s="71" t="n"/>
      <c r="AZ264" s="220" t="inlineStr">
        <is>
          <t>КИ</t>
        </is>
      </c>
    </row>
    <row r="265">
      <c r="A265" s="322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679" t="n"/>
      <c r="M265" s="680" t="inlineStr">
        <is>
          <t>Итого</t>
        </is>
      </c>
      <c r="N265" s="650" t="n"/>
      <c r="O265" s="650" t="n"/>
      <c r="P265" s="650" t="n"/>
      <c r="Q265" s="650" t="n"/>
      <c r="R265" s="650" t="n"/>
      <c r="S265" s="651" t="n"/>
      <c r="T265" s="43" t="inlineStr">
        <is>
          <t>кор</t>
        </is>
      </c>
      <c r="U265" s="681">
        <f>IFERROR(U263/H263,"0")+IFERROR(U264/H264,"0")</f>
        <v/>
      </c>
      <c r="V265" s="681">
        <f>IFERROR(V263/H263,"0")+IFERROR(V264/H264,"0")</f>
        <v/>
      </c>
      <c r="W265" s="681">
        <f>IFERROR(IF(W263="",0,W263),"0")+IFERROR(IF(W264="",0,W264),"0")</f>
        <v/>
      </c>
      <c r="X265" s="682" t="n"/>
      <c r="Y265" s="682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679" t="n"/>
      <c r="M266" s="680" t="inlineStr">
        <is>
          <t>Итого</t>
        </is>
      </c>
      <c r="N266" s="650" t="n"/>
      <c r="O266" s="650" t="n"/>
      <c r="P266" s="650" t="n"/>
      <c r="Q266" s="650" t="n"/>
      <c r="R266" s="650" t="n"/>
      <c r="S266" s="651" t="n"/>
      <c r="T266" s="43" t="inlineStr">
        <is>
          <t>кг</t>
        </is>
      </c>
      <c r="U266" s="681">
        <f>IFERROR(SUM(U263:U264),"0")</f>
        <v/>
      </c>
      <c r="V266" s="681">
        <f>IFERROR(SUM(V263:V264),"0")</f>
        <v/>
      </c>
      <c r="W266" s="43" t="n"/>
      <c r="X266" s="682" t="n"/>
      <c r="Y266" s="682" t="n"/>
    </row>
    <row r="267" ht="16.5" customHeight="1">
      <c r="A267" s="335" t="inlineStr">
        <is>
          <t>Бавария</t>
        </is>
      </c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335" t="n"/>
      <c r="Y267" s="335" t="n"/>
    </row>
    <row r="268" ht="14.25" customHeight="1">
      <c r="A268" s="327" t="inlineStr">
        <is>
          <t>Копченые колбасы</t>
        </is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327" t="n"/>
      <c r="Y268" s="327" t="n"/>
    </row>
    <row r="269" ht="27" customHeight="1">
      <c r="A269" s="64" t="inlineStr">
        <is>
          <t>SU002252</t>
        </is>
      </c>
      <c r="B269" s="64" t="inlineStr">
        <is>
          <t>P002461</t>
        </is>
      </c>
      <c r="C269" s="37" t="n">
        <v>4301031066</v>
      </c>
      <c r="D269" s="328" t="n">
        <v>4607091383836</v>
      </c>
      <c r="E269" s="642" t="n"/>
      <c r="F269" s="674" t="n">
        <v>0.3</v>
      </c>
      <c r="G269" s="38" t="n">
        <v>6</v>
      </c>
      <c r="H269" s="674" t="n">
        <v>1.8</v>
      </c>
      <c r="I269" s="674" t="n">
        <v>2.048</v>
      </c>
      <c r="J269" s="38" t="n">
        <v>156</v>
      </c>
      <c r="K269" s="39" t="inlineStr">
        <is>
          <t>СК2</t>
        </is>
      </c>
      <c r="L269" s="38" t="n">
        <v>40</v>
      </c>
      <c r="M269" s="830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69" s="676" t="n"/>
      <c r="O269" s="676" t="n"/>
      <c r="P269" s="676" t="n"/>
      <c r="Q269" s="642" t="n"/>
      <c r="R269" s="40" t="inlineStr"/>
      <c r="S269" s="40" t="inlineStr"/>
      <c r="T269" s="41" t="inlineStr">
        <is>
          <t>кг</t>
        </is>
      </c>
      <c r="U269" s="677" t="n">
        <v>0</v>
      </c>
      <c r="V269" s="678">
        <f>IFERROR(IF(U269="",0,CEILING((U269/$H269),1)*$H269),"")</f>
        <v/>
      </c>
      <c r="W269" s="42">
        <f>IFERROR(IF(V269=0,"",ROUNDUP(V269/H269,0)*0.00753),"")</f>
        <v/>
      </c>
      <c r="X269" s="69" t="inlineStr"/>
      <c r="Y269" s="70" t="inlineStr"/>
      <c r="AC269" s="71" t="n"/>
      <c r="AZ269" s="221" t="inlineStr">
        <is>
          <t>КИ</t>
        </is>
      </c>
    </row>
    <row r="270">
      <c r="A270" s="322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679" t="n"/>
      <c r="M270" s="680" t="inlineStr">
        <is>
          <t>Итого</t>
        </is>
      </c>
      <c r="N270" s="650" t="n"/>
      <c r="O270" s="650" t="n"/>
      <c r="P270" s="650" t="n"/>
      <c r="Q270" s="650" t="n"/>
      <c r="R270" s="650" t="n"/>
      <c r="S270" s="651" t="n"/>
      <c r="T270" s="43" t="inlineStr">
        <is>
          <t>кор</t>
        </is>
      </c>
      <c r="U270" s="681">
        <f>IFERROR(U269/H269,"0")</f>
        <v/>
      </c>
      <c r="V270" s="681">
        <f>IFERROR(V269/H269,"0")</f>
        <v/>
      </c>
      <c r="W270" s="681">
        <f>IFERROR(IF(W269="",0,W269),"0")</f>
        <v/>
      </c>
      <c r="X270" s="682" t="n"/>
      <c r="Y270" s="682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679" t="n"/>
      <c r="M271" s="680" t="inlineStr">
        <is>
          <t>Итого</t>
        </is>
      </c>
      <c r="N271" s="650" t="n"/>
      <c r="O271" s="650" t="n"/>
      <c r="P271" s="650" t="n"/>
      <c r="Q271" s="650" t="n"/>
      <c r="R271" s="650" t="n"/>
      <c r="S271" s="651" t="n"/>
      <c r="T271" s="43" t="inlineStr">
        <is>
          <t>кг</t>
        </is>
      </c>
      <c r="U271" s="681">
        <f>IFERROR(SUM(U269:U269),"0")</f>
        <v/>
      </c>
      <c r="V271" s="681">
        <f>IFERROR(SUM(V269:V269),"0")</f>
        <v/>
      </c>
      <c r="W271" s="43" t="n"/>
      <c r="X271" s="682" t="n"/>
      <c r="Y271" s="682" t="n"/>
    </row>
    <row r="272" ht="14.25" customHeight="1">
      <c r="A272" s="327" t="inlineStr">
        <is>
          <t>Сосиски</t>
        </is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327" t="n"/>
      <c r="Y272" s="327" t="n"/>
    </row>
    <row r="273" ht="27" customHeight="1">
      <c r="A273" s="64" t="inlineStr">
        <is>
          <t>SU001835</t>
        </is>
      </c>
      <c r="B273" s="64" t="inlineStr">
        <is>
          <t>P002202</t>
        </is>
      </c>
      <c r="C273" s="37" t="n">
        <v>4301051142</v>
      </c>
      <c r="D273" s="328" t="n">
        <v>4607091387919</v>
      </c>
      <c r="E273" s="642" t="n"/>
      <c r="F273" s="674" t="n">
        <v>1.35</v>
      </c>
      <c r="G273" s="38" t="n">
        <v>6</v>
      </c>
      <c r="H273" s="674" t="n">
        <v>8.1</v>
      </c>
      <c r="I273" s="674" t="n">
        <v>8.664</v>
      </c>
      <c r="J273" s="38" t="n">
        <v>56</v>
      </c>
      <c r="K273" s="39" t="inlineStr">
        <is>
          <t>СК2</t>
        </is>
      </c>
      <c r="L273" s="38" t="n">
        <v>45</v>
      </c>
      <c r="M273" s="831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73" s="676" t="n"/>
      <c r="O273" s="676" t="n"/>
      <c r="P273" s="676" t="n"/>
      <c r="Q273" s="642" t="n"/>
      <c r="R273" s="40" t="inlineStr"/>
      <c r="S273" s="40" t="inlineStr"/>
      <c r="T273" s="41" t="inlineStr">
        <is>
          <t>кг</t>
        </is>
      </c>
      <c r="U273" s="677" t="n">
        <v>0</v>
      </c>
      <c r="V273" s="678">
        <f>IFERROR(IF(U273="",0,CEILING((U273/$H273),1)*$H273),"")</f>
        <v/>
      </c>
      <c r="W273" s="42">
        <f>IFERROR(IF(V273=0,"",ROUNDUP(V273/H273,0)*0.02175),"")</f>
        <v/>
      </c>
      <c r="X273" s="69" t="inlineStr"/>
      <c r="Y273" s="70" t="inlineStr"/>
      <c r="AC273" s="71" t="n"/>
      <c r="AZ273" s="222" t="inlineStr">
        <is>
          <t>КИ</t>
        </is>
      </c>
    </row>
    <row r="274" ht="27" customHeight="1">
      <c r="A274" s="64" t="inlineStr">
        <is>
          <t>SU001836</t>
        </is>
      </c>
      <c r="B274" s="64" t="inlineStr">
        <is>
          <t>P002201</t>
        </is>
      </c>
      <c r="C274" s="37" t="n">
        <v>4301051109</v>
      </c>
      <c r="D274" s="328" t="n">
        <v>4607091383942</v>
      </c>
      <c r="E274" s="642" t="n"/>
      <c r="F274" s="674" t="n">
        <v>0.42</v>
      </c>
      <c r="G274" s="38" t="n">
        <v>6</v>
      </c>
      <c r="H274" s="674" t="n">
        <v>2.52</v>
      </c>
      <c r="I274" s="674" t="n">
        <v>2.792</v>
      </c>
      <c r="J274" s="38" t="n">
        <v>156</v>
      </c>
      <c r="K274" s="39" t="inlineStr">
        <is>
          <t>СК3</t>
        </is>
      </c>
      <c r="L274" s="38" t="n">
        <v>45</v>
      </c>
      <c r="M274" s="832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74" s="676" t="n"/>
      <c r="O274" s="676" t="n"/>
      <c r="P274" s="676" t="n"/>
      <c r="Q274" s="642" t="n"/>
      <c r="R274" s="40" t="inlineStr"/>
      <c r="S274" s="40" t="inlineStr"/>
      <c r="T274" s="41" t="inlineStr">
        <is>
          <t>кг</t>
        </is>
      </c>
      <c r="U274" s="677" t="n">
        <v>0</v>
      </c>
      <c r="V274" s="678">
        <f>IFERROR(IF(U274="",0,CEILING((U274/$H274),1)*$H274),"")</f>
        <v/>
      </c>
      <c r="W274" s="42">
        <f>IFERROR(IF(V274=0,"",ROUNDUP(V274/H274,0)*0.00753),"")</f>
        <v/>
      </c>
      <c r="X274" s="69" t="inlineStr"/>
      <c r="Y274" s="70" t="inlineStr"/>
      <c r="AC274" s="71" t="n"/>
      <c r="AZ274" s="223" t="inlineStr">
        <is>
          <t>КИ</t>
        </is>
      </c>
    </row>
    <row r="275" ht="27" customHeight="1">
      <c r="A275" s="64" t="inlineStr">
        <is>
          <t>SU001970</t>
        </is>
      </c>
      <c r="B275" s="64" t="inlineStr">
        <is>
          <t>P001837</t>
        </is>
      </c>
      <c r="C275" s="37" t="n">
        <v>4301051300</v>
      </c>
      <c r="D275" s="328" t="n">
        <v>4607091383959</v>
      </c>
      <c r="E275" s="642" t="n"/>
      <c r="F275" s="674" t="n">
        <v>0.42</v>
      </c>
      <c r="G275" s="38" t="n">
        <v>6</v>
      </c>
      <c r="H275" s="674" t="n">
        <v>2.52</v>
      </c>
      <c r="I275" s="674" t="n">
        <v>2.78</v>
      </c>
      <c r="J275" s="38" t="n">
        <v>156</v>
      </c>
      <c r="K275" s="39" t="inlineStr">
        <is>
          <t>СК2</t>
        </is>
      </c>
      <c r="L275" s="38" t="n">
        <v>35</v>
      </c>
      <c r="M275" s="833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75" s="676" t="n"/>
      <c r="O275" s="676" t="n"/>
      <c r="P275" s="676" t="n"/>
      <c r="Q275" s="642" t="n"/>
      <c r="R275" s="40" t="inlineStr"/>
      <c r="S275" s="40" t="inlineStr"/>
      <c r="T275" s="41" t="inlineStr">
        <is>
          <t>кг</t>
        </is>
      </c>
      <c r="U275" s="677" t="n">
        <v>0</v>
      </c>
      <c r="V275" s="678">
        <f>IFERROR(IF(U275="",0,CEILING((U275/$H275),1)*$H275),"")</f>
        <v/>
      </c>
      <c r="W275" s="42">
        <f>IFERROR(IF(V275=0,"",ROUNDUP(V275/H275,0)*0.00753),"")</f>
        <v/>
      </c>
      <c r="X275" s="69" t="inlineStr"/>
      <c r="Y275" s="70" t="inlineStr"/>
      <c r="AC275" s="71" t="n"/>
      <c r="AZ275" s="224" t="inlineStr">
        <is>
          <t>КИ</t>
        </is>
      </c>
    </row>
    <row r="276">
      <c r="A276" s="322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679" t="n"/>
      <c r="M276" s="680" t="inlineStr">
        <is>
          <t>Итого</t>
        </is>
      </c>
      <c r="N276" s="650" t="n"/>
      <c r="O276" s="650" t="n"/>
      <c r="P276" s="650" t="n"/>
      <c r="Q276" s="650" t="n"/>
      <c r="R276" s="650" t="n"/>
      <c r="S276" s="651" t="n"/>
      <c r="T276" s="43" t="inlineStr">
        <is>
          <t>кор</t>
        </is>
      </c>
      <c r="U276" s="681">
        <f>IFERROR(U273/H273,"0")+IFERROR(U274/H274,"0")+IFERROR(U275/H275,"0")</f>
        <v/>
      </c>
      <c r="V276" s="681">
        <f>IFERROR(V273/H273,"0")+IFERROR(V274/H274,"0")+IFERROR(V275/H275,"0")</f>
        <v/>
      </c>
      <c r="W276" s="681">
        <f>IFERROR(IF(W273="",0,W273),"0")+IFERROR(IF(W274="",0,W274),"0")+IFERROR(IF(W275="",0,W275),"0")</f>
        <v/>
      </c>
      <c r="X276" s="682" t="n"/>
      <c r="Y276" s="682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679" t="n"/>
      <c r="M277" s="680" t="inlineStr">
        <is>
          <t>Итого</t>
        </is>
      </c>
      <c r="N277" s="650" t="n"/>
      <c r="O277" s="650" t="n"/>
      <c r="P277" s="650" t="n"/>
      <c r="Q277" s="650" t="n"/>
      <c r="R277" s="650" t="n"/>
      <c r="S277" s="651" t="n"/>
      <c r="T277" s="43" t="inlineStr">
        <is>
          <t>кг</t>
        </is>
      </c>
      <c r="U277" s="681">
        <f>IFERROR(SUM(U273:U275),"0")</f>
        <v/>
      </c>
      <c r="V277" s="681">
        <f>IFERROR(SUM(V273:V275),"0")</f>
        <v/>
      </c>
      <c r="W277" s="43" t="n"/>
      <c r="X277" s="682" t="n"/>
      <c r="Y277" s="682" t="n"/>
    </row>
    <row r="278" ht="14.25" customHeight="1">
      <c r="A278" s="327" t="inlineStr">
        <is>
          <t>Сардельки</t>
        </is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327" t="n"/>
      <c r="Y278" s="327" t="n"/>
    </row>
    <row r="279" ht="27" customHeight="1">
      <c r="A279" s="64" t="inlineStr">
        <is>
          <t>SU002173</t>
        </is>
      </c>
      <c r="B279" s="64" t="inlineStr">
        <is>
          <t>P002361</t>
        </is>
      </c>
      <c r="C279" s="37" t="n">
        <v>4301060324</v>
      </c>
      <c r="D279" s="328" t="n">
        <v>4607091388831</v>
      </c>
      <c r="E279" s="642" t="n"/>
      <c r="F279" s="674" t="n">
        <v>0.38</v>
      </c>
      <c r="G279" s="38" t="n">
        <v>6</v>
      </c>
      <c r="H279" s="674" t="n">
        <v>2.28</v>
      </c>
      <c r="I279" s="674" t="n">
        <v>2.552</v>
      </c>
      <c r="J279" s="38" t="n">
        <v>156</v>
      </c>
      <c r="K279" s="39" t="inlineStr">
        <is>
          <t>СК2</t>
        </is>
      </c>
      <c r="L279" s="38" t="n">
        <v>40</v>
      </c>
      <c r="M279" s="834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79" s="676" t="n"/>
      <c r="O279" s="676" t="n"/>
      <c r="P279" s="676" t="n"/>
      <c r="Q279" s="642" t="n"/>
      <c r="R279" s="40" t="inlineStr"/>
      <c r="S279" s="40" t="inlineStr"/>
      <c r="T279" s="41" t="inlineStr">
        <is>
          <t>кг</t>
        </is>
      </c>
      <c r="U279" s="677" t="n">
        <v>0</v>
      </c>
      <c r="V279" s="678">
        <f>IFERROR(IF(U279="",0,CEILING((U279/$H279),1)*$H279),"")</f>
        <v/>
      </c>
      <c r="W279" s="42">
        <f>IFERROR(IF(V279=0,"",ROUNDUP(V279/H279,0)*0.00753),"")</f>
        <v/>
      </c>
      <c r="X279" s="69" t="inlineStr"/>
      <c r="Y279" s="70" t="inlineStr"/>
      <c r="AC279" s="71" t="n"/>
      <c r="AZ279" s="225" t="inlineStr">
        <is>
          <t>КИ</t>
        </is>
      </c>
    </row>
    <row r="280">
      <c r="A280" s="322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679" t="n"/>
      <c r="M280" s="680" t="inlineStr">
        <is>
          <t>Итого</t>
        </is>
      </c>
      <c r="N280" s="650" t="n"/>
      <c r="O280" s="650" t="n"/>
      <c r="P280" s="650" t="n"/>
      <c r="Q280" s="650" t="n"/>
      <c r="R280" s="650" t="n"/>
      <c r="S280" s="651" t="n"/>
      <c r="T280" s="43" t="inlineStr">
        <is>
          <t>кор</t>
        </is>
      </c>
      <c r="U280" s="681">
        <f>IFERROR(U279/H279,"0")</f>
        <v/>
      </c>
      <c r="V280" s="681">
        <f>IFERROR(V279/H279,"0")</f>
        <v/>
      </c>
      <c r="W280" s="681">
        <f>IFERROR(IF(W279="",0,W279),"0")</f>
        <v/>
      </c>
      <c r="X280" s="682" t="n"/>
      <c r="Y280" s="682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679" t="n"/>
      <c r="M281" s="680" t="inlineStr">
        <is>
          <t>Итого</t>
        </is>
      </c>
      <c r="N281" s="650" t="n"/>
      <c r="O281" s="650" t="n"/>
      <c r="P281" s="650" t="n"/>
      <c r="Q281" s="650" t="n"/>
      <c r="R281" s="650" t="n"/>
      <c r="S281" s="651" t="n"/>
      <c r="T281" s="43" t="inlineStr">
        <is>
          <t>кг</t>
        </is>
      </c>
      <c r="U281" s="681">
        <f>IFERROR(SUM(U279:U279),"0")</f>
        <v/>
      </c>
      <c r="V281" s="681">
        <f>IFERROR(SUM(V279:V279),"0")</f>
        <v/>
      </c>
      <c r="W281" s="43" t="n"/>
      <c r="X281" s="682" t="n"/>
      <c r="Y281" s="682" t="n"/>
    </row>
    <row r="282" ht="14.25" customHeight="1">
      <c r="A282" s="327" t="inlineStr">
        <is>
          <t>Сырокопченые колбасы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327" t="n"/>
      <c r="Y282" s="327" t="n"/>
    </row>
    <row r="283" ht="27" customHeight="1">
      <c r="A283" s="64" t="inlineStr">
        <is>
          <t>SU002092</t>
        </is>
      </c>
      <c r="B283" s="64" t="inlineStr">
        <is>
          <t>P002290</t>
        </is>
      </c>
      <c r="C283" s="37" t="n">
        <v>4301032015</v>
      </c>
      <c r="D283" s="328" t="n">
        <v>4607091383102</v>
      </c>
      <c r="E283" s="642" t="n"/>
      <c r="F283" s="674" t="n">
        <v>0.17</v>
      </c>
      <c r="G283" s="38" t="n">
        <v>15</v>
      </c>
      <c r="H283" s="674" t="n">
        <v>2.55</v>
      </c>
      <c r="I283" s="674" t="n">
        <v>2.975</v>
      </c>
      <c r="J283" s="38" t="n">
        <v>156</v>
      </c>
      <c r="K283" s="39" t="inlineStr">
        <is>
          <t>АК</t>
        </is>
      </c>
      <c r="L283" s="38" t="n">
        <v>180</v>
      </c>
      <c r="M283" s="835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83" s="676" t="n"/>
      <c r="O283" s="676" t="n"/>
      <c r="P283" s="676" t="n"/>
      <c r="Q283" s="642" t="n"/>
      <c r="R283" s="40" t="inlineStr"/>
      <c r="S283" s="40" t="inlineStr"/>
      <c r="T283" s="41" t="inlineStr">
        <is>
          <t>кг</t>
        </is>
      </c>
      <c r="U283" s="677" t="n">
        <v>0</v>
      </c>
      <c r="V283" s="678">
        <f>IFERROR(IF(U283="",0,CEILING((U283/$H283),1)*$H283),"")</f>
        <v/>
      </c>
      <c r="W283" s="42">
        <f>IFERROR(IF(V283=0,"",ROUNDUP(V283/H283,0)*0.00753),"")</f>
        <v/>
      </c>
      <c r="X283" s="69" t="inlineStr"/>
      <c r="Y283" s="70" t="inlineStr"/>
      <c r="AC283" s="71" t="n"/>
      <c r="AZ283" s="226" t="inlineStr">
        <is>
          <t>КИ</t>
        </is>
      </c>
    </row>
    <row r="284">
      <c r="A284" s="322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679" t="n"/>
      <c r="M284" s="680" t="inlineStr">
        <is>
          <t>Итого</t>
        </is>
      </c>
      <c r="N284" s="650" t="n"/>
      <c r="O284" s="650" t="n"/>
      <c r="P284" s="650" t="n"/>
      <c r="Q284" s="650" t="n"/>
      <c r="R284" s="650" t="n"/>
      <c r="S284" s="651" t="n"/>
      <c r="T284" s="43" t="inlineStr">
        <is>
          <t>кор</t>
        </is>
      </c>
      <c r="U284" s="681">
        <f>IFERROR(U283/H283,"0")</f>
        <v/>
      </c>
      <c r="V284" s="681">
        <f>IFERROR(V283/H283,"0")</f>
        <v/>
      </c>
      <c r="W284" s="681">
        <f>IFERROR(IF(W283="",0,W283),"0")</f>
        <v/>
      </c>
      <c r="X284" s="682" t="n"/>
      <c r="Y284" s="682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679" t="n"/>
      <c r="M285" s="680" t="inlineStr">
        <is>
          <t>Итого</t>
        </is>
      </c>
      <c r="N285" s="650" t="n"/>
      <c r="O285" s="650" t="n"/>
      <c r="P285" s="650" t="n"/>
      <c r="Q285" s="650" t="n"/>
      <c r="R285" s="650" t="n"/>
      <c r="S285" s="651" t="n"/>
      <c r="T285" s="43" t="inlineStr">
        <is>
          <t>кг</t>
        </is>
      </c>
      <c r="U285" s="681">
        <f>IFERROR(SUM(U283:U283),"0")</f>
        <v/>
      </c>
      <c r="V285" s="681">
        <f>IFERROR(SUM(V283:V283),"0")</f>
        <v/>
      </c>
      <c r="W285" s="43" t="n"/>
      <c r="X285" s="682" t="n"/>
      <c r="Y285" s="682" t="n"/>
    </row>
    <row r="286" ht="27.75" customHeight="1">
      <c r="A286" s="341" t="inlineStr">
        <is>
          <t>Особый рецепт</t>
        </is>
      </c>
      <c r="B286" s="673" t="n"/>
      <c r="C286" s="673" t="n"/>
      <c r="D286" s="673" t="n"/>
      <c r="E286" s="673" t="n"/>
      <c r="F286" s="673" t="n"/>
      <c r="G286" s="673" t="n"/>
      <c r="H286" s="673" t="n"/>
      <c r="I286" s="673" t="n"/>
      <c r="J286" s="673" t="n"/>
      <c r="K286" s="673" t="n"/>
      <c r="L286" s="673" t="n"/>
      <c r="M286" s="673" t="n"/>
      <c r="N286" s="673" t="n"/>
      <c r="O286" s="673" t="n"/>
      <c r="P286" s="673" t="n"/>
      <c r="Q286" s="673" t="n"/>
      <c r="R286" s="673" t="n"/>
      <c r="S286" s="673" t="n"/>
      <c r="T286" s="673" t="n"/>
      <c r="U286" s="673" t="n"/>
      <c r="V286" s="673" t="n"/>
      <c r="W286" s="673" t="n"/>
      <c r="X286" s="55" t="n"/>
      <c r="Y286" s="55" t="n"/>
    </row>
    <row r="287" ht="16.5" customHeight="1">
      <c r="A287" s="335" t="inlineStr">
        <is>
          <t>Особая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335" t="n"/>
      <c r="Y287" s="335" t="n"/>
    </row>
    <row r="288" ht="14.25" customHeight="1">
      <c r="A288" s="327" t="inlineStr">
        <is>
          <t>Вареные колбасы</t>
        </is>
      </c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327" t="n"/>
      <c r="Y288" s="327" t="n"/>
    </row>
    <row r="289" ht="27" customHeight="1">
      <c r="A289" s="64" t="inlineStr">
        <is>
          <t>SU000251</t>
        </is>
      </c>
      <c r="B289" s="64" t="inlineStr">
        <is>
          <t>P002581</t>
        </is>
      </c>
      <c r="C289" s="37" t="n">
        <v>4301011239</v>
      </c>
      <c r="D289" s="328" t="n">
        <v>4607091383997</v>
      </c>
      <c r="E289" s="642" t="n"/>
      <c r="F289" s="674" t="n">
        <v>2.5</v>
      </c>
      <c r="G289" s="38" t="n">
        <v>6</v>
      </c>
      <c r="H289" s="674" t="n">
        <v>15</v>
      </c>
      <c r="I289" s="674" t="n">
        <v>15.48</v>
      </c>
      <c r="J289" s="38" t="n">
        <v>48</v>
      </c>
      <c r="K289" s="39" t="inlineStr">
        <is>
          <t>ВЗ</t>
        </is>
      </c>
      <c r="L289" s="38" t="n">
        <v>60</v>
      </c>
      <c r="M289" s="836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89" s="676" t="n"/>
      <c r="O289" s="676" t="n"/>
      <c r="P289" s="676" t="n"/>
      <c r="Q289" s="642" t="n"/>
      <c r="R289" s="40" t="inlineStr"/>
      <c r="S289" s="40" t="inlineStr"/>
      <c r="T289" s="41" t="inlineStr">
        <is>
          <t>кг</t>
        </is>
      </c>
      <c r="U289" s="677" t="n">
        <v>0</v>
      </c>
      <c r="V289" s="678">
        <f>IFERROR(IF(U289="",0,CEILING((U289/$H289),1)*$H289),"")</f>
        <v/>
      </c>
      <c r="W289" s="42">
        <f>IFERROR(IF(V289=0,"",ROUNDUP(V289/H289,0)*0.02039),"")</f>
        <v/>
      </c>
      <c r="X289" s="69" t="inlineStr"/>
      <c r="Y289" s="70" t="inlineStr"/>
      <c r="AC289" s="71" t="n"/>
      <c r="AZ289" s="227" t="inlineStr">
        <is>
          <t>КИ</t>
        </is>
      </c>
    </row>
    <row r="290" ht="27" customHeight="1">
      <c r="A290" s="64" t="inlineStr">
        <is>
          <t>SU000251</t>
        </is>
      </c>
      <c r="B290" s="64" t="inlineStr">
        <is>
          <t>P002584</t>
        </is>
      </c>
      <c r="C290" s="37" t="n">
        <v>4301011339</v>
      </c>
      <c r="D290" s="328" t="n">
        <v>4607091383997</v>
      </c>
      <c r="E290" s="642" t="n"/>
      <c r="F290" s="674" t="n">
        <v>2.5</v>
      </c>
      <c r="G290" s="38" t="n">
        <v>6</v>
      </c>
      <c r="H290" s="674" t="n">
        <v>15</v>
      </c>
      <c r="I290" s="674" t="n">
        <v>15.48</v>
      </c>
      <c r="J290" s="38" t="n">
        <v>48</v>
      </c>
      <c r="K290" s="39" t="inlineStr">
        <is>
          <t>СК2</t>
        </is>
      </c>
      <c r="L290" s="38" t="n">
        <v>60</v>
      </c>
      <c r="M290" s="837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90" s="676" t="n"/>
      <c r="O290" s="676" t="n"/>
      <c r="P290" s="676" t="n"/>
      <c r="Q290" s="642" t="n"/>
      <c r="R290" s="40" t="inlineStr"/>
      <c r="S290" s="40" t="inlineStr"/>
      <c r="T290" s="41" t="inlineStr">
        <is>
          <t>кг</t>
        </is>
      </c>
      <c r="U290" s="677" t="n">
        <v>0</v>
      </c>
      <c r="V290" s="678">
        <f>IFERROR(IF(U290="",0,CEILING((U290/$H290),1)*$H290),"")</f>
        <v/>
      </c>
      <c r="W290" s="42">
        <f>IFERROR(IF(V290=0,"",ROUNDUP(V290/H290,0)*0.02175),"")</f>
        <v/>
      </c>
      <c r="X290" s="69" t="inlineStr"/>
      <c r="Y290" s="70" t="inlineStr"/>
      <c r="AC290" s="71" t="n"/>
      <c r="AZ290" s="228" t="inlineStr">
        <is>
          <t>КИ</t>
        </is>
      </c>
    </row>
    <row r="291" ht="27" customHeight="1">
      <c r="A291" s="64" t="inlineStr">
        <is>
          <t>SU001578</t>
        </is>
      </c>
      <c r="B291" s="64" t="inlineStr">
        <is>
          <t>P002562</t>
        </is>
      </c>
      <c r="C291" s="37" t="n">
        <v>4301011326</v>
      </c>
      <c r="D291" s="328" t="n">
        <v>4607091384130</v>
      </c>
      <c r="E291" s="642" t="n"/>
      <c r="F291" s="674" t="n">
        <v>2.5</v>
      </c>
      <c r="G291" s="38" t="n">
        <v>6</v>
      </c>
      <c r="H291" s="674" t="n">
        <v>15</v>
      </c>
      <c r="I291" s="674" t="n">
        <v>15.48</v>
      </c>
      <c r="J291" s="38" t="n">
        <v>48</v>
      </c>
      <c r="K291" s="39" t="inlineStr">
        <is>
          <t>СК2</t>
        </is>
      </c>
      <c r="L291" s="38" t="n">
        <v>60</v>
      </c>
      <c r="M291" s="838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91" s="676" t="n"/>
      <c r="O291" s="676" t="n"/>
      <c r="P291" s="676" t="n"/>
      <c r="Q291" s="642" t="n"/>
      <c r="R291" s="40" t="inlineStr"/>
      <c r="S291" s="40" t="inlineStr"/>
      <c r="T291" s="41" t="inlineStr">
        <is>
          <t>кг</t>
        </is>
      </c>
      <c r="U291" s="677" t="n">
        <v>0</v>
      </c>
      <c r="V291" s="678">
        <f>IFERROR(IF(U291="",0,CEILING((U291/$H291),1)*$H291),"")</f>
        <v/>
      </c>
      <c r="W291" s="42">
        <f>IFERROR(IF(V291=0,"",ROUNDUP(V291/H291,0)*0.02175),"")</f>
        <v/>
      </c>
      <c r="X291" s="69" t="inlineStr"/>
      <c r="Y291" s="70" t="inlineStr"/>
      <c r="AC291" s="71" t="n"/>
      <c r="AZ291" s="229" t="inlineStr">
        <is>
          <t>КИ</t>
        </is>
      </c>
    </row>
    <row r="292" ht="27" customHeight="1">
      <c r="A292" s="64" t="inlineStr">
        <is>
          <t>SU001578</t>
        </is>
      </c>
      <c r="B292" s="64" t="inlineStr">
        <is>
          <t>P002582</t>
        </is>
      </c>
      <c r="C292" s="37" t="n">
        <v>4301011240</v>
      </c>
      <c r="D292" s="328" t="n">
        <v>4607091384130</v>
      </c>
      <c r="E292" s="642" t="n"/>
      <c r="F292" s="674" t="n">
        <v>2.5</v>
      </c>
      <c r="G292" s="38" t="n">
        <v>6</v>
      </c>
      <c r="H292" s="674" t="n">
        <v>15</v>
      </c>
      <c r="I292" s="674" t="n">
        <v>15.48</v>
      </c>
      <c r="J292" s="38" t="n">
        <v>48</v>
      </c>
      <c r="K292" s="39" t="inlineStr">
        <is>
          <t>ВЗ</t>
        </is>
      </c>
      <c r="L292" s="38" t="n">
        <v>60</v>
      </c>
      <c r="M292" s="839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92" s="676" t="n"/>
      <c r="O292" s="676" t="n"/>
      <c r="P292" s="676" t="n"/>
      <c r="Q292" s="642" t="n"/>
      <c r="R292" s="40" t="inlineStr"/>
      <c r="S292" s="40" t="inlineStr"/>
      <c r="T292" s="41" t="inlineStr">
        <is>
          <t>кг</t>
        </is>
      </c>
      <c r="U292" s="677" t="n">
        <v>0</v>
      </c>
      <c r="V292" s="678">
        <f>IFERROR(IF(U292="",0,CEILING((U292/$H292),1)*$H292),"")</f>
        <v/>
      </c>
      <c r="W292" s="42">
        <f>IFERROR(IF(V292=0,"",ROUNDUP(V292/H292,0)*0.02039),"")</f>
        <v/>
      </c>
      <c r="X292" s="69" t="inlineStr"/>
      <c r="Y292" s="70" t="inlineStr"/>
      <c r="AC292" s="71" t="n"/>
      <c r="AZ292" s="230" t="inlineStr">
        <is>
          <t>КИ</t>
        </is>
      </c>
    </row>
    <row r="293" ht="16.5" customHeight="1">
      <c r="A293" s="64" t="inlineStr">
        <is>
          <t>SU000102</t>
        </is>
      </c>
      <c r="B293" s="64" t="inlineStr">
        <is>
          <t>P002564</t>
        </is>
      </c>
      <c r="C293" s="37" t="n">
        <v>4301011330</v>
      </c>
      <c r="D293" s="328" t="n">
        <v>4607091384147</v>
      </c>
      <c r="E293" s="642" t="n"/>
      <c r="F293" s="674" t="n">
        <v>2.5</v>
      </c>
      <c r="G293" s="38" t="n">
        <v>6</v>
      </c>
      <c r="H293" s="674" t="n">
        <v>15</v>
      </c>
      <c r="I293" s="674" t="n">
        <v>15.48</v>
      </c>
      <c r="J293" s="38" t="n">
        <v>48</v>
      </c>
      <c r="K293" s="39" t="inlineStr">
        <is>
          <t>СК2</t>
        </is>
      </c>
      <c r="L293" s="38" t="n">
        <v>60</v>
      </c>
      <c r="M293" s="840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93" s="676" t="n"/>
      <c r="O293" s="676" t="n"/>
      <c r="P293" s="676" t="n"/>
      <c r="Q293" s="642" t="n"/>
      <c r="R293" s="40" t="inlineStr"/>
      <c r="S293" s="40" t="inlineStr"/>
      <c r="T293" s="41" t="inlineStr">
        <is>
          <t>кг</t>
        </is>
      </c>
      <c r="U293" s="677" t="n">
        <v>0</v>
      </c>
      <c r="V293" s="678">
        <f>IFERROR(IF(U293="",0,CEILING((U293/$H293),1)*$H293),"")</f>
        <v/>
      </c>
      <c r="W293" s="42">
        <f>IFERROR(IF(V293=0,"",ROUNDUP(V293/H293,0)*0.02175),"")</f>
        <v/>
      </c>
      <c r="X293" s="69" t="inlineStr"/>
      <c r="Y293" s="70" t="inlineStr"/>
      <c r="AC293" s="71" t="n"/>
      <c r="AZ293" s="231" t="inlineStr">
        <is>
          <t>КИ</t>
        </is>
      </c>
    </row>
    <row r="294" ht="16.5" customHeight="1">
      <c r="A294" s="64" t="inlineStr">
        <is>
          <t>SU000102</t>
        </is>
      </c>
      <c r="B294" s="64" t="inlineStr">
        <is>
          <t>P002580</t>
        </is>
      </c>
      <c r="C294" s="37" t="n">
        <v>4301011238</v>
      </c>
      <c r="D294" s="328" t="n">
        <v>4607091384147</v>
      </c>
      <c r="E294" s="642" t="n"/>
      <c r="F294" s="674" t="n">
        <v>2.5</v>
      </c>
      <c r="G294" s="38" t="n">
        <v>6</v>
      </c>
      <c r="H294" s="674" t="n">
        <v>15</v>
      </c>
      <c r="I294" s="674" t="n">
        <v>15.48</v>
      </c>
      <c r="J294" s="38" t="n">
        <v>48</v>
      </c>
      <c r="K294" s="39" t="inlineStr">
        <is>
          <t>ВЗ</t>
        </is>
      </c>
      <c r="L294" s="38" t="n">
        <v>60</v>
      </c>
      <c r="M294" s="841" t="inlineStr">
        <is>
          <t>Вареные колбасы Особая Особая Весовые П/а Особый рецепт</t>
        </is>
      </c>
      <c r="N294" s="676" t="n"/>
      <c r="O294" s="676" t="n"/>
      <c r="P294" s="676" t="n"/>
      <c r="Q294" s="642" t="n"/>
      <c r="R294" s="40" t="inlineStr"/>
      <c r="S294" s="40" t="inlineStr"/>
      <c r="T294" s="41" t="inlineStr">
        <is>
          <t>кг</t>
        </is>
      </c>
      <c r="U294" s="677" t="n">
        <v>0</v>
      </c>
      <c r="V294" s="678">
        <f>IFERROR(IF(U294="",0,CEILING((U294/$H294),1)*$H294),"")</f>
        <v/>
      </c>
      <c r="W294" s="42">
        <f>IFERROR(IF(V294=0,"",ROUNDUP(V294/H294,0)*0.02039),"")</f>
        <v/>
      </c>
      <c r="X294" s="69" t="inlineStr"/>
      <c r="Y294" s="70" t="inlineStr"/>
      <c r="AC294" s="71" t="n"/>
      <c r="AZ294" s="232" t="inlineStr">
        <is>
          <t>КИ</t>
        </is>
      </c>
    </row>
    <row r="295" ht="27" customHeight="1">
      <c r="A295" s="64" t="inlineStr">
        <is>
          <t>SU001989</t>
        </is>
      </c>
      <c r="B295" s="64" t="inlineStr">
        <is>
          <t>P002560</t>
        </is>
      </c>
      <c r="C295" s="37" t="n">
        <v>4301011327</v>
      </c>
      <c r="D295" s="328" t="n">
        <v>4607091384154</v>
      </c>
      <c r="E295" s="642" t="n"/>
      <c r="F295" s="674" t="n">
        <v>0.5</v>
      </c>
      <c r="G295" s="38" t="n">
        <v>10</v>
      </c>
      <c r="H295" s="674" t="n">
        <v>5</v>
      </c>
      <c r="I295" s="674" t="n">
        <v>5.21</v>
      </c>
      <c r="J295" s="38" t="n">
        <v>120</v>
      </c>
      <c r="K295" s="39" t="inlineStr">
        <is>
          <t>СК2</t>
        </is>
      </c>
      <c r="L295" s="38" t="n">
        <v>60</v>
      </c>
      <c r="M295" s="842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95" s="676" t="n"/>
      <c r="O295" s="676" t="n"/>
      <c r="P295" s="676" t="n"/>
      <c r="Q295" s="642" t="n"/>
      <c r="R295" s="40" t="inlineStr"/>
      <c r="S295" s="40" t="inlineStr"/>
      <c r="T295" s="41" t="inlineStr">
        <is>
          <t>кг</t>
        </is>
      </c>
      <c r="U295" s="677" t="n">
        <v>0</v>
      </c>
      <c r="V295" s="678">
        <f>IFERROR(IF(U295="",0,CEILING((U295/$H295),1)*$H295),"")</f>
        <v/>
      </c>
      <c r="W295" s="42">
        <f>IFERROR(IF(V295=0,"",ROUNDUP(V295/H295,0)*0.00937),"")</f>
        <v/>
      </c>
      <c r="X295" s="69" t="inlineStr"/>
      <c r="Y295" s="70" t="inlineStr"/>
      <c r="AC295" s="71" t="n"/>
      <c r="AZ295" s="233" t="inlineStr">
        <is>
          <t>КИ</t>
        </is>
      </c>
    </row>
    <row r="296" ht="27" customHeight="1">
      <c r="A296" s="64" t="inlineStr">
        <is>
          <t>SU000256</t>
        </is>
      </c>
      <c r="B296" s="64" t="inlineStr">
        <is>
          <t>P002565</t>
        </is>
      </c>
      <c r="C296" s="37" t="n">
        <v>4301011332</v>
      </c>
      <c r="D296" s="328" t="n">
        <v>4607091384161</v>
      </c>
      <c r="E296" s="642" t="n"/>
      <c r="F296" s="674" t="n">
        <v>0.5</v>
      </c>
      <c r="G296" s="38" t="n">
        <v>10</v>
      </c>
      <c r="H296" s="674" t="n">
        <v>5</v>
      </c>
      <c r="I296" s="674" t="n">
        <v>5.21</v>
      </c>
      <c r="J296" s="38" t="n">
        <v>120</v>
      </c>
      <c r="K296" s="39" t="inlineStr">
        <is>
          <t>СК2</t>
        </is>
      </c>
      <c r="L296" s="38" t="n">
        <v>60</v>
      </c>
      <c r="M296" s="843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96" s="676" t="n"/>
      <c r="O296" s="676" t="n"/>
      <c r="P296" s="676" t="n"/>
      <c r="Q296" s="642" t="n"/>
      <c r="R296" s="40" t="inlineStr"/>
      <c r="S296" s="40" t="inlineStr"/>
      <c r="T296" s="41" t="inlineStr">
        <is>
          <t>кг</t>
        </is>
      </c>
      <c r="U296" s="677" t="n">
        <v>0</v>
      </c>
      <c r="V296" s="678">
        <f>IFERROR(IF(U296="",0,CEILING((U296/$H296),1)*$H296),"")</f>
        <v/>
      </c>
      <c r="W296" s="42">
        <f>IFERROR(IF(V296=0,"",ROUNDUP(V296/H296,0)*0.00937),"")</f>
        <v/>
      </c>
      <c r="X296" s="69" t="inlineStr"/>
      <c r="Y296" s="70" t="inlineStr"/>
      <c r="AC296" s="71" t="n"/>
      <c r="AZ296" s="234" t="inlineStr">
        <is>
          <t>КИ</t>
        </is>
      </c>
    </row>
    <row r="297">
      <c r="A297" s="322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679" t="n"/>
      <c r="M297" s="680" t="inlineStr">
        <is>
          <t>Итого</t>
        </is>
      </c>
      <c r="N297" s="650" t="n"/>
      <c r="O297" s="650" t="n"/>
      <c r="P297" s="650" t="n"/>
      <c r="Q297" s="650" t="n"/>
      <c r="R297" s="650" t="n"/>
      <c r="S297" s="651" t="n"/>
      <c r="T297" s="43" t="inlineStr">
        <is>
          <t>кор</t>
        </is>
      </c>
      <c r="U297" s="681">
        <f>IFERROR(U289/H289,"0")+IFERROR(U290/H290,"0")+IFERROR(U291/H291,"0")+IFERROR(U292/H292,"0")+IFERROR(U293/H293,"0")+IFERROR(U294/H294,"0")+IFERROR(U295/H295,"0")+IFERROR(U296/H296,"0")</f>
        <v/>
      </c>
      <c r="V297" s="681">
        <f>IFERROR(V289/H289,"0")+IFERROR(V290/H290,"0")+IFERROR(V291/H291,"0")+IFERROR(V292/H292,"0")+IFERROR(V293/H293,"0")+IFERROR(V294/H294,"0")+IFERROR(V295/H295,"0")+IFERROR(V296/H296,"0")</f>
        <v/>
      </c>
      <c r="W297" s="681">
        <f>IFERROR(IF(W289="",0,W289),"0")+IFERROR(IF(W290="",0,W290),"0")+IFERROR(IF(W291="",0,W291),"0")+IFERROR(IF(W292="",0,W292),"0")+IFERROR(IF(W293="",0,W293),"0")+IFERROR(IF(W294="",0,W294),"0")+IFERROR(IF(W295="",0,W295),"0")+IFERROR(IF(W296="",0,W296),"0")</f>
        <v/>
      </c>
      <c r="X297" s="682" t="n"/>
      <c r="Y297" s="682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679" t="n"/>
      <c r="M298" s="680" t="inlineStr">
        <is>
          <t>Итого</t>
        </is>
      </c>
      <c r="N298" s="650" t="n"/>
      <c r="O298" s="650" t="n"/>
      <c r="P298" s="650" t="n"/>
      <c r="Q298" s="650" t="n"/>
      <c r="R298" s="650" t="n"/>
      <c r="S298" s="651" t="n"/>
      <c r="T298" s="43" t="inlineStr">
        <is>
          <t>кг</t>
        </is>
      </c>
      <c r="U298" s="681">
        <f>IFERROR(SUM(U289:U296),"0")</f>
        <v/>
      </c>
      <c r="V298" s="681">
        <f>IFERROR(SUM(V289:V296),"0")</f>
        <v/>
      </c>
      <c r="W298" s="43" t="n"/>
      <c r="X298" s="682" t="n"/>
      <c r="Y298" s="682" t="n"/>
    </row>
    <row r="299" ht="14.25" customHeight="1">
      <c r="A299" s="327" t="inlineStr">
        <is>
          <t>Ветчины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327" t="n"/>
      <c r="Y299" s="327" t="n"/>
    </row>
    <row r="300" ht="27" customHeight="1">
      <c r="A300" s="64" t="inlineStr">
        <is>
          <t>SU000126</t>
        </is>
      </c>
      <c r="B300" s="64" t="inlineStr">
        <is>
          <t>P002555</t>
        </is>
      </c>
      <c r="C300" s="37" t="n">
        <v>4301020178</v>
      </c>
      <c r="D300" s="328" t="n">
        <v>4607091383980</v>
      </c>
      <c r="E300" s="642" t="n"/>
      <c r="F300" s="674" t="n">
        <v>2.5</v>
      </c>
      <c r="G300" s="38" t="n">
        <v>6</v>
      </c>
      <c r="H300" s="674" t="n">
        <v>15</v>
      </c>
      <c r="I300" s="674" t="n">
        <v>15.48</v>
      </c>
      <c r="J300" s="38" t="n">
        <v>48</v>
      </c>
      <c r="K300" s="39" t="inlineStr">
        <is>
          <t>СК1</t>
        </is>
      </c>
      <c r="L300" s="38" t="n">
        <v>50</v>
      </c>
      <c r="M300" s="844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300" s="676" t="n"/>
      <c r="O300" s="676" t="n"/>
      <c r="P300" s="676" t="n"/>
      <c r="Q300" s="642" t="n"/>
      <c r="R300" s="40" t="inlineStr"/>
      <c r="S300" s="40" t="inlineStr"/>
      <c r="T300" s="41" t="inlineStr">
        <is>
          <t>кг</t>
        </is>
      </c>
      <c r="U300" s="677" t="n">
        <v>0</v>
      </c>
      <c r="V300" s="678">
        <f>IFERROR(IF(U300="",0,CEILING((U300/$H300),1)*$H300),"")</f>
        <v/>
      </c>
      <c r="W300" s="42">
        <f>IFERROR(IF(V300=0,"",ROUNDUP(V300/H300,0)*0.02175),"")</f>
        <v/>
      </c>
      <c r="X300" s="69" t="inlineStr"/>
      <c r="Y300" s="70" t="inlineStr"/>
      <c r="AC300" s="71" t="n"/>
      <c r="AZ300" s="235" t="inlineStr">
        <is>
          <t>КИ</t>
        </is>
      </c>
    </row>
    <row r="301" ht="27" customHeight="1">
      <c r="A301" s="64" t="inlineStr">
        <is>
          <t>SU002027</t>
        </is>
      </c>
      <c r="B301" s="64" t="inlineStr">
        <is>
          <t>P002556</t>
        </is>
      </c>
      <c r="C301" s="37" t="n">
        <v>4301020179</v>
      </c>
      <c r="D301" s="328" t="n">
        <v>4607091384178</v>
      </c>
      <c r="E301" s="642" t="n"/>
      <c r="F301" s="674" t="n">
        <v>0.4</v>
      </c>
      <c r="G301" s="38" t="n">
        <v>10</v>
      </c>
      <c r="H301" s="674" t="n">
        <v>4</v>
      </c>
      <c r="I301" s="674" t="n">
        <v>4.24</v>
      </c>
      <c r="J301" s="38" t="n">
        <v>120</v>
      </c>
      <c r="K301" s="39" t="inlineStr">
        <is>
          <t>СК1</t>
        </is>
      </c>
      <c r="L301" s="38" t="n">
        <v>50</v>
      </c>
      <c r="M301" s="845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301" s="676" t="n"/>
      <c r="O301" s="676" t="n"/>
      <c r="P301" s="676" t="n"/>
      <c r="Q301" s="642" t="n"/>
      <c r="R301" s="40" t="inlineStr"/>
      <c r="S301" s="40" t="inlineStr"/>
      <c r="T301" s="41" t="inlineStr">
        <is>
          <t>кг</t>
        </is>
      </c>
      <c r="U301" s="677" t="n">
        <v>0</v>
      </c>
      <c r="V301" s="678">
        <f>IFERROR(IF(U301="",0,CEILING((U301/$H301),1)*$H301),"")</f>
        <v/>
      </c>
      <c r="W301" s="42">
        <f>IFERROR(IF(V301=0,"",ROUNDUP(V301/H301,0)*0.00937),"")</f>
        <v/>
      </c>
      <c r="X301" s="69" t="inlineStr"/>
      <c r="Y301" s="70" t="inlineStr"/>
      <c r="AC301" s="71" t="n"/>
      <c r="AZ301" s="236" t="inlineStr">
        <is>
          <t>КИ</t>
        </is>
      </c>
    </row>
    <row r="302">
      <c r="A302" s="322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679" t="n"/>
      <c r="M302" s="680" t="inlineStr">
        <is>
          <t>Итого</t>
        </is>
      </c>
      <c r="N302" s="650" t="n"/>
      <c r="O302" s="650" t="n"/>
      <c r="P302" s="650" t="n"/>
      <c r="Q302" s="650" t="n"/>
      <c r="R302" s="650" t="n"/>
      <c r="S302" s="651" t="n"/>
      <c r="T302" s="43" t="inlineStr">
        <is>
          <t>кор</t>
        </is>
      </c>
      <c r="U302" s="681">
        <f>IFERROR(U300/H300,"0")+IFERROR(U301/H301,"0")</f>
        <v/>
      </c>
      <c r="V302" s="681">
        <f>IFERROR(V300/H300,"0")+IFERROR(V301/H301,"0")</f>
        <v/>
      </c>
      <c r="W302" s="681">
        <f>IFERROR(IF(W300="",0,W300),"0")+IFERROR(IF(W301="",0,W301),"0")</f>
        <v/>
      </c>
      <c r="X302" s="682" t="n"/>
      <c r="Y302" s="682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679" t="n"/>
      <c r="M303" s="680" t="inlineStr">
        <is>
          <t>Итого</t>
        </is>
      </c>
      <c r="N303" s="650" t="n"/>
      <c r="O303" s="650" t="n"/>
      <c r="P303" s="650" t="n"/>
      <c r="Q303" s="650" t="n"/>
      <c r="R303" s="650" t="n"/>
      <c r="S303" s="651" t="n"/>
      <c r="T303" s="43" t="inlineStr">
        <is>
          <t>кг</t>
        </is>
      </c>
      <c r="U303" s="681">
        <f>IFERROR(SUM(U300:U301),"0")</f>
        <v/>
      </c>
      <c r="V303" s="681">
        <f>IFERROR(SUM(V300:V301),"0")</f>
        <v/>
      </c>
      <c r="W303" s="43" t="n"/>
      <c r="X303" s="682" t="n"/>
      <c r="Y303" s="682" t="n"/>
    </row>
    <row r="304" ht="14.25" customHeight="1">
      <c r="A304" s="327" t="inlineStr">
        <is>
          <t>Сосиски</t>
        </is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327" t="n"/>
      <c r="Y304" s="327" t="n"/>
    </row>
    <row r="305" ht="27" customHeight="1">
      <c r="A305" s="64" t="inlineStr">
        <is>
          <t>SU000246</t>
        </is>
      </c>
      <c r="B305" s="64" t="inlineStr">
        <is>
          <t>P002690</t>
        </is>
      </c>
      <c r="C305" s="37" t="n">
        <v>4301051298</v>
      </c>
      <c r="D305" s="328" t="n">
        <v>4607091384260</v>
      </c>
      <c r="E305" s="642" t="n"/>
      <c r="F305" s="674" t="n">
        <v>1.3</v>
      </c>
      <c r="G305" s="38" t="n">
        <v>6</v>
      </c>
      <c r="H305" s="674" t="n">
        <v>7.8</v>
      </c>
      <c r="I305" s="674" t="n">
        <v>8.364000000000001</v>
      </c>
      <c r="J305" s="38" t="n">
        <v>56</v>
      </c>
      <c r="K305" s="39" t="inlineStr">
        <is>
          <t>СК2</t>
        </is>
      </c>
      <c r="L305" s="38" t="n">
        <v>35</v>
      </c>
      <c r="M305" s="846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305" s="676" t="n"/>
      <c r="O305" s="676" t="n"/>
      <c r="P305" s="676" t="n"/>
      <c r="Q305" s="642" t="n"/>
      <c r="R305" s="40" t="inlineStr"/>
      <c r="S305" s="40" t="inlineStr"/>
      <c r="T305" s="41" t="inlineStr">
        <is>
          <t>кг</t>
        </is>
      </c>
      <c r="U305" s="677" t="n">
        <v>0</v>
      </c>
      <c r="V305" s="678">
        <f>IFERROR(IF(U305="",0,CEILING((U305/$H305),1)*$H305),"")</f>
        <v/>
      </c>
      <c r="W305" s="42">
        <f>IFERROR(IF(V305=0,"",ROUNDUP(V305/H305,0)*0.02175),"")</f>
        <v/>
      </c>
      <c r="X305" s="69" t="inlineStr"/>
      <c r="Y305" s="70" t="inlineStr"/>
      <c r="AC305" s="71" t="n"/>
      <c r="AZ305" s="237" t="inlineStr">
        <is>
          <t>КИ</t>
        </is>
      </c>
    </row>
    <row r="306">
      <c r="A306" s="322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679" t="n"/>
      <c r="M306" s="680" t="inlineStr">
        <is>
          <t>Итого</t>
        </is>
      </c>
      <c r="N306" s="650" t="n"/>
      <c r="O306" s="650" t="n"/>
      <c r="P306" s="650" t="n"/>
      <c r="Q306" s="650" t="n"/>
      <c r="R306" s="650" t="n"/>
      <c r="S306" s="651" t="n"/>
      <c r="T306" s="43" t="inlineStr">
        <is>
          <t>кор</t>
        </is>
      </c>
      <c r="U306" s="681">
        <f>IFERROR(U305/H305,"0")</f>
        <v/>
      </c>
      <c r="V306" s="681">
        <f>IFERROR(V305/H305,"0")</f>
        <v/>
      </c>
      <c r="W306" s="681">
        <f>IFERROR(IF(W305="",0,W305),"0")</f>
        <v/>
      </c>
      <c r="X306" s="682" t="n"/>
      <c r="Y306" s="682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679" t="n"/>
      <c r="M307" s="680" t="inlineStr">
        <is>
          <t>Итого</t>
        </is>
      </c>
      <c r="N307" s="650" t="n"/>
      <c r="O307" s="650" t="n"/>
      <c r="P307" s="650" t="n"/>
      <c r="Q307" s="650" t="n"/>
      <c r="R307" s="650" t="n"/>
      <c r="S307" s="651" t="n"/>
      <c r="T307" s="43" t="inlineStr">
        <is>
          <t>кг</t>
        </is>
      </c>
      <c r="U307" s="681">
        <f>IFERROR(SUM(U305:U305),"0")</f>
        <v/>
      </c>
      <c r="V307" s="681">
        <f>IFERROR(SUM(V305:V305),"0")</f>
        <v/>
      </c>
      <c r="W307" s="43" t="n"/>
      <c r="X307" s="682" t="n"/>
      <c r="Y307" s="682" t="n"/>
    </row>
    <row r="308" ht="14.25" customHeight="1">
      <c r="A308" s="327" t="inlineStr">
        <is>
          <t>Сардельки</t>
        </is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327" t="n"/>
      <c r="Y308" s="327" t="n"/>
    </row>
    <row r="309" ht="16.5" customHeight="1">
      <c r="A309" s="64" t="inlineStr">
        <is>
          <t>SU002287</t>
        </is>
      </c>
      <c r="B309" s="64" t="inlineStr">
        <is>
          <t>P002490</t>
        </is>
      </c>
      <c r="C309" s="37" t="n">
        <v>4301060314</v>
      </c>
      <c r="D309" s="328" t="n">
        <v>4607091384673</v>
      </c>
      <c r="E309" s="642" t="n"/>
      <c r="F309" s="674" t="n">
        <v>1.3</v>
      </c>
      <c r="G309" s="38" t="n">
        <v>6</v>
      </c>
      <c r="H309" s="674" t="n">
        <v>7.8</v>
      </c>
      <c r="I309" s="674" t="n">
        <v>8.364000000000001</v>
      </c>
      <c r="J309" s="38" t="n">
        <v>56</v>
      </c>
      <c r="K309" s="39" t="inlineStr">
        <is>
          <t>СК2</t>
        </is>
      </c>
      <c r="L309" s="38" t="n">
        <v>30</v>
      </c>
      <c r="M309" s="847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309" s="676" t="n"/>
      <c r="O309" s="676" t="n"/>
      <c r="P309" s="676" t="n"/>
      <c r="Q309" s="642" t="n"/>
      <c r="R309" s="40" t="inlineStr"/>
      <c r="S309" s="40" t="inlineStr"/>
      <c r="T309" s="41" t="inlineStr">
        <is>
          <t>кг</t>
        </is>
      </c>
      <c r="U309" s="677" t="n">
        <v>0</v>
      </c>
      <c r="V309" s="678">
        <f>IFERROR(IF(U309="",0,CEILING((U309/$H309),1)*$H309),"")</f>
        <v/>
      </c>
      <c r="W309" s="42">
        <f>IFERROR(IF(V309=0,"",ROUNDUP(V309/H309,0)*0.02175),"")</f>
        <v/>
      </c>
      <c r="X309" s="69" t="inlineStr"/>
      <c r="Y309" s="70" t="inlineStr"/>
      <c r="AC309" s="71" t="n"/>
      <c r="AZ309" s="238" t="inlineStr">
        <is>
          <t>КИ</t>
        </is>
      </c>
    </row>
    <row r="310">
      <c r="A310" s="322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679" t="n"/>
      <c r="M310" s="680" t="inlineStr">
        <is>
          <t>Итого</t>
        </is>
      </c>
      <c r="N310" s="650" t="n"/>
      <c r="O310" s="650" t="n"/>
      <c r="P310" s="650" t="n"/>
      <c r="Q310" s="650" t="n"/>
      <c r="R310" s="650" t="n"/>
      <c r="S310" s="651" t="n"/>
      <c r="T310" s="43" t="inlineStr">
        <is>
          <t>кор</t>
        </is>
      </c>
      <c r="U310" s="681">
        <f>IFERROR(U309/H309,"0")</f>
        <v/>
      </c>
      <c r="V310" s="681">
        <f>IFERROR(V309/H309,"0")</f>
        <v/>
      </c>
      <c r="W310" s="681">
        <f>IFERROR(IF(W309="",0,W309),"0")</f>
        <v/>
      </c>
      <c r="X310" s="682" t="n"/>
      <c r="Y310" s="682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679" t="n"/>
      <c r="M311" s="680" t="inlineStr">
        <is>
          <t>Итого</t>
        </is>
      </c>
      <c r="N311" s="650" t="n"/>
      <c r="O311" s="650" t="n"/>
      <c r="P311" s="650" t="n"/>
      <c r="Q311" s="650" t="n"/>
      <c r="R311" s="650" t="n"/>
      <c r="S311" s="651" t="n"/>
      <c r="T311" s="43" t="inlineStr">
        <is>
          <t>кг</t>
        </is>
      </c>
      <c r="U311" s="681">
        <f>IFERROR(SUM(U309:U309),"0")</f>
        <v/>
      </c>
      <c r="V311" s="681">
        <f>IFERROR(SUM(V309:V309),"0")</f>
        <v/>
      </c>
      <c r="W311" s="43" t="n"/>
      <c r="X311" s="682" t="n"/>
      <c r="Y311" s="682" t="n"/>
    </row>
    <row r="312" ht="16.5" customHeight="1">
      <c r="A312" s="335" t="inlineStr">
        <is>
          <t>Особая Без свинины</t>
        </is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335" t="n"/>
      <c r="Y312" s="335" t="n"/>
    </row>
    <row r="313" ht="14.25" customHeight="1">
      <c r="A313" s="327" t="inlineStr">
        <is>
          <t>Вареные колбасы</t>
        </is>
      </c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327" t="n"/>
      <c r="Y313" s="327" t="n"/>
    </row>
    <row r="314" ht="27" customHeight="1">
      <c r="A314" s="64" t="inlineStr">
        <is>
          <t>SU002073</t>
        </is>
      </c>
      <c r="B314" s="64" t="inlineStr">
        <is>
          <t>P002563</t>
        </is>
      </c>
      <c r="C314" s="37" t="n">
        <v>4301011324</v>
      </c>
      <c r="D314" s="328" t="n">
        <v>4607091384185</v>
      </c>
      <c r="E314" s="642" t="n"/>
      <c r="F314" s="674" t="n">
        <v>0.8</v>
      </c>
      <c r="G314" s="38" t="n">
        <v>15</v>
      </c>
      <c r="H314" s="674" t="n">
        <v>12</v>
      </c>
      <c r="I314" s="674" t="n">
        <v>12.48</v>
      </c>
      <c r="J314" s="38" t="n">
        <v>56</v>
      </c>
      <c r="K314" s="39" t="inlineStr">
        <is>
          <t>СК2</t>
        </is>
      </c>
      <c r="L314" s="38" t="n">
        <v>60</v>
      </c>
      <c r="M314" s="848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314" s="676" t="n"/>
      <c r="O314" s="676" t="n"/>
      <c r="P314" s="676" t="n"/>
      <c r="Q314" s="642" t="n"/>
      <c r="R314" s="40" t="inlineStr"/>
      <c r="S314" s="40" t="inlineStr"/>
      <c r="T314" s="41" t="inlineStr">
        <is>
          <t>кг</t>
        </is>
      </c>
      <c r="U314" s="677" t="n">
        <v>0</v>
      </c>
      <c r="V314" s="678">
        <f>IFERROR(IF(U314="",0,CEILING((U314/$H314),1)*$H314),"")</f>
        <v/>
      </c>
      <c r="W314" s="42">
        <f>IFERROR(IF(V314=0,"",ROUNDUP(V314/H314,0)*0.02175),"")</f>
        <v/>
      </c>
      <c r="X314" s="69" t="inlineStr"/>
      <c r="Y314" s="70" t="inlineStr"/>
      <c r="AC314" s="71" t="n"/>
      <c r="AZ314" s="239" t="inlineStr">
        <is>
          <t>КИ</t>
        </is>
      </c>
    </row>
    <row r="315" ht="27" customHeight="1">
      <c r="A315" s="64" t="inlineStr">
        <is>
          <t>SU002187</t>
        </is>
      </c>
      <c r="B315" s="64" t="inlineStr">
        <is>
          <t>P002559</t>
        </is>
      </c>
      <c r="C315" s="37" t="n">
        <v>4301011312</v>
      </c>
      <c r="D315" s="328" t="n">
        <v>4607091384192</v>
      </c>
      <c r="E315" s="642" t="n"/>
      <c r="F315" s="674" t="n">
        <v>1.8</v>
      </c>
      <c r="G315" s="38" t="n">
        <v>6</v>
      </c>
      <c r="H315" s="674" t="n">
        <v>10.8</v>
      </c>
      <c r="I315" s="674" t="n">
        <v>11.28</v>
      </c>
      <c r="J315" s="38" t="n">
        <v>56</v>
      </c>
      <c r="K315" s="39" t="inlineStr">
        <is>
          <t>СК1</t>
        </is>
      </c>
      <c r="L315" s="38" t="n">
        <v>60</v>
      </c>
      <c r="M315" s="849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315" s="676" t="n"/>
      <c r="O315" s="676" t="n"/>
      <c r="P315" s="676" t="n"/>
      <c r="Q315" s="642" t="n"/>
      <c r="R315" s="40" t="inlineStr"/>
      <c r="S315" s="40" t="inlineStr"/>
      <c r="T315" s="41" t="inlineStr">
        <is>
          <t>кг</t>
        </is>
      </c>
      <c r="U315" s="677" t="n">
        <v>0</v>
      </c>
      <c r="V315" s="678">
        <f>IFERROR(IF(U315="",0,CEILING((U315/$H315),1)*$H315),"")</f>
        <v/>
      </c>
      <c r="W315" s="42">
        <f>IFERROR(IF(V315=0,"",ROUNDUP(V315/H315,0)*0.02175),"")</f>
        <v/>
      </c>
      <c r="X315" s="69" t="inlineStr"/>
      <c r="Y315" s="70" t="inlineStr"/>
      <c r="AC315" s="71" t="n"/>
      <c r="AZ315" s="240" t="inlineStr">
        <is>
          <t>КИ</t>
        </is>
      </c>
    </row>
    <row r="316" ht="27" customHeight="1">
      <c r="A316" s="64" t="inlineStr">
        <is>
          <t>SU002899</t>
        </is>
      </c>
      <c r="B316" s="64" t="inlineStr">
        <is>
          <t>P003323</t>
        </is>
      </c>
      <c r="C316" s="37" t="n">
        <v>4301011483</v>
      </c>
      <c r="D316" s="328" t="n">
        <v>4680115881907</v>
      </c>
      <c r="E316" s="642" t="n"/>
      <c r="F316" s="674" t="n">
        <v>1.8</v>
      </c>
      <c r="G316" s="38" t="n">
        <v>6</v>
      </c>
      <c r="H316" s="674" t="n">
        <v>10.8</v>
      </c>
      <c r="I316" s="674" t="n">
        <v>11.28</v>
      </c>
      <c r="J316" s="38" t="n">
        <v>56</v>
      </c>
      <c r="K316" s="39" t="inlineStr">
        <is>
          <t>СК2</t>
        </is>
      </c>
      <c r="L316" s="38" t="n">
        <v>60</v>
      </c>
      <c r="M316" s="850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N316" s="676" t="n"/>
      <c r="O316" s="676" t="n"/>
      <c r="P316" s="676" t="n"/>
      <c r="Q316" s="642" t="n"/>
      <c r="R316" s="40" t="inlineStr"/>
      <c r="S316" s="40" t="inlineStr"/>
      <c r="T316" s="41" t="inlineStr">
        <is>
          <t>кг</t>
        </is>
      </c>
      <c r="U316" s="677" t="n">
        <v>0</v>
      </c>
      <c r="V316" s="678">
        <f>IFERROR(IF(U316="",0,CEILING((U316/$H316),1)*$H316),"")</f>
        <v/>
      </c>
      <c r="W316" s="42">
        <f>IFERROR(IF(V316=0,"",ROUNDUP(V316/H316,0)*0.02175),"")</f>
        <v/>
      </c>
      <c r="X316" s="69" t="inlineStr"/>
      <c r="Y316" s="70" t="inlineStr"/>
      <c r="AC316" s="71" t="n"/>
      <c r="AZ316" s="241" t="inlineStr">
        <is>
          <t>КИ</t>
        </is>
      </c>
    </row>
    <row r="317" ht="27" customHeight="1">
      <c r="A317" s="64" t="inlineStr">
        <is>
          <t>SU002462</t>
        </is>
      </c>
      <c r="B317" s="64" t="inlineStr">
        <is>
          <t>P002768</t>
        </is>
      </c>
      <c r="C317" s="37" t="n">
        <v>4301011303</v>
      </c>
      <c r="D317" s="328" t="n">
        <v>4607091384680</v>
      </c>
      <c r="E317" s="642" t="n"/>
      <c r="F317" s="674" t="n">
        <v>0.4</v>
      </c>
      <c r="G317" s="38" t="n">
        <v>10</v>
      </c>
      <c r="H317" s="674" t="n">
        <v>4</v>
      </c>
      <c r="I317" s="674" t="n">
        <v>4.21</v>
      </c>
      <c r="J317" s="38" t="n">
        <v>120</v>
      </c>
      <c r="K317" s="39" t="inlineStr">
        <is>
          <t>СК2</t>
        </is>
      </c>
      <c r="L317" s="38" t="n">
        <v>60</v>
      </c>
      <c r="M317" s="851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17" s="676" t="n"/>
      <c r="O317" s="676" t="n"/>
      <c r="P317" s="676" t="n"/>
      <c r="Q317" s="642" t="n"/>
      <c r="R317" s="40" t="inlineStr"/>
      <c r="S317" s="40" t="inlineStr"/>
      <c r="T317" s="41" t="inlineStr">
        <is>
          <t>кг</t>
        </is>
      </c>
      <c r="U317" s="677" t="n">
        <v>0</v>
      </c>
      <c r="V317" s="678">
        <f>IFERROR(IF(U317="",0,CEILING((U317/$H317),1)*$H317),"")</f>
        <v/>
      </c>
      <c r="W317" s="42">
        <f>IFERROR(IF(V317=0,"",ROUNDUP(V317/H317,0)*0.00937),"")</f>
        <v/>
      </c>
      <c r="X317" s="69" t="inlineStr"/>
      <c r="Y317" s="70" t="inlineStr"/>
      <c r="AC317" s="71" t="n"/>
      <c r="AZ317" s="242" t="inlineStr">
        <is>
          <t>КИ</t>
        </is>
      </c>
    </row>
    <row r="318">
      <c r="A318" s="322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679" t="n"/>
      <c r="M318" s="680" t="inlineStr">
        <is>
          <t>Итого</t>
        </is>
      </c>
      <c r="N318" s="650" t="n"/>
      <c r="O318" s="650" t="n"/>
      <c r="P318" s="650" t="n"/>
      <c r="Q318" s="650" t="n"/>
      <c r="R318" s="650" t="n"/>
      <c r="S318" s="651" t="n"/>
      <c r="T318" s="43" t="inlineStr">
        <is>
          <t>кор</t>
        </is>
      </c>
      <c r="U318" s="681">
        <f>IFERROR(U314/H314,"0")+IFERROR(U315/H315,"0")+IFERROR(U316/H316,"0")+IFERROR(U317/H317,"0")</f>
        <v/>
      </c>
      <c r="V318" s="681">
        <f>IFERROR(V314/H314,"0")+IFERROR(V315/H315,"0")+IFERROR(V316/H316,"0")+IFERROR(V317/H317,"0")</f>
        <v/>
      </c>
      <c r="W318" s="681">
        <f>IFERROR(IF(W314="",0,W314),"0")+IFERROR(IF(W315="",0,W315),"0")+IFERROR(IF(W316="",0,W316),"0")+IFERROR(IF(W317="",0,W317),"0")</f>
        <v/>
      </c>
      <c r="X318" s="682" t="n"/>
      <c r="Y318" s="682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679" t="n"/>
      <c r="M319" s="680" t="inlineStr">
        <is>
          <t>Итого</t>
        </is>
      </c>
      <c r="N319" s="650" t="n"/>
      <c r="O319" s="650" t="n"/>
      <c r="P319" s="650" t="n"/>
      <c r="Q319" s="650" t="n"/>
      <c r="R319" s="650" t="n"/>
      <c r="S319" s="651" t="n"/>
      <c r="T319" s="43" t="inlineStr">
        <is>
          <t>кг</t>
        </is>
      </c>
      <c r="U319" s="681">
        <f>IFERROR(SUM(U314:U317),"0")</f>
        <v/>
      </c>
      <c r="V319" s="681">
        <f>IFERROR(SUM(V314:V317),"0")</f>
        <v/>
      </c>
      <c r="W319" s="43" t="n"/>
      <c r="X319" s="682" t="n"/>
      <c r="Y319" s="682" t="n"/>
    </row>
    <row r="320" ht="14.25" customHeight="1">
      <c r="A320" s="327" t="inlineStr">
        <is>
          <t>Копченые колбасы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327" t="n"/>
      <c r="Y320" s="327" t="n"/>
    </row>
    <row r="321" ht="27" customHeight="1">
      <c r="A321" s="64" t="inlineStr">
        <is>
          <t>SU002360</t>
        </is>
      </c>
      <c r="B321" s="64" t="inlineStr">
        <is>
          <t>P002629</t>
        </is>
      </c>
      <c r="C321" s="37" t="n">
        <v>4301031139</v>
      </c>
      <c r="D321" s="328" t="n">
        <v>4607091384802</v>
      </c>
      <c r="E321" s="642" t="n"/>
      <c r="F321" s="674" t="n">
        <v>0.73</v>
      </c>
      <c r="G321" s="38" t="n">
        <v>6</v>
      </c>
      <c r="H321" s="674" t="n">
        <v>4.38</v>
      </c>
      <c r="I321" s="674" t="n">
        <v>4.58</v>
      </c>
      <c r="J321" s="38" t="n">
        <v>156</v>
      </c>
      <c r="K321" s="39" t="inlineStr">
        <is>
          <t>СК2</t>
        </is>
      </c>
      <c r="L321" s="38" t="n">
        <v>35</v>
      </c>
      <c r="M321" s="852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21" s="676" t="n"/>
      <c r="O321" s="676" t="n"/>
      <c r="P321" s="676" t="n"/>
      <c r="Q321" s="642" t="n"/>
      <c r="R321" s="40" t="inlineStr"/>
      <c r="S321" s="40" t="inlineStr"/>
      <c r="T321" s="41" t="inlineStr">
        <is>
          <t>кг</t>
        </is>
      </c>
      <c r="U321" s="677" t="n">
        <v>0</v>
      </c>
      <c r="V321" s="678">
        <f>IFERROR(IF(U321="",0,CEILING((U321/$H321),1)*$H321),"")</f>
        <v/>
      </c>
      <c r="W321" s="42">
        <f>IFERROR(IF(V321=0,"",ROUNDUP(V321/H321,0)*0.00753),"")</f>
        <v/>
      </c>
      <c r="X321" s="69" t="inlineStr"/>
      <c r="Y321" s="70" t="inlineStr"/>
      <c r="AC321" s="71" t="n"/>
      <c r="AZ321" s="243" t="inlineStr">
        <is>
          <t>КИ</t>
        </is>
      </c>
    </row>
    <row r="322" ht="27" customHeight="1">
      <c r="A322" s="64" t="inlineStr">
        <is>
          <t>SU002361</t>
        </is>
      </c>
      <c r="B322" s="64" t="inlineStr">
        <is>
          <t>P002630</t>
        </is>
      </c>
      <c r="C322" s="37" t="n">
        <v>4301031140</v>
      </c>
      <c r="D322" s="328" t="n">
        <v>4607091384826</v>
      </c>
      <c r="E322" s="642" t="n"/>
      <c r="F322" s="674" t="n">
        <v>0.35</v>
      </c>
      <c r="G322" s="38" t="n">
        <v>8</v>
      </c>
      <c r="H322" s="674" t="n">
        <v>2.8</v>
      </c>
      <c r="I322" s="674" t="n">
        <v>2.9</v>
      </c>
      <c r="J322" s="38" t="n">
        <v>234</v>
      </c>
      <c r="K322" s="39" t="inlineStr">
        <is>
          <t>СК2</t>
        </is>
      </c>
      <c r="L322" s="38" t="n">
        <v>35</v>
      </c>
      <c r="M322" s="853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22" s="676" t="n"/>
      <c r="O322" s="676" t="n"/>
      <c r="P322" s="676" t="n"/>
      <c r="Q322" s="642" t="n"/>
      <c r="R322" s="40" t="inlineStr"/>
      <c r="S322" s="40" t="inlineStr"/>
      <c r="T322" s="41" t="inlineStr">
        <is>
          <t>кг</t>
        </is>
      </c>
      <c r="U322" s="677" t="n">
        <v>0</v>
      </c>
      <c r="V322" s="678">
        <f>IFERROR(IF(U322="",0,CEILING((U322/$H322),1)*$H322),"")</f>
        <v/>
      </c>
      <c r="W322" s="42">
        <f>IFERROR(IF(V322=0,"",ROUNDUP(V322/H322,0)*0.00502),"")</f>
        <v/>
      </c>
      <c r="X322" s="69" t="inlineStr"/>
      <c r="Y322" s="70" t="inlineStr"/>
      <c r="AC322" s="71" t="n"/>
      <c r="AZ322" s="244" t="inlineStr">
        <is>
          <t>КИ</t>
        </is>
      </c>
    </row>
    <row r="323">
      <c r="A323" s="322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679" t="n"/>
      <c r="M323" s="680" t="inlineStr">
        <is>
          <t>Итого</t>
        </is>
      </c>
      <c r="N323" s="650" t="n"/>
      <c r="O323" s="650" t="n"/>
      <c r="P323" s="650" t="n"/>
      <c r="Q323" s="650" t="n"/>
      <c r="R323" s="650" t="n"/>
      <c r="S323" s="651" t="n"/>
      <c r="T323" s="43" t="inlineStr">
        <is>
          <t>кор</t>
        </is>
      </c>
      <c r="U323" s="681">
        <f>IFERROR(U321/H321,"0")+IFERROR(U322/H322,"0")</f>
        <v/>
      </c>
      <c r="V323" s="681">
        <f>IFERROR(V321/H321,"0")+IFERROR(V322/H322,"0")</f>
        <v/>
      </c>
      <c r="W323" s="681">
        <f>IFERROR(IF(W321="",0,W321),"0")+IFERROR(IF(W322="",0,W322),"0")</f>
        <v/>
      </c>
      <c r="X323" s="682" t="n"/>
      <c r="Y323" s="682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679" t="n"/>
      <c r="M324" s="680" t="inlineStr">
        <is>
          <t>Итого</t>
        </is>
      </c>
      <c r="N324" s="650" t="n"/>
      <c r="O324" s="650" t="n"/>
      <c r="P324" s="650" t="n"/>
      <c r="Q324" s="650" t="n"/>
      <c r="R324" s="650" t="n"/>
      <c r="S324" s="651" t="n"/>
      <c r="T324" s="43" t="inlineStr">
        <is>
          <t>кг</t>
        </is>
      </c>
      <c r="U324" s="681">
        <f>IFERROR(SUM(U321:U322),"0")</f>
        <v/>
      </c>
      <c r="V324" s="681">
        <f>IFERROR(SUM(V321:V322),"0")</f>
        <v/>
      </c>
      <c r="W324" s="43" t="n"/>
      <c r="X324" s="682" t="n"/>
      <c r="Y324" s="682" t="n"/>
    </row>
    <row r="325" ht="14.25" customHeight="1">
      <c r="A325" s="327" t="inlineStr">
        <is>
          <t>Сосиски</t>
        </is>
      </c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327" t="n"/>
      <c r="Y325" s="327" t="n"/>
    </row>
    <row r="326" ht="27" customHeight="1">
      <c r="A326" s="64" t="inlineStr">
        <is>
          <t>SU002074</t>
        </is>
      </c>
      <c r="B326" s="64" t="inlineStr">
        <is>
          <t>P002693</t>
        </is>
      </c>
      <c r="C326" s="37" t="n">
        <v>4301051303</v>
      </c>
      <c r="D326" s="328" t="n">
        <v>4607091384246</v>
      </c>
      <c r="E326" s="642" t="n"/>
      <c r="F326" s="674" t="n">
        <v>1.3</v>
      </c>
      <c r="G326" s="38" t="n">
        <v>6</v>
      </c>
      <c r="H326" s="674" t="n">
        <v>7.8</v>
      </c>
      <c r="I326" s="674" t="n">
        <v>8.364000000000001</v>
      </c>
      <c r="J326" s="38" t="n">
        <v>56</v>
      </c>
      <c r="K326" s="39" t="inlineStr">
        <is>
          <t>СК2</t>
        </is>
      </c>
      <c r="L326" s="38" t="n">
        <v>40</v>
      </c>
      <c r="M326" s="854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26" s="676" t="n"/>
      <c r="O326" s="676" t="n"/>
      <c r="P326" s="676" t="n"/>
      <c r="Q326" s="642" t="n"/>
      <c r="R326" s="40" t="inlineStr"/>
      <c r="S326" s="40" t="inlineStr"/>
      <c r="T326" s="41" t="inlineStr">
        <is>
          <t>кг</t>
        </is>
      </c>
      <c r="U326" s="677" t="n">
        <v>0</v>
      </c>
      <c r="V326" s="678">
        <f>IFERROR(IF(U326="",0,CEILING((U326/$H326),1)*$H326),"")</f>
        <v/>
      </c>
      <c r="W326" s="42">
        <f>IFERROR(IF(V326=0,"",ROUNDUP(V326/H326,0)*0.02175),"")</f>
        <v/>
      </c>
      <c r="X326" s="69" t="inlineStr"/>
      <c r="Y326" s="70" t="inlineStr"/>
      <c r="AC326" s="71" t="n"/>
      <c r="AZ326" s="245" t="inlineStr">
        <is>
          <t>КИ</t>
        </is>
      </c>
    </row>
    <row r="327" ht="27" customHeight="1">
      <c r="A327" s="64" t="inlineStr">
        <is>
          <t>SU002896</t>
        </is>
      </c>
      <c r="B327" s="64" t="inlineStr">
        <is>
          <t>P003330</t>
        </is>
      </c>
      <c r="C327" s="37" t="n">
        <v>4301051445</v>
      </c>
      <c r="D327" s="328" t="n">
        <v>4680115881976</v>
      </c>
      <c r="E327" s="642" t="n"/>
      <c r="F327" s="674" t="n">
        <v>1.3</v>
      </c>
      <c r="G327" s="38" t="n">
        <v>6</v>
      </c>
      <c r="H327" s="674" t="n">
        <v>7.8</v>
      </c>
      <c r="I327" s="674" t="n">
        <v>8.279999999999999</v>
      </c>
      <c r="J327" s="38" t="n">
        <v>56</v>
      </c>
      <c r="K327" s="39" t="inlineStr">
        <is>
          <t>СК2</t>
        </is>
      </c>
      <c r="L327" s="38" t="n">
        <v>40</v>
      </c>
      <c r="M327" s="855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N327" s="676" t="n"/>
      <c r="O327" s="676" t="n"/>
      <c r="P327" s="676" t="n"/>
      <c r="Q327" s="642" t="n"/>
      <c r="R327" s="40" t="inlineStr"/>
      <c r="S327" s="40" t="inlineStr"/>
      <c r="T327" s="41" t="inlineStr">
        <is>
          <t>кг</t>
        </is>
      </c>
      <c r="U327" s="677" t="n">
        <v>0</v>
      </c>
      <c r="V327" s="678">
        <f>IFERROR(IF(U327="",0,CEILING((U327/$H327),1)*$H327),"")</f>
        <v/>
      </c>
      <c r="W327" s="42">
        <f>IFERROR(IF(V327=0,"",ROUNDUP(V327/H327,0)*0.02175),"")</f>
        <v/>
      </c>
      <c r="X327" s="69" t="inlineStr"/>
      <c r="Y327" s="70" t="inlineStr"/>
      <c r="AC327" s="71" t="n"/>
      <c r="AZ327" s="246" t="inlineStr">
        <is>
          <t>КИ</t>
        </is>
      </c>
    </row>
    <row r="328" ht="27" customHeight="1">
      <c r="A328" s="64" t="inlineStr">
        <is>
          <t>SU002205</t>
        </is>
      </c>
      <c r="B328" s="64" t="inlineStr">
        <is>
          <t>P002694</t>
        </is>
      </c>
      <c r="C328" s="37" t="n">
        <v>4301051297</v>
      </c>
      <c r="D328" s="328" t="n">
        <v>4607091384253</v>
      </c>
      <c r="E328" s="642" t="n"/>
      <c r="F328" s="674" t="n">
        <v>0.4</v>
      </c>
      <c r="G328" s="38" t="n">
        <v>6</v>
      </c>
      <c r="H328" s="674" t="n">
        <v>2.4</v>
      </c>
      <c r="I328" s="674" t="n">
        <v>2.684</v>
      </c>
      <c r="J328" s="38" t="n">
        <v>156</v>
      </c>
      <c r="K328" s="39" t="inlineStr">
        <is>
          <t>СК2</t>
        </is>
      </c>
      <c r="L328" s="38" t="n">
        <v>40</v>
      </c>
      <c r="M328" s="856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28" s="676" t="n"/>
      <c r="O328" s="676" t="n"/>
      <c r="P328" s="676" t="n"/>
      <c r="Q328" s="642" t="n"/>
      <c r="R328" s="40" t="inlineStr"/>
      <c r="S328" s="40" t="inlineStr"/>
      <c r="T328" s="41" t="inlineStr">
        <is>
          <t>кг</t>
        </is>
      </c>
      <c r="U328" s="677" t="n">
        <v>0</v>
      </c>
      <c r="V328" s="678">
        <f>IFERROR(IF(U328="",0,CEILING((U328/$H328),1)*$H328),"")</f>
        <v/>
      </c>
      <c r="W328" s="42">
        <f>IFERROR(IF(V328=0,"",ROUNDUP(V328/H328,0)*0.00753),"")</f>
        <v/>
      </c>
      <c r="X328" s="69" t="inlineStr"/>
      <c r="Y328" s="70" t="inlineStr"/>
      <c r="AC328" s="71" t="n"/>
      <c r="AZ328" s="247" t="inlineStr">
        <is>
          <t>КИ</t>
        </is>
      </c>
    </row>
    <row r="329" ht="27" customHeight="1">
      <c r="A329" s="64" t="inlineStr">
        <is>
          <t>SU002895</t>
        </is>
      </c>
      <c r="B329" s="64" t="inlineStr">
        <is>
          <t>P003329</t>
        </is>
      </c>
      <c r="C329" s="37" t="n">
        <v>4301051444</v>
      </c>
      <c r="D329" s="328" t="n">
        <v>4680115881969</v>
      </c>
      <c r="E329" s="642" t="n"/>
      <c r="F329" s="674" t="n">
        <v>0.4</v>
      </c>
      <c r="G329" s="38" t="n">
        <v>6</v>
      </c>
      <c r="H329" s="674" t="n">
        <v>2.4</v>
      </c>
      <c r="I329" s="674" t="n">
        <v>2.6</v>
      </c>
      <c r="J329" s="38" t="n">
        <v>156</v>
      </c>
      <c r="K329" s="39" t="inlineStr">
        <is>
          <t>СК2</t>
        </is>
      </c>
      <c r="L329" s="38" t="n">
        <v>40</v>
      </c>
      <c r="M329" s="857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N329" s="676" t="n"/>
      <c r="O329" s="676" t="n"/>
      <c r="P329" s="676" t="n"/>
      <c r="Q329" s="642" t="n"/>
      <c r="R329" s="40" t="inlineStr"/>
      <c r="S329" s="40" t="inlineStr"/>
      <c r="T329" s="41" t="inlineStr">
        <is>
          <t>кг</t>
        </is>
      </c>
      <c r="U329" s="677" t="n">
        <v>0</v>
      </c>
      <c r="V329" s="678">
        <f>IFERROR(IF(U329="",0,CEILING((U329/$H329),1)*$H329),"")</f>
        <v/>
      </c>
      <c r="W329" s="42">
        <f>IFERROR(IF(V329=0,"",ROUNDUP(V329/H329,0)*0.00753),"")</f>
        <v/>
      </c>
      <c r="X329" s="69" t="inlineStr"/>
      <c r="Y329" s="70" t="inlineStr"/>
      <c r="AC329" s="71" t="n"/>
      <c r="AZ329" s="248" t="inlineStr">
        <is>
          <t>КИ</t>
        </is>
      </c>
    </row>
    <row r="330">
      <c r="A330" s="322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679" t="n"/>
      <c r="M330" s="680" t="inlineStr">
        <is>
          <t>Итого</t>
        </is>
      </c>
      <c r="N330" s="650" t="n"/>
      <c r="O330" s="650" t="n"/>
      <c r="P330" s="650" t="n"/>
      <c r="Q330" s="650" t="n"/>
      <c r="R330" s="650" t="n"/>
      <c r="S330" s="651" t="n"/>
      <c r="T330" s="43" t="inlineStr">
        <is>
          <t>кор</t>
        </is>
      </c>
      <c r="U330" s="681">
        <f>IFERROR(U326/H326,"0")+IFERROR(U327/H327,"0")+IFERROR(U328/H328,"0")+IFERROR(U329/H329,"0")</f>
        <v/>
      </c>
      <c r="V330" s="681">
        <f>IFERROR(V326/H326,"0")+IFERROR(V327/H327,"0")+IFERROR(V328/H328,"0")+IFERROR(V329/H329,"0")</f>
        <v/>
      </c>
      <c r="W330" s="681">
        <f>IFERROR(IF(W326="",0,W326),"0")+IFERROR(IF(W327="",0,W327),"0")+IFERROR(IF(W328="",0,W328),"0")+IFERROR(IF(W329="",0,W329),"0")</f>
        <v/>
      </c>
      <c r="X330" s="682" t="n"/>
      <c r="Y330" s="682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679" t="n"/>
      <c r="M331" s="680" t="inlineStr">
        <is>
          <t>Итого</t>
        </is>
      </c>
      <c r="N331" s="650" t="n"/>
      <c r="O331" s="650" t="n"/>
      <c r="P331" s="650" t="n"/>
      <c r="Q331" s="650" t="n"/>
      <c r="R331" s="650" t="n"/>
      <c r="S331" s="651" t="n"/>
      <c r="T331" s="43" t="inlineStr">
        <is>
          <t>кг</t>
        </is>
      </c>
      <c r="U331" s="681">
        <f>IFERROR(SUM(U326:U329),"0")</f>
        <v/>
      </c>
      <c r="V331" s="681">
        <f>IFERROR(SUM(V326:V329),"0")</f>
        <v/>
      </c>
      <c r="W331" s="43" t="n"/>
      <c r="X331" s="682" t="n"/>
      <c r="Y331" s="682" t="n"/>
    </row>
    <row r="332" ht="14.25" customHeight="1">
      <c r="A332" s="327" t="inlineStr">
        <is>
          <t>Сардельки</t>
        </is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327" t="n"/>
      <c r="Y332" s="327" t="n"/>
    </row>
    <row r="333" ht="27" customHeight="1">
      <c r="A333" s="64" t="inlineStr">
        <is>
          <t>SU002472</t>
        </is>
      </c>
      <c r="B333" s="64" t="inlineStr">
        <is>
          <t>P002973</t>
        </is>
      </c>
      <c r="C333" s="37" t="n">
        <v>4301060322</v>
      </c>
      <c r="D333" s="328" t="n">
        <v>4607091389357</v>
      </c>
      <c r="E333" s="642" t="n"/>
      <c r="F333" s="674" t="n">
        <v>1.3</v>
      </c>
      <c r="G333" s="38" t="n">
        <v>6</v>
      </c>
      <c r="H333" s="674" t="n">
        <v>7.8</v>
      </c>
      <c r="I333" s="674" t="n">
        <v>8.279999999999999</v>
      </c>
      <c r="J333" s="38" t="n">
        <v>56</v>
      </c>
      <c r="K333" s="39" t="inlineStr">
        <is>
          <t>СК2</t>
        </is>
      </c>
      <c r="L333" s="38" t="n">
        <v>40</v>
      </c>
      <c r="M333" s="858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N333" s="676" t="n"/>
      <c r="O333" s="676" t="n"/>
      <c r="P333" s="676" t="n"/>
      <c r="Q333" s="642" t="n"/>
      <c r="R333" s="40" t="inlineStr"/>
      <c r="S333" s="40" t="inlineStr"/>
      <c r="T333" s="41" t="inlineStr">
        <is>
          <t>кг</t>
        </is>
      </c>
      <c r="U333" s="677" t="n">
        <v>0</v>
      </c>
      <c r="V333" s="678">
        <f>IFERROR(IF(U333="",0,CEILING((U333/$H333),1)*$H333),"")</f>
        <v/>
      </c>
      <c r="W333" s="42">
        <f>IFERROR(IF(V333=0,"",ROUNDUP(V333/H333,0)*0.02175),"")</f>
        <v/>
      </c>
      <c r="X333" s="69" t="inlineStr"/>
      <c r="Y333" s="70" t="inlineStr"/>
      <c r="AC333" s="71" t="n"/>
      <c r="AZ333" s="249" t="inlineStr">
        <is>
          <t>КИ</t>
        </is>
      </c>
    </row>
    <row r="334">
      <c r="A334" s="322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679" t="n"/>
      <c r="M334" s="680" t="inlineStr">
        <is>
          <t>Итого</t>
        </is>
      </c>
      <c r="N334" s="650" t="n"/>
      <c r="O334" s="650" t="n"/>
      <c r="P334" s="650" t="n"/>
      <c r="Q334" s="650" t="n"/>
      <c r="R334" s="650" t="n"/>
      <c r="S334" s="651" t="n"/>
      <c r="T334" s="43" t="inlineStr">
        <is>
          <t>кор</t>
        </is>
      </c>
      <c r="U334" s="681">
        <f>IFERROR(U333/H333,"0")</f>
        <v/>
      </c>
      <c r="V334" s="681">
        <f>IFERROR(V333/H333,"0")</f>
        <v/>
      </c>
      <c r="W334" s="681">
        <f>IFERROR(IF(W333="",0,W333),"0")</f>
        <v/>
      </c>
      <c r="X334" s="682" t="n"/>
      <c r="Y334" s="682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679" t="n"/>
      <c r="M335" s="680" t="inlineStr">
        <is>
          <t>Итого</t>
        </is>
      </c>
      <c r="N335" s="650" t="n"/>
      <c r="O335" s="650" t="n"/>
      <c r="P335" s="650" t="n"/>
      <c r="Q335" s="650" t="n"/>
      <c r="R335" s="650" t="n"/>
      <c r="S335" s="651" t="n"/>
      <c r="T335" s="43" t="inlineStr">
        <is>
          <t>кг</t>
        </is>
      </c>
      <c r="U335" s="681">
        <f>IFERROR(SUM(U333:U333),"0")</f>
        <v/>
      </c>
      <c r="V335" s="681">
        <f>IFERROR(SUM(V333:V333),"0")</f>
        <v/>
      </c>
      <c r="W335" s="43" t="n"/>
      <c r="X335" s="682" t="n"/>
      <c r="Y335" s="682" t="n"/>
    </row>
    <row r="336" ht="27.75" customHeight="1">
      <c r="A336" s="341" t="inlineStr">
        <is>
          <t>Баварушка</t>
        </is>
      </c>
      <c r="B336" s="673" t="n"/>
      <c r="C336" s="673" t="n"/>
      <c r="D336" s="673" t="n"/>
      <c r="E336" s="673" t="n"/>
      <c r="F336" s="673" t="n"/>
      <c r="G336" s="673" t="n"/>
      <c r="H336" s="673" t="n"/>
      <c r="I336" s="673" t="n"/>
      <c r="J336" s="673" t="n"/>
      <c r="K336" s="673" t="n"/>
      <c r="L336" s="673" t="n"/>
      <c r="M336" s="673" t="n"/>
      <c r="N336" s="673" t="n"/>
      <c r="O336" s="673" t="n"/>
      <c r="P336" s="673" t="n"/>
      <c r="Q336" s="673" t="n"/>
      <c r="R336" s="673" t="n"/>
      <c r="S336" s="673" t="n"/>
      <c r="T336" s="673" t="n"/>
      <c r="U336" s="673" t="n"/>
      <c r="V336" s="673" t="n"/>
      <c r="W336" s="673" t="n"/>
      <c r="X336" s="55" t="n"/>
      <c r="Y336" s="55" t="n"/>
    </row>
    <row r="337" ht="16.5" customHeight="1">
      <c r="A337" s="335" t="inlineStr">
        <is>
          <t>Филейбургская</t>
        </is>
      </c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335" t="n"/>
      <c r="Y337" s="335" t="n"/>
    </row>
    <row r="338" ht="14.25" customHeight="1">
      <c r="A338" s="327" t="inlineStr">
        <is>
          <t>Вареные колбасы</t>
        </is>
      </c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327" t="n"/>
      <c r="Y338" s="327" t="n"/>
    </row>
    <row r="339" ht="27" customHeight="1">
      <c r="A339" s="64" t="inlineStr">
        <is>
          <t>SU002477</t>
        </is>
      </c>
      <c r="B339" s="64" t="inlineStr">
        <is>
          <t>P003148</t>
        </is>
      </c>
      <c r="C339" s="37" t="n">
        <v>4301011428</v>
      </c>
      <c r="D339" s="328" t="n">
        <v>4607091389708</v>
      </c>
      <c r="E339" s="642" t="n"/>
      <c r="F339" s="674" t="n">
        <v>0.45</v>
      </c>
      <c r="G339" s="38" t="n">
        <v>6</v>
      </c>
      <c r="H339" s="674" t="n">
        <v>2.7</v>
      </c>
      <c r="I339" s="674" t="n">
        <v>2.9</v>
      </c>
      <c r="J339" s="38" t="n">
        <v>156</v>
      </c>
      <c r="K339" s="39" t="inlineStr">
        <is>
          <t>СК1</t>
        </is>
      </c>
      <c r="L339" s="38" t="n">
        <v>50</v>
      </c>
      <c r="M339" s="859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39" s="676" t="n"/>
      <c r="O339" s="676" t="n"/>
      <c r="P339" s="676" t="n"/>
      <c r="Q339" s="642" t="n"/>
      <c r="R339" s="40" t="inlineStr"/>
      <c r="S339" s="40" t="inlineStr"/>
      <c r="T339" s="41" t="inlineStr">
        <is>
          <t>кг</t>
        </is>
      </c>
      <c r="U339" s="677" t="n">
        <v>0</v>
      </c>
      <c r="V339" s="678">
        <f>IFERROR(IF(U339="",0,CEILING((U339/$H339),1)*$H339),"")</f>
        <v/>
      </c>
      <c r="W339" s="42">
        <f>IFERROR(IF(V339=0,"",ROUNDUP(V339/H339,0)*0.00753),"")</f>
        <v/>
      </c>
      <c r="X339" s="69" t="inlineStr"/>
      <c r="Y339" s="70" t="inlineStr"/>
      <c r="AC339" s="71" t="n"/>
      <c r="AZ339" s="250" t="inlineStr">
        <is>
          <t>КИ</t>
        </is>
      </c>
    </row>
    <row r="340" ht="27" customHeight="1">
      <c r="A340" s="64" t="inlineStr">
        <is>
          <t>SU002476</t>
        </is>
      </c>
      <c r="B340" s="64" t="inlineStr">
        <is>
          <t>P003147</t>
        </is>
      </c>
      <c r="C340" s="37" t="n">
        <v>4301011427</v>
      </c>
      <c r="D340" s="328" t="n">
        <v>4607091389692</v>
      </c>
      <c r="E340" s="642" t="n"/>
      <c r="F340" s="674" t="n">
        <v>0.45</v>
      </c>
      <c r="G340" s="38" t="n">
        <v>6</v>
      </c>
      <c r="H340" s="674" t="n">
        <v>2.7</v>
      </c>
      <c r="I340" s="674" t="n">
        <v>2.9</v>
      </c>
      <c r="J340" s="38" t="n">
        <v>156</v>
      </c>
      <c r="K340" s="39" t="inlineStr">
        <is>
          <t>СК1</t>
        </is>
      </c>
      <c r="L340" s="38" t="n">
        <v>50</v>
      </c>
      <c r="M340" s="860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N340" s="676" t="n"/>
      <c r="O340" s="676" t="n"/>
      <c r="P340" s="676" t="n"/>
      <c r="Q340" s="642" t="n"/>
      <c r="R340" s="40" t="inlineStr"/>
      <c r="S340" s="40" t="inlineStr"/>
      <c r="T340" s="41" t="inlineStr">
        <is>
          <t>кг</t>
        </is>
      </c>
      <c r="U340" s="677" t="n">
        <v>0</v>
      </c>
      <c r="V340" s="678">
        <f>IFERROR(IF(U340="",0,CEILING((U340/$H340),1)*$H340),"")</f>
        <v/>
      </c>
      <c r="W340" s="42">
        <f>IFERROR(IF(V340=0,"",ROUNDUP(V340/H340,0)*0.00753),"")</f>
        <v/>
      </c>
      <c r="X340" s="69" t="inlineStr"/>
      <c r="Y340" s="70" t="inlineStr"/>
      <c r="AC340" s="71" t="n"/>
      <c r="AZ340" s="251" t="inlineStr">
        <is>
          <t>КИ</t>
        </is>
      </c>
    </row>
    <row r="341">
      <c r="A341" s="322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679" t="n"/>
      <c r="M341" s="680" t="inlineStr">
        <is>
          <t>Итого</t>
        </is>
      </c>
      <c r="N341" s="650" t="n"/>
      <c r="O341" s="650" t="n"/>
      <c r="P341" s="650" t="n"/>
      <c r="Q341" s="650" t="n"/>
      <c r="R341" s="650" t="n"/>
      <c r="S341" s="651" t="n"/>
      <c r="T341" s="43" t="inlineStr">
        <is>
          <t>кор</t>
        </is>
      </c>
      <c r="U341" s="681">
        <f>IFERROR(U339/H339,"0")+IFERROR(U340/H340,"0")</f>
        <v/>
      </c>
      <c r="V341" s="681">
        <f>IFERROR(V339/H339,"0")+IFERROR(V340/H340,"0")</f>
        <v/>
      </c>
      <c r="W341" s="681">
        <f>IFERROR(IF(W339="",0,W339),"0")+IFERROR(IF(W340="",0,W340),"0")</f>
        <v/>
      </c>
      <c r="X341" s="682" t="n"/>
      <c r="Y341" s="682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679" t="n"/>
      <c r="M342" s="680" t="inlineStr">
        <is>
          <t>Итого</t>
        </is>
      </c>
      <c r="N342" s="650" t="n"/>
      <c r="O342" s="650" t="n"/>
      <c r="P342" s="650" t="n"/>
      <c r="Q342" s="650" t="n"/>
      <c r="R342" s="650" t="n"/>
      <c r="S342" s="651" t="n"/>
      <c r="T342" s="43" t="inlineStr">
        <is>
          <t>кг</t>
        </is>
      </c>
      <c r="U342" s="681">
        <f>IFERROR(SUM(U339:U340),"0")</f>
        <v/>
      </c>
      <c r="V342" s="681">
        <f>IFERROR(SUM(V339:V340),"0")</f>
        <v/>
      </c>
      <c r="W342" s="43" t="n"/>
      <c r="X342" s="682" t="n"/>
      <c r="Y342" s="682" t="n"/>
    </row>
    <row r="343" ht="14.25" customHeight="1">
      <c r="A343" s="327" t="inlineStr">
        <is>
          <t>Копченые колбасы</t>
        </is>
      </c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327" t="n"/>
      <c r="Y343" s="327" t="n"/>
    </row>
    <row r="344" ht="27" customHeight="1">
      <c r="A344" s="64" t="inlineStr">
        <is>
          <t>SU002614</t>
        </is>
      </c>
      <c r="B344" s="64" t="inlineStr">
        <is>
          <t>P003138</t>
        </is>
      </c>
      <c r="C344" s="37" t="n">
        <v>4301031177</v>
      </c>
      <c r="D344" s="328" t="n">
        <v>4607091389753</v>
      </c>
      <c r="E344" s="642" t="n"/>
      <c r="F344" s="674" t="n">
        <v>0.7</v>
      </c>
      <c r="G344" s="38" t="n">
        <v>6</v>
      </c>
      <c r="H344" s="674" t="n">
        <v>4.2</v>
      </c>
      <c r="I344" s="674" t="n">
        <v>4.43</v>
      </c>
      <c r="J344" s="38" t="n">
        <v>156</v>
      </c>
      <c r="K344" s="39" t="inlineStr">
        <is>
          <t>СК2</t>
        </is>
      </c>
      <c r="L344" s="38" t="n">
        <v>45</v>
      </c>
      <c r="M344" s="861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44" s="676" t="n"/>
      <c r="O344" s="676" t="n"/>
      <c r="P344" s="676" t="n"/>
      <c r="Q344" s="642" t="n"/>
      <c r="R344" s="40" t="inlineStr"/>
      <c r="S344" s="40" t="inlineStr"/>
      <c r="T344" s="41" t="inlineStr">
        <is>
          <t>кг</t>
        </is>
      </c>
      <c r="U344" s="677" t="n">
        <v>0</v>
      </c>
      <c r="V344" s="678">
        <f>IFERROR(IF(U344="",0,CEILING((U344/$H344),1)*$H344),"")</f>
        <v/>
      </c>
      <c r="W344" s="42">
        <f>IFERROR(IF(V344=0,"",ROUNDUP(V344/H344,0)*0.00753),"")</f>
        <v/>
      </c>
      <c r="X344" s="69" t="inlineStr"/>
      <c r="Y344" s="70" t="inlineStr"/>
      <c r="AC344" s="71" t="n"/>
      <c r="AZ344" s="252" t="inlineStr">
        <is>
          <t>КИ</t>
        </is>
      </c>
    </row>
    <row r="345" ht="27" customHeight="1">
      <c r="A345" s="64" t="inlineStr">
        <is>
          <t>SU002615</t>
        </is>
      </c>
      <c r="B345" s="64" t="inlineStr">
        <is>
          <t>P003136</t>
        </is>
      </c>
      <c r="C345" s="37" t="n">
        <v>4301031174</v>
      </c>
      <c r="D345" s="328" t="n">
        <v>4607091389760</v>
      </c>
      <c r="E345" s="642" t="n"/>
      <c r="F345" s="674" t="n">
        <v>0.7</v>
      </c>
      <c r="G345" s="38" t="n">
        <v>6</v>
      </c>
      <c r="H345" s="674" t="n">
        <v>4.2</v>
      </c>
      <c r="I345" s="674" t="n">
        <v>4.43</v>
      </c>
      <c r="J345" s="38" t="n">
        <v>156</v>
      </c>
      <c r="K345" s="39" t="inlineStr">
        <is>
          <t>СК2</t>
        </is>
      </c>
      <c r="L345" s="38" t="n">
        <v>45</v>
      </c>
      <c r="M345" s="862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45" s="676" t="n"/>
      <c r="O345" s="676" t="n"/>
      <c r="P345" s="676" t="n"/>
      <c r="Q345" s="642" t="n"/>
      <c r="R345" s="40" t="inlineStr"/>
      <c r="S345" s="40" t="inlineStr"/>
      <c r="T345" s="41" t="inlineStr">
        <is>
          <t>кг</t>
        </is>
      </c>
      <c r="U345" s="677" t="n">
        <v>0</v>
      </c>
      <c r="V345" s="678">
        <f>IFERROR(IF(U345="",0,CEILING((U345/$H345),1)*$H345),"")</f>
        <v/>
      </c>
      <c r="W345" s="42">
        <f>IFERROR(IF(V345=0,"",ROUNDUP(V345/H345,0)*0.00753),"")</f>
        <v/>
      </c>
      <c r="X345" s="69" t="inlineStr"/>
      <c r="Y345" s="70" t="inlineStr"/>
      <c r="AC345" s="71" t="n"/>
      <c r="AZ345" s="253" t="inlineStr">
        <is>
          <t>КИ</t>
        </is>
      </c>
    </row>
    <row r="346" ht="27" customHeight="1">
      <c r="A346" s="64" t="inlineStr">
        <is>
          <t>SU002613</t>
        </is>
      </c>
      <c r="B346" s="64" t="inlineStr">
        <is>
          <t>P003133</t>
        </is>
      </c>
      <c r="C346" s="37" t="n">
        <v>4301031175</v>
      </c>
      <c r="D346" s="328" t="n">
        <v>4607091389746</v>
      </c>
      <c r="E346" s="642" t="n"/>
      <c r="F346" s="674" t="n">
        <v>0.7</v>
      </c>
      <c r="G346" s="38" t="n">
        <v>6</v>
      </c>
      <c r="H346" s="674" t="n">
        <v>4.2</v>
      </c>
      <c r="I346" s="674" t="n">
        <v>4.43</v>
      </c>
      <c r="J346" s="38" t="n">
        <v>156</v>
      </c>
      <c r="K346" s="39" t="inlineStr">
        <is>
          <t>СК2</t>
        </is>
      </c>
      <c r="L346" s="38" t="n">
        <v>45</v>
      </c>
      <c r="M346" s="863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46" s="676" t="n"/>
      <c r="O346" s="676" t="n"/>
      <c r="P346" s="676" t="n"/>
      <c r="Q346" s="642" t="n"/>
      <c r="R346" s="40" t="inlineStr"/>
      <c r="S346" s="40" t="inlineStr"/>
      <c r="T346" s="41" t="inlineStr">
        <is>
          <t>кг</t>
        </is>
      </c>
      <c r="U346" s="677" t="n">
        <v>0</v>
      </c>
      <c r="V346" s="678">
        <f>IFERROR(IF(U346="",0,CEILING((U346/$H346),1)*$H346),"")</f>
        <v/>
      </c>
      <c r="W346" s="42">
        <f>IFERROR(IF(V346=0,"",ROUNDUP(V346/H346,0)*0.00753),"")</f>
        <v/>
      </c>
      <c r="X346" s="69" t="inlineStr"/>
      <c r="Y346" s="70" t="inlineStr"/>
      <c r="AC346" s="71" t="n"/>
      <c r="AZ346" s="254" t="inlineStr">
        <is>
          <t>КИ</t>
        </is>
      </c>
    </row>
    <row r="347" ht="37.5" customHeight="1">
      <c r="A347" s="64" t="inlineStr">
        <is>
          <t>SU003035</t>
        </is>
      </c>
      <c r="B347" s="64" t="inlineStr">
        <is>
          <t>P003496</t>
        </is>
      </c>
      <c r="C347" s="37" t="n">
        <v>4301031236</v>
      </c>
      <c r="D347" s="328" t="n">
        <v>4680115882928</v>
      </c>
      <c r="E347" s="642" t="n"/>
      <c r="F347" s="674" t="n">
        <v>0.28</v>
      </c>
      <c r="G347" s="38" t="n">
        <v>6</v>
      </c>
      <c r="H347" s="674" t="n">
        <v>1.68</v>
      </c>
      <c r="I347" s="674" t="n">
        <v>2.6</v>
      </c>
      <c r="J347" s="38" t="n">
        <v>156</v>
      </c>
      <c r="K347" s="39" t="inlineStr">
        <is>
          <t>СК2</t>
        </is>
      </c>
      <c r="L347" s="38" t="n">
        <v>35</v>
      </c>
      <c r="M347" s="864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N347" s="676" t="n"/>
      <c r="O347" s="676" t="n"/>
      <c r="P347" s="676" t="n"/>
      <c r="Q347" s="642" t="n"/>
      <c r="R347" s="40" t="inlineStr"/>
      <c r="S347" s="40" t="inlineStr"/>
      <c r="T347" s="41" t="inlineStr">
        <is>
          <t>кг</t>
        </is>
      </c>
      <c r="U347" s="677" t="n">
        <v>0</v>
      </c>
      <c r="V347" s="678">
        <f>IFERROR(IF(U347="",0,CEILING((U347/$H347),1)*$H347),"")</f>
        <v/>
      </c>
      <c r="W347" s="42">
        <f>IFERROR(IF(V347=0,"",ROUNDUP(V347/H347,0)*0.00753),"")</f>
        <v/>
      </c>
      <c r="X347" s="69" t="inlineStr"/>
      <c r="Y347" s="70" t="inlineStr"/>
      <c r="AC347" s="71" t="n"/>
      <c r="AZ347" s="255" t="inlineStr">
        <is>
          <t>КИ</t>
        </is>
      </c>
    </row>
    <row r="348" ht="27" customHeight="1">
      <c r="A348" s="64" t="inlineStr">
        <is>
          <t>SU003083</t>
        </is>
      </c>
      <c r="B348" s="64" t="inlineStr">
        <is>
          <t>P003646</t>
        </is>
      </c>
      <c r="C348" s="37" t="n">
        <v>4301031257</v>
      </c>
      <c r="D348" s="328" t="n">
        <v>4680115883147</v>
      </c>
      <c r="E348" s="642" t="n"/>
      <c r="F348" s="674" t="n">
        <v>0.28</v>
      </c>
      <c r="G348" s="38" t="n">
        <v>6</v>
      </c>
      <c r="H348" s="674" t="n">
        <v>1.68</v>
      </c>
      <c r="I348" s="674" t="n">
        <v>1.81</v>
      </c>
      <c r="J348" s="38" t="n">
        <v>234</v>
      </c>
      <c r="K348" s="39" t="inlineStr">
        <is>
          <t>СК2</t>
        </is>
      </c>
      <c r="L348" s="38" t="n">
        <v>45</v>
      </c>
      <c r="M348" s="865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N348" s="676" t="n"/>
      <c r="O348" s="676" t="n"/>
      <c r="P348" s="676" t="n"/>
      <c r="Q348" s="642" t="n"/>
      <c r="R348" s="40" t="inlineStr"/>
      <c r="S348" s="40" t="inlineStr"/>
      <c r="T348" s="41" t="inlineStr">
        <is>
          <t>кг</t>
        </is>
      </c>
      <c r="U348" s="677" t="n">
        <v>0</v>
      </c>
      <c r="V348" s="678">
        <f>IFERROR(IF(U348="",0,CEILING((U348/$H348),1)*$H348),"")</f>
        <v/>
      </c>
      <c r="W348" s="42">
        <f>IFERROR(IF(V348=0,"",ROUNDUP(V348/H348,0)*0.00502),"")</f>
        <v/>
      </c>
      <c r="X348" s="69" t="inlineStr"/>
      <c r="Y348" s="70" t="inlineStr"/>
      <c r="AC348" s="71" t="n"/>
      <c r="AZ348" s="256" t="inlineStr">
        <is>
          <t>КИ</t>
        </is>
      </c>
    </row>
    <row r="349" ht="27" customHeight="1">
      <c r="A349" s="64" t="inlineStr">
        <is>
          <t>SU002538</t>
        </is>
      </c>
      <c r="B349" s="64" t="inlineStr">
        <is>
          <t>P003139</t>
        </is>
      </c>
      <c r="C349" s="37" t="n">
        <v>4301031178</v>
      </c>
      <c r="D349" s="328" t="n">
        <v>4607091384338</v>
      </c>
      <c r="E349" s="642" t="n"/>
      <c r="F349" s="674" t="n">
        <v>0.35</v>
      </c>
      <c r="G349" s="38" t="n">
        <v>6</v>
      </c>
      <c r="H349" s="674" t="n">
        <v>2.1</v>
      </c>
      <c r="I349" s="674" t="n">
        <v>2.23</v>
      </c>
      <c r="J349" s="38" t="n">
        <v>234</v>
      </c>
      <c r="K349" s="39" t="inlineStr">
        <is>
          <t>СК2</t>
        </is>
      </c>
      <c r="L349" s="38" t="n">
        <v>45</v>
      </c>
      <c r="M349" s="866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49" s="676" t="n"/>
      <c r="O349" s="676" t="n"/>
      <c r="P349" s="676" t="n"/>
      <c r="Q349" s="642" t="n"/>
      <c r="R349" s="40" t="inlineStr"/>
      <c r="S349" s="40" t="inlineStr"/>
      <c r="T349" s="41" t="inlineStr">
        <is>
          <t>кг</t>
        </is>
      </c>
      <c r="U349" s="677" t="n">
        <v>0</v>
      </c>
      <c r="V349" s="678">
        <f>IFERROR(IF(U349="",0,CEILING((U349/$H349),1)*$H349),"")</f>
        <v/>
      </c>
      <c r="W349" s="42">
        <f>IFERROR(IF(V349=0,"",ROUNDUP(V349/H349,0)*0.00502),"")</f>
        <v/>
      </c>
      <c r="X349" s="69" t="inlineStr"/>
      <c r="Y349" s="70" t="inlineStr"/>
      <c r="AC349" s="71" t="n"/>
      <c r="AZ349" s="257" t="inlineStr">
        <is>
          <t>КИ</t>
        </is>
      </c>
    </row>
    <row r="350" ht="37.5" customHeight="1">
      <c r="A350" s="64" t="inlineStr">
        <is>
          <t>SU003079</t>
        </is>
      </c>
      <c r="B350" s="64" t="inlineStr">
        <is>
          <t>P003643</t>
        </is>
      </c>
      <c r="C350" s="37" t="n">
        <v>4301031254</v>
      </c>
      <c r="D350" s="328" t="n">
        <v>4680115883154</v>
      </c>
      <c r="E350" s="642" t="n"/>
      <c r="F350" s="674" t="n">
        <v>0.28</v>
      </c>
      <c r="G350" s="38" t="n">
        <v>6</v>
      </c>
      <c r="H350" s="674" t="n">
        <v>1.68</v>
      </c>
      <c r="I350" s="674" t="n">
        <v>1.81</v>
      </c>
      <c r="J350" s="38" t="n">
        <v>234</v>
      </c>
      <c r="K350" s="39" t="inlineStr">
        <is>
          <t>СК2</t>
        </is>
      </c>
      <c r="L350" s="38" t="n">
        <v>45</v>
      </c>
      <c r="M350" s="867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N350" s="676" t="n"/>
      <c r="O350" s="676" t="n"/>
      <c r="P350" s="676" t="n"/>
      <c r="Q350" s="642" t="n"/>
      <c r="R350" s="40" t="inlineStr"/>
      <c r="S350" s="40" t="inlineStr"/>
      <c r="T350" s="41" t="inlineStr">
        <is>
          <t>кг</t>
        </is>
      </c>
      <c r="U350" s="677" t="n">
        <v>0</v>
      </c>
      <c r="V350" s="678">
        <f>IFERROR(IF(U350="",0,CEILING((U350/$H350),1)*$H350),"")</f>
        <v/>
      </c>
      <c r="W350" s="42">
        <f>IFERROR(IF(V350=0,"",ROUNDUP(V350/H350,0)*0.00502),"")</f>
        <v/>
      </c>
      <c r="X350" s="69" t="inlineStr"/>
      <c r="Y350" s="70" t="inlineStr"/>
      <c r="AC350" s="71" t="n"/>
      <c r="AZ350" s="258" t="inlineStr">
        <is>
          <t>КИ</t>
        </is>
      </c>
    </row>
    <row r="351" ht="37.5" customHeight="1">
      <c r="A351" s="64" t="inlineStr">
        <is>
          <t>SU002602</t>
        </is>
      </c>
      <c r="B351" s="64" t="inlineStr">
        <is>
          <t>P003132</t>
        </is>
      </c>
      <c r="C351" s="37" t="n">
        <v>4301031171</v>
      </c>
      <c r="D351" s="328" t="n">
        <v>4607091389524</v>
      </c>
      <c r="E351" s="642" t="n"/>
      <c r="F351" s="674" t="n">
        <v>0.35</v>
      </c>
      <c r="G351" s="38" t="n">
        <v>6</v>
      </c>
      <c r="H351" s="674" t="n">
        <v>2.1</v>
      </c>
      <c r="I351" s="674" t="n">
        <v>2.23</v>
      </c>
      <c r="J351" s="38" t="n">
        <v>234</v>
      </c>
      <c r="K351" s="39" t="inlineStr">
        <is>
          <t>СК2</t>
        </is>
      </c>
      <c r="L351" s="38" t="n">
        <v>45</v>
      </c>
      <c r="M351" s="868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51" s="676" t="n"/>
      <c r="O351" s="676" t="n"/>
      <c r="P351" s="676" t="n"/>
      <c r="Q351" s="642" t="n"/>
      <c r="R351" s="40" t="inlineStr"/>
      <c r="S351" s="40" t="inlineStr"/>
      <c r="T351" s="41" t="inlineStr">
        <is>
          <t>кг</t>
        </is>
      </c>
      <c r="U351" s="677" t="n">
        <v>0</v>
      </c>
      <c r="V351" s="678">
        <f>IFERROR(IF(U351="",0,CEILING((U351/$H351),1)*$H351),"")</f>
        <v/>
      </c>
      <c r="W351" s="42">
        <f>IFERROR(IF(V351=0,"",ROUNDUP(V351/H351,0)*0.00502),"")</f>
        <v/>
      </c>
      <c r="X351" s="69" t="inlineStr"/>
      <c r="Y351" s="70" t="inlineStr"/>
      <c r="AC351" s="71" t="n"/>
      <c r="AZ351" s="259" t="inlineStr">
        <is>
          <t>КИ</t>
        </is>
      </c>
    </row>
    <row r="352" ht="27" customHeight="1">
      <c r="A352" s="64" t="inlineStr">
        <is>
          <t>SU003080</t>
        </is>
      </c>
      <c r="B352" s="64" t="inlineStr">
        <is>
          <t>P003647</t>
        </is>
      </c>
      <c r="C352" s="37" t="n">
        <v>4301031258</v>
      </c>
      <c r="D352" s="328" t="n">
        <v>4680115883161</v>
      </c>
      <c r="E352" s="642" t="n"/>
      <c r="F352" s="674" t="n">
        <v>0.28</v>
      </c>
      <c r="G352" s="38" t="n">
        <v>6</v>
      </c>
      <c r="H352" s="674" t="n">
        <v>1.68</v>
      </c>
      <c r="I352" s="674" t="n">
        <v>1.81</v>
      </c>
      <c r="J352" s="38" t="n">
        <v>234</v>
      </c>
      <c r="K352" s="39" t="inlineStr">
        <is>
          <t>СК2</t>
        </is>
      </c>
      <c r="L352" s="38" t="n">
        <v>45</v>
      </c>
      <c r="M352" s="869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N352" s="676" t="n"/>
      <c r="O352" s="676" t="n"/>
      <c r="P352" s="676" t="n"/>
      <c r="Q352" s="642" t="n"/>
      <c r="R352" s="40" t="inlineStr"/>
      <c r="S352" s="40" t="inlineStr"/>
      <c r="T352" s="41" t="inlineStr">
        <is>
          <t>кг</t>
        </is>
      </c>
      <c r="U352" s="677" t="n">
        <v>0</v>
      </c>
      <c r="V352" s="678">
        <f>IFERROR(IF(U352="",0,CEILING((U352/$H352),1)*$H352),"")</f>
        <v/>
      </c>
      <c r="W352" s="42">
        <f>IFERROR(IF(V352=0,"",ROUNDUP(V352/H352,0)*0.00502),"")</f>
        <v/>
      </c>
      <c r="X352" s="69" t="inlineStr"/>
      <c r="Y352" s="70" t="inlineStr"/>
      <c r="AC352" s="71" t="n"/>
      <c r="AZ352" s="260" t="inlineStr">
        <is>
          <t>КИ</t>
        </is>
      </c>
    </row>
    <row r="353" ht="27" customHeight="1">
      <c r="A353" s="64" t="inlineStr">
        <is>
          <t>SU002603</t>
        </is>
      </c>
      <c r="B353" s="64" t="inlineStr">
        <is>
          <t>P003131</t>
        </is>
      </c>
      <c r="C353" s="37" t="n">
        <v>4301031170</v>
      </c>
      <c r="D353" s="328" t="n">
        <v>4607091384345</v>
      </c>
      <c r="E353" s="642" t="n"/>
      <c r="F353" s="674" t="n">
        <v>0.35</v>
      </c>
      <c r="G353" s="38" t="n">
        <v>6</v>
      </c>
      <c r="H353" s="674" t="n">
        <v>2.1</v>
      </c>
      <c r="I353" s="674" t="n">
        <v>2.23</v>
      </c>
      <c r="J353" s="38" t="n">
        <v>234</v>
      </c>
      <c r="K353" s="39" t="inlineStr">
        <is>
          <t>СК2</t>
        </is>
      </c>
      <c r="L353" s="38" t="n">
        <v>45</v>
      </c>
      <c r="M353" s="870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53" s="676" t="n"/>
      <c r="O353" s="676" t="n"/>
      <c r="P353" s="676" t="n"/>
      <c r="Q353" s="642" t="n"/>
      <c r="R353" s="40" t="inlineStr"/>
      <c r="S353" s="40" t="inlineStr"/>
      <c r="T353" s="41" t="inlineStr">
        <is>
          <t>кг</t>
        </is>
      </c>
      <c r="U353" s="677" t="n">
        <v>0</v>
      </c>
      <c r="V353" s="678">
        <f>IFERROR(IF(U353="",0,CEILING((U353/$H353),1)*$H353),"")</f>
        <v/>
      </c>
      <c r="W353" s="42">
        <f>IFERROR(IF(V353=0,"",ROUNDUP(V353/H353,0)*0.00502),"")</f>
        <v/>
      </c>
      <c r="X353" s="69" t="inlineStr"/>
      <c r="Y353" s="70" t="inlineStr"/>
      <c r="AC353" s="71" t="n"/>
      <c r="AZ353" s="261" t="inlineStr">
        <is>
          <t>КИ</t>
        </is>
      </c>
    </row>
    <row r="354" ht="27" customHeight="1">
      <c r="A354" s="64" t="inlineStr">
        <is>
          <t>SU003081</t>
        </is>
      </c>
      <c r="B354" s="64" t="inlineStr">
        <is>
          <t>P003645</t>
        </is>
      </c>
      <c r="C354" s="37" t="n">
        <v>4301031256</v>
      </c>
      <c r="D354" s="328" t="n">
        <v>4680115883178</v>
      </c>
      <c r="E354" s="642" t="n"/>
      <c r="F354" s="674" t="n">
        <v>0.28</v>
      </c>
      <c r="G354" s="38" t="n">
        <v>6</v>
      </c>
      <c r="H354" s="674" t="n">
        <v>1.68</v>
      </c>
      <c r="I354" s="674" t="n">
        <v>1.81</v>
      </c>
      <c r="J354" s="38" t="n">
        <v>234</v>
      </c>
      <c r="K354" s="39" t="inlineStr">
        <is>
          <t>СК2</t>
        </is>
      </c>
      <c r="L354" s="38" t="n">
        <v>45</v>
      </c>
      <c r="M354" s="871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N354" s="676" t="n"/>
      <c r="O354" s="676" t="n"/>
      <c r="P354" s="676" t="n"/>
      <c r="Q354" s="642" t="n"/>
      <c r="R354" s="40" t="inlineStr"/>
      <c r="S354" s="40" t="inlineStr"/>
      <c r="T354" s="41" t="inlineStr">
        <is>
          <t>кг</t>
        </is>
      </c>
      <c r="U354" s="677" t="n">
        <v>0</v>
      </c>
      <c r="V354" s="678">
        <f>IFERROR(IF(U354="",0,CEILING((U354/$H354),1)*$H354),"")</f>
        <v/>
      </c>
      <c r="W354" s="42">
        <f>IFERROR(IF(V354=0,"",ROUNDUP(V354/H354,0)*0.00502),"")</f>
        <v/>
      </c>
      <c r="X354" s="69" t="inlineStr"/>
      <c r="Y354" s="70" t="inlineStr"/>
      <c r="AC354" s="71" t="n"/>
      <c r="AZ354" s="262" t="inlineStr">
        <is>
          <t>КИ</t>
        </is>
      </c>
    </row>
    <row r="355" ht="27" customHeight="1">
      <c r="A355" s="64" t="inlineStr">
        <is>
          <t>SU002606</t>
        </is>
      </c>
      <c r="B355" s="64" t="inlineStr">
        <is>
          <t>P003134</t>
        </is>
      </c>
      <c r="C355" s="37" t="n">
        <v>4301031172</v>
      </c>
      <c r="D355" s="328" t="n">
        <v>4607091389531</v>
      </c>
      <c r="E355" s="642" t="n"/>
      <c r="F355" s="674" t="n">
        <v>0.35</v>
      </c>
      <c r="G355" s="38" t="n">
        <v>6</v>
      </c>
      <c r="H355" s="674" t="n">
        <v>2.1</v>
      </c>
      <c r="I355" s="674" t="n">
        <v>2.23</v>
      </c>
      <c r="J355" s="38" t="n">
        <v>234</v>
      </c>
      <c r="K355" s="39" t="inlineStr">
        <is>
          <t>СК2</t>
        </is>
      </c>
      <c r="L355" s="38" t="n">
        <v>45</v>
      </c>
      <c r="M355" s="872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55" s="676" t="n"/>
      <c r="O355" s="676" t="n"/>
      <c r="P355" s="676" t="n"/>
      <c r="Q355" s="642" t="n"/>
      <c r="R355" s="40" t="inlineStr"/>
      <c r="S355" s="40" t="inlineStr"/>
      <c r="T355" s="41" t="inlineStr">
        <is>
          <t>кг</t>
        </is>
      </c>
      <c r="U355" s="677" t="n">
        <v>0</v>
      </c>
      <c r="V355" s="678">
        <f>IFERROR(IF(U355="",0,CEILING((U355/$H355),1)*$H355),"")</f>
        <v/>
      </c>
      <c r="W355" s="42">
        <f>IFERROR(IF(V355=0,"",ROUNDUP(V355/H355,0)*0.00502),"")</f>
        <v/>
      </c>
      <c r="X355" s="69" t="inlineStr"/>
      <c r="Y355" s="70" t="inlineStr"/>
      <c r="AC355" s="71" t="n"/>
      <c r="AZ355" s="263" t="inlineStr">
        <is>
          <t>КИ</t>
        </is>
      </c>
    </row>
    <row r="356" ht="27" customHeight="1">
      <c r="A356" s="64" t="inlineStr">
        <is>
          <t>SU003082</t>
        </is>
      </c>
      <c r="B356" s="64" t="inlineStr">
        <is>
          <t>P003644</t>
        </is>
      </c>
      <c r="C356" s="37" t="n">
        <v>4301031255</v>
      </c>
      <c r="D356" s="328" t="n">
        <v>4680115883185</v>
      </c>
      <c r="E356" s="642" t="n"/>
      <c r="F356" s="674" t="n">
        <v>0.28</v>
      </c>
      <c r="G356" s="38" t="n">
        <v>6</v>
      </c>
      <c r="H356" s="674" t="n">
        <v>1.68</v>
      </c>
      <c r="I356" s="674" t="n">
        <v>1.81</v>
      </c>
      <c r="J356" s="38" t="n">
        <v>234</v>
      </c>
      <c r="K356" s="39" t="inlineStr">
        <is>
          <t>СК2</t>
        </is>
      </c>
      <c r="L356" s="38" t="n">
        <v>45</v>
      </c>
      <c r="M356" s="873" t="inlineStr">
        <is>
          <t>В/к колбасы «Филейбургская с душистым чесноком» срез Фикс.вес 0,28 фиброуз в/у Баварушка</t>
        </is>
      </c>
      <c r="N356" s="676" t="n"/>
      <c r="O356" s="676" t="n"/>
      <c r="P356" s="676" t="n"/>
      <c r="Q356" s="642" t="n"/>
      <c r="R356" s="40" t="inlineStr"/>
      <c r="S356" s="40" t="inlineStr"/>
      <c r="T356" s="41" t="inlineStr">
        <is>
          <t>кг</t>
        </is>
      </c>
      <c r="U356" s="677" t="n">
        <v>0</v>
      </c>
      <c r="V356" s="678">
        <f>IFERROR(IF(U356="",0,CEILING((U356/$H356),1)*$H356),"")</f>
        <v/>
      </c>
      <c r="W356" s="42">
        <f>IFERROR(IF(V356=0,"",ROUNDUP(V356/H356,0)*0.00502),"")</f>
        <v/>
      </c>
      <c r="X356" s="69" t="inlineStr"/>
      <c r="Y356" s="70" t="inlineStr"/>
      <c r="AC356" s="71" t="n"/>
      <c r="AZ356" s="264" t="inlineStr">
        <is>
          <t>КИ</t>
        </is>
      </c>
    </row>
    <row r="357">
      <c r="A357" s="322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679" t="n"/>
      <c r="M357" s="680" t="inlineStr">
        <is>
          <t>Итого</t>
        </is>
      </c>
      <c r="N357" s="650" t="n"/>
      <c r="O357" s="650" t="n"/>
      <c r="P357" s="650" t="n"/>
      <c r="Q357" s="650" t="n"/>
      <c r="R357" s="650" t="n"/>
      <c r="S357" s="651" t="n"/>
      <c r="T357" s="43" t="inlineStr">
        <is>
          <t>кор</t>
        </is>
      </c>
      <c r="U357" s="681">
        <f>IFERROR(U344/H344,"0")+IFERROR(U345/H345,"0")+IFERROR(U346/H346,"0")+IFERROR(U347/H347,"0")+IFERROR(U348/H348,"0")+IFERROR(U349/H349,"0")+IFERROR(U350/H350,"0")+IFERROR(U351/H351,"0")+IFERROR(U352/H352,"0")+IFERROR(U353/H353,"0")+IFERROR(U354/H354,"0")+IFERROR(U355/H355,"0")+IFERROR(U356/H356,"0")</f>
        <v/>
      </c>
      <c r="V357" s="681">
        <f>IFERROR(V344/H344,"0")+IFERROR(V345/H345,"0")+IFERROR(V346/H346,"0")+IFERROR(V347/H347,"0")+IFERROR(V348/H348,"0")+IFERROR(V349/H349,"0")+IFERROR(V350/H350,"0")+IFERROR(V351/H351,"0")+IFERROR(V352/H352,"0")+IFERROR(V353/H353,"0")+IFERROR(V354/H354,"0")+IFERROR(V355/H355,"0")+IFERROR(V356/H356,"0")</f>
        <v/>
      </c>
      <c r="W357" s="681">
        <f>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</f>
        <v/>
      </c>
      <c r="X357" s="682" t="n"/>
      <c r="Y357" s="682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679" t="n"/>
      <c r="M358" s="680" t="inlineStr">
        <is>
          <t>Итого</t>
        </is>
      </c>
      <c r="N358" s="650" t="n"/>
      <c r="O358" s="650" t="n"/>
      <c r="P358" s="650" t="n"/>
      <c r="Q358" s="650" t="n"/>
      <c r="R358" s="650" t="n"/>
      <c r="S358" s="651" t="n"/>
      <c r="T358" s="43" t="inlineStr">
        <is>
          <t>кг</t>
        </is>
      </c>
      <c r="U358" s="681">
        <f>IFERROR(SUM(U344:U356),"0")</f>
        <v/>
      </c>
      <c r="V358" s="681">
        <f>IFERROR(SUM(V344:V356),"0")</f>
        <v/>
      </c>
      <c r="W358" s="43" t="n"/>
      <c r="X358" s="682" t="n"/>
      <c r="Y358" s="682" t="n"/>
    </row>
    <row r="359" ht="14.25" customHeight="1">
      <c r="A359" s="327" t="inlineStr">
        <is>
          <t>Сосиски</t>
        </is>
      </c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327" t="n"/>
      <c r="Y359" s="327" t="n"/>
    </row>
    <row r="360" ht="27" customHeight="1">
      <c r="A360" s="64" t="inlineStr">
        <is>
          <t>SU002448</t>
        </is>
      </c>
      <c r="B360" s="64" t="inlineStr">
        <is>
          <t>P002914</t>
        </is>
      </c>
      <c r="C360" s="37" t="n">
        <v>4301051258</v>
      </c>
      <c r="D360" s="328" t="n">
        <v>4607091389685</v>
      </c>
      <c r="E360" s="642" t="n"/>
      <c r="F360" s="674" t="n">
        <v>1.3</v>
      </c>
      <c r="G360" s="38" t="n">
        <v>6</v>
      </c>
      <c r="H360" s="674" t="n">
        <v>7.8</v>
      </c>
      <c r="I360" s="674" t="n">
        <v>8.346</v>
      </c>
      <c r="J360" s="38" t="n">
        <v>56</v>
      </c>
      <c r="K360" s="39" t="inlineStr">
        <is>
          <t>СК3</t>
        </is>
      </c>
      <c r="L360" s="38" t="n">
        <v>45</v>
      </c>
      <c r="M360" s="874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60" s="676" t="n"/>
      <c r="O360" s="676" t="n"/>
      <c r="P360" s="676" t="n"/>
      <c r="Q360" s="642" t="n"/>
      <c r="R360" s="40" t="inlineStr"/>
      <c r="S360" s="40" t="inlineStr"/>
      <c r="T360" s="41" t="inlineStr">
        <is>
          <t>кг</t>
        </is>
      </c>
      <c r="U360" s="677" t="n">
        <v>0</v>
      </c>
      <c r="V360" s="678">
        <f>IFERROR(IF(U360="",0,CEILING((U360/$H360),1)*$H360),"")</f>
        <v/>
      </c>
      <c r="W360" s="42">
        <f>IFERROR(IF(V360=0,"",ROUNDUP(V360/H360,0)*0.02175),"")</f>
        <v/>
      </c>
      <c r="X360" s="69" t="inlineStr"/>
      <c r="Y360" s="70" t="inlineStr"/>
      <c r="AC360" s="71" t="n"/>
      <c r="AZ360" s="265" t="inlineStr">
        <is>
          <t>КИ</t>
        </is>
      </c>
    </row>
    <row r="361" ht="27" customHeight="1">
      <c r="A361" s="64" t="inlineStr">
        <is>
          <t>SU002557</t>
        </is>
      </c>
      <c r="B361" s="64" t="inlineStr">
        <is>
          <t>P003318</t>
        </is>
      </c>
      <c r="C361" s="37" t="n">
        <v>4301051431</v>
      </c>
      <c r="D361" s="328" t="n">
        <v>4607091389654</v>
      </c>
      <c r="E361" s="642" t="n"/>
      <c r="F361" s="674" t="n">
        <v>0.33</v>
      </c>
      <c r="G361" s="38" t="n">
        <v>6</v>
      </c>
      <c r="H361" s="674" t="n">
        <v>1.98</v>
      </c>
      <c r="I361" s="674" t="n">
        <v>2.258</v>
      </c>
      <c r="J361" s="38" t="n">
        <v>156</v>
      </c>
      <c r="K361" s="39" t="inlineStr">
        <is>
          <t>СК3</t>
        </is>
      </c>
      <c r="L361" s="38" t="n">
        <v>45</v>
      </c>
      <c r="M361" s="875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N361" s="676" t="n"/>
      <c r="O361" s="676" t="n"/>
      <c r="P361" s="676" t="n"/>
      <c r="Q361" s="642" t="n"/>
      <c r="R361" s="40" t="inlineStr"/>
      <c r="S361" s="40" t="inlineStr"/>
      <c r="T361" s="41" t="inlineStr">
        <is>
          <t>кг</t>
        </is>
      </c>
      <c r="U361" s="677" t="n">
        <v>0</v>
      </c>
      <c r="V361" s="678">
        <f>IFERROR(IF(U361="",0,CEILING((U361/$H361),1)*$H361),"")</f>
        <v/>
      </c>
      <c r="W361" s="42">
        <f>IFERROR(IF(V361=0,"",ROUNDUP(V361/H361,0)*0.00753),"")</f>
        <v/>
      </c>
      <c r="X361" s="69" t="inlineStr"/>
      <c r="Y361" s="70" t="inlineStr"/>
      <c r="AC361" s="71" t="n"/>
      <c r="AZ361" s="266" t="inlineStr">
        <is>
          <t>КИ</t>
        </is>
      </c>
    </row>
    <row r="362" ht="27" customHeight="1">
      <c r="A362" s="64" t="inlineStr">
        <is>
          <t>SU002285</t>
        </is>
      </c>
      <c r="B362" s="64" t="inlineStr">
        <is>
          <t>P002969</t>
        </is>
      </c>
      <c r="C362" s="37" t="n">
        <v>4301051284</v>
      </c>
      <c r="D362" s="328" t="n">
        <v>4607091384352</v>
      </c>
      <c r="E362" s="642" t="n"/>
      <c r="F362" s="674" t="n">
        <v>0.6</v>
      </c>
      <c r="G362" s="38" t="n">
        <v>4</v>
      </c>
      <c r="H362" s="674" t="n">
        <v>2.4</v>
      </c>
      <c r="I362" s="674" t="n">
        <v>2.646</v>
      </c>
      <c r="J362" s="38" t="n">
        <v>120</v>
      </c>
      <c r="K362" s="39" t="inlineStr">
        <is>
          <t>СК3</t>
        </is>
      </c>
      <c r="L362" s="38" t="n">
        <v>45</v>
      </c>
      <c r="M362" s="876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62" s="676" t="n"/>
      <c r="O362" s="676" t="n"/>
      <c r="P362" s="676" t="n"/>
      <c r="Q362" s="642" t="n"/>
      <c r="R362" s="40" t="inlineStr"/>
      <c r="S362" s="40" t="inlineStr"/>
      <c r="T362" s="41" t="inlineStr">
        <is>
          <t>кг</t>
        </is>
      </c>
      <c r="U362" s="677" t="n">
        <v>0</v>
      </c>
      <c r="V362" s="678">
        <f>IFERROR(IF(U362="",0,CEILING((U362/$H362),1)*$H362),"")</f>
        <v/>
      </c>
      <c r="W362" s="42">
        <f>IFERROR(IF(V362=0,"",ROUNDUP(V362/H362,0)*0.00937),"")</f>
        <v/>
      </c>
      <c r="X362" s="69" t="inlineStr"/>
      <c r="Y362" s="70" t="inlineStr"/>
      <c r="AC362" s="71" t="n"/>
      <c r="AZ362" s="267" t="inlineStr">
        <is>
          <t>КИ</t>
        </is>
      </c>
    </row>
    <row r="363" ht="27" customHeight="1">
      <c r="A363" s="64" t="inlineStr">
        <is>
          <t>SU002419</t>
        </is>
      </c>
      <c r="B363" s="64" t="inlineStr">
        <is>
          <t>P002913</t>
        </is>
      </c>
      <c r="C363" s="37" t="n">
        <v>4301051257</v>
      </c>
      <c r="D363" s="328" t="n">
        <v>4607091389661</v>
      </c>
      <c r="E363" s="642" t="n"/>
      <c r="F363" s="674" t="n">
        <v>0.55</v>
      </c>
      <c r="G363" s="38" t="n">
        <v>4</v>
      </c>
      <c r="H363" s="674" t="n">
        <v>2.2</v>
      </c>
      <c r="I363" s="674" t="n">
        <v>2.492</v>
      </c>
      <c r="J363" s="38" t="n">
        <v>120</v>
      </c>
      <c r="K363" s="39" t="inlineStr">
        <is>
          <t>СК3</t>
        </is>
      </c>
      <c r="L363" s="38" t="n">
        <v>45</v>
      </c>
      <c r="M363" s="877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63" s="676" t="n"/>
      <c r="O363" s="676" t="n"/>
      <c r="P363" s="676" t="n"/>
      <c r="Q363" s="642" t="n"/>
      <c r="R363" s="40" t="inlineStr"/>
      <c r="S363" s="40" t="inlineStr"/>
      <c r="T363" s="41" t="inlineStr">
        <is>
          <t>кг</t>
        </is>
      </c>
      <c r="U363" s="677" t="n">
        <v>0</v>
      </c>
      <c r="V363" s="678">
        <f>IFERROR(IF(U363="",0,CEILING((U363/$H363),1)*$H363),"")</f>
        <v/>
      </c>
      <c r="W363" s="42">
        <f>IFERROR(IF(V363=0,"",ROUNDUP(V363/H363,0)*0.00937),"")</f>
        <v/>
      </c>
      <c r="X363" s="69" t="inlineStr"/>
      <c r="Y363" s="70" t="inlineStr"/>
      <c r="AC363" s="71" t="n"/>
      <c r="AZ363" s="268" t="inlineStr">
        <is>
          <t>КИ</t>
        </is>
      </c>
    </row>
    <row r="364">
      <c r="A364" s="322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679" t="n"/>
      <c r="M364" s="680" t="inlineStr">
        <is>
          <t>Итого</t>
        </is>
      </c>
      <c r="N364" s="650" t="n"/>
      <c r="O364" s="650" t="n"/>
      <c r="P364" s="650" t="n"/>
      <c r="Q364" s="650" t="n"/>
      <c r="R364" s="650" t="n"/>
      <c r="S364" s="651" t="n"/>
      <c r="T364" s="43" t="inlineStr">
        <is>
          <t>кор</t>
        </is>
      </c>
      <c r="U364" s="681">
        <f>IFERROR(U360/H360,"0")+IFERROR(U361/H361,"0")+IFERROR(U362/H362,"0")+IFERROR(U363/H363,"0")</f>
        <v/>
      </c>
      <c r="V364" s="681">
        <f>IFERROR(V360/H360,"0")+IFERROR(V361/H361,"0")+IFERROR(V362/H362,"0")+IFERROR(V363/H363,"0")</f>
        <v/>
      </c>
      <c r="W364" s="681">
        <f>IFERROR(IF(W360="",0,W360),"0")+IFERROR(IF(W361="",0,W361),"0")+IFERROR(IF(W362="",0,W362),"0")+IFERROR(IF(W363="",0,W363),"0")</f>
        <v/>
      </c>
      <c r="X364" s="682" t="n"/>
      <c r="Y364" s="682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679" t="n"/>
      <c r="M365" s="680" t="inlineStr">
        <is>
          <t>Итого</t>
        </is>
      </c>
      <c r="N365" s="650" t="n"/>
      <c r="O365" s="650" t="n"/>
      <c r="P365" s="650" t="n"/>
      <c r="Q365" s="650" t="n"/>
      <c r="R365" s="650" t="n"/>
      <c r="S365" s="651" t="n"/>
      <c r="T365" s="43" t="inlineStr">
        <is>
          <t>кг</t>
        </is>
      </c>
      <c r="U365" s="681">
        <f>IFERROR(SUM(U360:U363),"0")</f>
        <v/>
      </c>
      <c r="V365" s="681">
        <f>IFERROR(SUM(V360:V363),"0")</f>
        <v/>
      </c>
      <c r="W365" s="43" t="n"/>
      <c r="X365" s="682" t="n"/>
      <c r="Y365" s="682" t="n"/>
    </row>
    <row r="366" ht="14.25" customHeight="1">
      <c r="A366" s="327" t="inlineStr">
        <is>
          <t>Сардельки</t>
        </is>
      </c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327" t="n"/>
      <c r="Y366" s="327" t="n"/>
    </row>
    <row r="367" ht="27" customHeight="1">
      <c r="A367" s="64" t="inlineStr">
        <is>
          <t>SU002846</t>
        </is>
      </c>
      <c r="B367" s="64" t="inlineStr">
        <is>
          <t>P003254</t>
        </is>
      </c>
      <c r="C367" s="37" t="n">
        <v>4301060352</v>
      </c>
      <c r="D367" s="328" t="n">
        <v>4680115881648</v>
      </c>
      <c r="E367" s="642" t="n"/>
      <c r="F367" s="674" t="n">
        <v>1</v>
      </c>
      <c r="G367" s="38" t="n">
        <v>4</v>
      </c>
      <c r="H367" s="674" t="n">
        <v>4</v>
      </c>
      <c r="I367" s="674" t="n">
        <v>4.404</v>
      </c>
      <c r="J367" s="38" t="n">
        <v>104</v>
      </c>
      <c r="K367" s="39" t="inlineStr">
        <is>
          <t>СК2</t>
        </is>
      </c>
      <c r="L367" s="38" t="n">
        <v>35</v>
      </c>
      <c r="M367" s="878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N367" s="676" t="n"/>
      <c r="O367" s="676" t="n"/>
      <c r="P367" s="676" t="n"/>
      <c r="Q367" s="642" t="n"/>
      <c r="R367" s="40" t="inlineStr"/>
      <c r="S367" s="40" t="inlineStr"/>
      <c r="T367" s="41" t="inlineStr">
        <is>
          <t>кг</t>
        </is>
      </c>
      <c r="U367" s="677" t="n">
        <v>0</v>
      </c>
      <c r="V367" s="678">
        <f>IFERROR(IF(U367="",0,CEILING((U367/$H367),1)*$H367),"")</f>
        <v/>
      </c>
      <c r="W367" s="42">
        <f>IFERROR(IF(V367=0,"",ROUNDUP(V367/H367,0)*0.01196),"")</f>
        <v/>
      </c>
      <c r="X367" s="69" t="inlineStr"/>
      <c r="Y367" s="70" t="inlineStr"/>
      <c r="AC367" s="71" t="n"/>
      <c r="AZ367" s="269" t="inlineStr">
        <is>
          <t>КИ</t>
        </is>
      </c>
    </row>
    <row r="368">
      <c r="A368" s="322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679" t="n"/>
      <c r="M368" s="680" t="inlineStr">
        <is>
          <t>Итого</t>
        </is>
      </c>
      <c r="N368" s="650" t="n"/>
      <c r="O368" s="650" t="n"/>
      <c r="P368" s="650" t="n"/>
      <c r="Q368" s="650" t="n"/>
      <c r="R368" s="650" t="n"/>
      <c r="S368" s="651" t="n"/>
      <c r="T368" s="43" t="inlineStr">
        <is>
          <t>кор</t>
        </is>
      </c>
      <c r="U368" s="681">
        <f>IFERROR(U367/H367,"0")</f>
        <v/>
      </c>
      <c r="V368" s="681">
        <f>IFERROR(V367/H367,"0")</f>
        <v/>
      </c>
      <c r="W368" s="681">
        <f>IFERROR(IF(W367="",0,W367),"0")</f>
        <v/>
      </c>
      <c r="X368" s="682" t="n"/>
      <c r="Y368" s="682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679" t="n"/>
      <c r="M369" s="680" t="inlineStr">
        <is>
          <t>Итого</t>
        </is>
      </c>
      <c r="N369" s="650" t="n"/>
      <c r="O369" s="650" t="n"/>
      <c r="P369" s="650" t="n"/>
      <c r="Q369" s="650" t="n"/>
      <c r="R369" s="650" t="n"/>
      <c r="S369" s="651" t="n"/>
      <c r="T369" s="43" t="inlineStr">
        <is>
          <t>кг</t>
        </is>
      </c>
      <c r="U369" s="681">
        <f>IFERROR(SUM(U367:U367),"0")</f>
        <v/>
      </c>
      <c r="V369" s="681">
        <f>IFERROR(SUM(V367:V367),"0")</f>
        <v/>
      </c>
      <c r="W369" s="43" t="n"/>
      <c r="X369" s="682" t="n"/>
      <c r="Y369" s="682" t="n"/>
    </row>
    <row r="370" ht="14.25" customHeight="1">
      <c r="A370" s="327" t="inlineStr">
        <is>
          <t>Сырокопченые колбасы</t>
        </is>
      </c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327" t="n"/>
      <c r="Y370" s="327" t="n"/>
    </row>
    <row r="371" ht="27" customHeight="1">
      <c r="A371" s="64" t="inlineStr">
        <is>
          <t>SU003058</t>
        </is>
      </c>
      <c r="B371" s="64" t="inlineStr">
        <is>
          <t>P003620</t>
        </is>
      </c>
      <c r="C371" s="37" t="n">
        <v>4301032042</v>
      </c>
      <c r="D371" s="328" t="n">
        <v>4680115883017</v>
      </c>
      <c r="E371" s="642" t="n"/>
      <c r="F371" s="674" t="n">
        <v>0.03</v>
      </c>
      <c r="G371" s="38" t="n">
        <v>20</v>
      </c>
      <c r="H371" s="674" t="n">
        <v>0.6</v>
      </c>
      <c r="I371" s="674" t="n">
        <v>0.63</v>
      </c>
      <c r="J371" s="38" t="n">
        <v>350</v>
      </c>
      <c r="K371" s="39" t="inlineStr">
        <is>
          <t>ДК</t>
        </is>
      </c>
      <c r="L371" s="38" t="n">
        <v>60</v>
      </c>
      <c r="M371" s="879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/>
      </c>
      <c r="N371" s="676" t="n"/>
      <c r="O371" s="676" t="n"/>
      <c r="P371" s="676" t="n"/>
      <c r="Q371" s="642" t="n"/>
      <c r="R371" s="40" t="inlineStr"/>
      <c r="S371" s="40" t="inlineStr"/>
      <c r="T371" s="41" t="inlineStr">
        <is>
          <t>кг</t>
        </is>
      </c>
      <c r="U371" s="677" t="n">
        <v>0</v>
      </c>
      <c r="V371" s="678">
        <f>IFERROR(IF(U371="",0,CEILING((U371/$H371),1)*$H371),"")</f>
        <v/>
      </c>
      <c r="W371" s="42">
        <f>IFERROR(IF(V371=0,"",ROUNDUP(V371/H371,0)*0.00349),"")</f>
        <v/>
      </c>
      <c r="X371" s="69" t="inlineStr"/>
      <c r="Y371" s="70" t="inlineStr"/>
      <c r="AC371" s="71" t="n"/>
      <c r="AZ371" s="270" t="inlineStr">
        <is>
          <t>КИ</t>
        </is>
      </c>
    </row>
    <row r="372" ht="27" customHeight="1">
      <c r="A372" s="64" t="inlineStr">
        <is>
          <t>SU003061</t>
        </is>
      </c>
      <c r="B372" s="64" t="inlineStr">
        <is>
          <t>P003621</t>
        </is>
      </c>
      <c r="C372" s="37" t="n">
        <v>4301032043</v>
      </c>
      <c r="D372" s="328" t="n">
        <v>4680115883031</v>
      </c>
      <c r="E372" s="642" t="n"/>
      <c r="F372" s="674" t="n">
        <v>0.03</v>
      </c>
      <c r="G372" s="38" t="n">
        <v>20</v>
      </c>
      <c r="H372" s="674" t="n">
        <v>0.6</v>
      </c>
      <c r="I372" s="674" t="n">
        <v>0.63</v>
      </c>
      <c r="J372" s="38" t="n">
        <v>350</v>
      </c>
      <c r="K372" s="39" t="inlineStr">
        <is>
          <t>ДК</t>
        </is>
      </c>
      <c r="L372" s="38" t="n">
        <v>60</v>
      </c>
      <c r="M372" s="880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/>
      </c>
      <c r="N372" s="676" t="n"/>
      <c r="O372" s="676" t="n"/>
      <c r="P372" s="676" t="n"/>
      <c r="Q372" s="642" t="n"/>
      <c r="R372" s="40" t="inlineStr"/>
      <c r="S372" s="40" t="inlineStr"/>
      <c r="T372" s="41" t="inlineStr">
        <is>
          <t>кг</t>
        </is>
      </c>
      <c r="U372" s="677" t="n">
        <v>0</v>
      </c>
      <c r="V372" s="678">
        <f>IFERROR(IF(U372="",0,CEILING((U372/$H372),1)*$H372),"")</f>
        <v/>
      </c>
      <c r="W372" s="42">
        <f>IFERROR(IF(V372=0,"",ROUNDUP(V372/H372,0)*0.00349),"")</f>
        <v/>
      </c>
      <c r="X372" s="69" t="inlineStr"/>
      <c r="Y372" s="70" t="inlineStr"/>
      <c r="AC372" s="71" t="n"/>
      <c r="AZ372" s="271" t="inlineStr">
        <is>
          <t>КИ</t>
        </is>
      </c>
    </row>
    <row r="373" ht="27" customHeight="1">
      <c r="A373" s="64" t="inlineStr">
        <is>
          <t>SU003057</t>
        </is>
      </c>
      <c r="B373" s="64" t="inlineStr">
        <is>
          <t>P003619</t>
        </is>
      </c>
      <c r="C373" s="37" t="n">
        <v>4301032041</v>
      </c>
      <c r="D373" s="328" t="n">
        <v>4680115883024</v>
      </c>
      <c r="E373" s="642" t="n"/>
      <c r="F373" s="674" t="n">
        <v>0.03</v>
      </c>
      <c r="G373" s="38" t="n">
        <v>20</v>
      </c>
      <c r="H373" s="674" t="n">
        <v>0.6</v>
      </c>
      <c r="I373" s="674" t="n">
        <v>0.63</v>
      </c>
      <c r="J373" s="38" t="n">
        <v>350</v>
      </c>
      <c r="K373" s="39" t="inlineStr">
        <is>
          <t>ДК</t>
        </is>
      </c>
      <c r="L373" s="38" t="n">
        <v>60</v>
      </c>
      <c r="M373" s="881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/>
      </c>
      <c r="N373" s="676" t="n"/>
      <c r="O373" s="676" t="n"/>
      <c r="P373" s="676" t="n"/>
      <c r="Q373" s="642" t="n"/>
      <c r="R373" s="40" t="inlineStr"/>
      <c r="S373" s="40" t="inlineStr"/>
      <c r="T373" s="41" t="inlineStr">
        <is>
          <t>кг</t>
        </is>
      </c>
      <c r="U373" s="677" t="n">
        <v>0</v>
      </c>
      <c r="V373" s="678">
        <f>IFERROR(IF(U373="",0,CEILING((U373/$H373),1)*$H373),"")</f>
        <v/>
      </c>
      <c r="W373" s="42">
        <f>IFERROR(IF(V373=0,"",ROUNDUP(V373/H373,0)*0.00349),"")</f>
        <v/>
      </c>
      <c r="X373" s="69" t="inlineStr"/>
      <c r="Y373" s="70" t="inlineStr"/>
      <c r="AC373" s="71" t="n"/>
      <c r="AZ373" s="272" t="inlineStr">
        <is>
          <t>КИ</t>
        </is>
      </c>
    </row>
    <row r="374">
      <c r="A374" s="322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679" t="n"/>
      <c r="M374" s="680" t="inlineStr">
        <is>
          <t>Итого</t>
        </is>
      </c>
      <c r="N374" s="650" t="n"/>
      <c r="O374" s="650" t="n"/>
      <c r="P374" s="650" t="n"/>
      <c r="Q374" s="650" t="n"/>
      <c r="R374" s="650" t="n"/>
      <c r="S374" s="651" t="n"/>
      <c r="T374" s="43" t="inlineStr">
        <is>
          <t>кор</t>
        </is>
      </c>
      <c r="U374" s="681">
        <f>IFERROR(U371/H371,"0")+IFERROR(U372/H372,"0")+IFERROR(U373/H373,"0")</f>
        <v/>
      </c>
      <c r="V374" s="681">
        <f>IFERROR(V371/H371,"0")+IFERROR(V372/H372,"0")+IFERROR(V373/H373,"0")</f>
        <v/>
      </c>
      <c r="W374" s="681">
        <f>IFERROR(IF(W371="",0,W371),"0")+IFERROR(IF(W372="",0,W372),"0")+IFERROR(IF(W373="",0,W373),"0")</f>
        <v/>
      </c>
      <c r="X374" s="682" t="n"/>
      <c r="Y374" s="682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679" t="n"/>
      <c r="M375" s="680" t="inlineStr">
        <is>
          <t>Итого</t>
        </is>
      </c>
      <c r="N375" s="650" t="n"/>
      <c r="O375" s="650" t="n"/>
      <c r="P375" s="650" t="n"/>
      <c r="Q375" s="650" t="n"/>
      <c r="R375" s="650" t="n"/>
      <c r="S375" s="651" t="n"/>
      <c r="T375" s="43" t="inlineStr">
        <is>
          <t>кг</t>
        </is>
      </c>
      <c r="U375" s="681">
        <f>IFERROR(SUM(U371:U373),"0")</f>
        <v/>
      </c>
      <c r="V375" s="681">
        <f>IFERROR(SUM(V371:V373),"0")</f>
        <v/>
      </c>
      <c r="W375" s="43" t="n"/>
      <c r="X375" s="682" t="n"/>
      <c r="Y375" s="682" t="n"/>
    </row>
    <row r="376" ht="14.25" customHeight="1">
      <c r="A376" s="327" t="inlineStr">
        <is>
          <t>Сыровяленые колбасы</t>
        </is>
      </c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327" t="n"/>
      <c r="Y376" s="327" t="n"/>
    </row>
    <row r="377" ht="27" customHeight="1">
      <c r="A377" s="64" t="inlineStr">
        <is>
          <t>SU003060</t>
        </is>
      </c>
      <c r="B377" s="64" t="inlineStr">
        <is>
          <t>P003624</t>
        </is>
      </c>
      <c r="C377" s="37" t="n">
        <v>4301170009</v>
      </c>
      <c r="D377" s="328" t="n">
        <v>4680115882997</v>
      </c>
      <c r="E377" s="642" t="n"/>
      <c r="F377" s="674" t="n">
        <v>0.13</v>
      </c>
      <c r="G377" s="38" t="n">
        <v>10</v>
      </c>
      <c r="H377" s="674" t="n">
        <v>1.3</v>
      </c>
      <c r="I377" s="674" t="n">
        <v>1.46</v>
      </c>
      <c r="J377" s="38" t="n">
        <v>200</v>
      </c>
      <c r="K377" s="39" t="inlineStr">
        <is>
          <t>ДК</t>
        </is>
      </c>
      <c r="L377" s="38" t="n">
        <v>150</v>
      </c>
      <c r="M377" s="882" t="inlineStr">
        <is>
          <t>с/в колбасы «Филейбургская с филе сочного окорока» ф/в 0,13 н/о ТМ «Баварушка»</t>
        </is>
      </c>
      <c r="N377" s="676" t="n"/>
      <c r="O377" s="676" t="n"/>
      <c r="P377" s="676" t="n"/>
      <c r="Q377" s="642" t="n"/>
      <c r="R377" s="40" t="inlineStr"/>
      <c r="S377" s="40" t="inlineStr"/>
      <c r="T377" s="41" t="inlineStr">
        <is>
          <t>кг</t>
        </is>
      </c>
      <c r="U377" s="677" t="n">
        <v>0</v>
      </c>
      <c r="V377" s="678">
        <f>IFERROR(IF(U377="",0,CEILING((U377/$H377),1)*$H377),"")</f>
        <v/>
      </c>
      <c r="W377" s="42">
        <f>IFERROR(IF(V377=0,"",ROUNDUP(V377/H377,0)*0.00673),"")</f>
        <v/>
      </c>
      <c r="X377" s="69" t="inlineStr"/>
      <c r="Y377" s="70" t="inlineStr"/>
      <c r="AC377" s="71" t="n"/>
      <c r="AZ377" s="273" t="inlineStr">
        <is>
          <t>КИ</t>
        </is>
      </c>
    </row>
    <row r="378">
      <c r="A378" s="322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679" t="n"/>
      <c r="M378" s="680" t="inlineStr">
        <is>
          <t>Итого</t>
        </is>
      </c>
      <c r="N378" s="650" t="n"/>
      <c r="O378" s="650" t="n"/>
      <c r="P378" s="650" t="n"/>
      <c r="Q378" s="650" t="n"/>
      <c r="R378" s="650" t="n"/>
      <c r="S378" s="651" t="n"/>
      <c r="T378" s="43" t="inlineStr">
        <is>
          <t>кор</t>
        </is>
      </c>
      <c r="U378" s="681">
        <f>IFERROR(U377/H377,"0")</f>
        <v/>
      </c>
      <c r="V378" s="681">
        <f>IFERROR(V377/H377,"0")</f>
        <v/>
      </c>
      <c r="W378" s="681">
        <f>IFERROR(IF(W377="",0,W377),"0")</f>
        <v/>
      </c>
      <c r="X378" s="682" t="n"/>
      <c r="Y378" s="682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679" t="n"/>
      <c r="M379" s="680" t="inlineStr">
        <is>
          <t>Итого</t>
        </is>
      </c>
      <c r="N379" s="650" t="n"/>
      <c r="O379" s="650" t="n"/>
      <c r="P379" s="650" t="n"/>
      <c r="Q379" s="650" t="n"/>
      <c r="R379" s="650" t="n"/>
      <c r="S379" s="651" t="n"/>
      <c r="T379" s="43" t="inlineStr">
        <is>
          <t>кг</t>
        </is>
      </c>
      <c r="U379" s="681">
        <f>IFERROR(SUM(U377:U377),"0")</f>
        <v/>
      </c>
      <c r="V379" s="681">
        <f>IFERROR(SUM(V377:V377),"0")</f>
        <v/>
      </c>
      <c r="W379" s="43" t="n"/>
      <c r="X379" s="682" t="n"/>
      <c r="Y379" s="682" t="n"/>
    </row>
    <row r="380" ht="16.5" customHeight="1">
      <c r="A380" s="335" t="inlineStr">
        <is>
          <t>Балыкбургская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335" t="n"/>
      <c r="Y380" s="335" t="n"/>
    </row>
    <row r="381" ht="14.25" customHeight="1">
      <c r="A381" s="327" t="inlineStr">
        <is>
          <t>Ветчины</t>
        </is>
      </c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327" t="n"/>
      <c r="Y381" s="327" t="n"/>
    </row>
    <row r="382" ht="27" customHeight="1">
      <c r="A382" s="64" t="inlineStr">
        <is>
          <t>SU002542</t>
        </is>
      </c>
      <c r="B382" s="64" t="inlineStr">
        <is>
          <t>P002847</t>
        </is>
      </c>
      <c r="C382" s="37" t="n">
        <v>4301020196</v>
      </c>
      <c r="D382" s="328" t="n">
        <v>4607091389388</v>
      </c>
      <c r="E382" s="642" t="n"/>
      <c r="F382" s="674" t="n">
        <v>1.3</v>
      </c>
      <c r="G382" s="38" t="n">
        <v>4</v>
      </c>
      <c r="H382" s="674" t="n">
        <v>5.2</v>
      </c>
      <c r="I382" s="674" t="n">
        <v>5.608</v>
      </c>
      <c r="J382" s="38" t="n">
        <v>104</v>
      </c>
      <c r="K382" s="39" t="inlineStr">
        <is>
          <t>СК3</t>
        </is>
      </c>
      <c r="L382" s="38" t="n">
        <v>35</v>
      </c>
      <c r="M382" s="883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82" s="676" t="n"/>
      <c r="O382" s="676" t="n"/>
      <c r="P382" s="676" t="n"/>
      <c r="Q382" s="642" t="n"/>
      <c r="R382" s="40" t="inlineStr"/>
      <c r="S382" s="40" t="inlineStr"/>
      <c r="T382" s="41" t="inlineStr">
        <is>
          <t>кг</t>
        </is>
      </c>
      <c r="U382" s="677" t="n">
        <v>0</v>
      </c>
      <c r="V382" s="678">
        <f>IFERROR(IF(U382="",0,CEILING((U382/$H382),1)*$H382),"")</f>
        <v/>
      </c>
      <c r="W382" s="42">
        <f>IFERROR(IF(V382=0,"",ROUNDUP(V382/H382,0)*0.01196),"")</f>
        <v/>
      </c>
      <c r="X382" s="69" t="inlineStr"/>
      <c r="Y382" s="70" t="inlineStr"/>
      <c r="AC382" s="71" t="n"/>
      <c r="AZ382" s="274" t="inlineStr">
        <is>
          <t>КИ</t>
        </is>
      </c>
    </row>
    <row r="383" ht="27" customHeight="1">
      <c r="A383" s="64" t="inlineStr">
        <is>
          <t>SU002319</t>
        </is>
      </c>
      <c r="B383" s="64" t="inlineStr">
        <is>
          <t>P002597</t>
        </is>
      </c>
      <c r="C383" s="37" t="n">
        <v>4301020185</v>
      </c>
      <c r="D383" s="328" t="n">
        <v>4607091389364</v>
      </c>
      <c r="E383" s="642" t="n"/>
      <c r="F383" s="674" t="n">
        <v>0.42</v>
      </c>
      <c r="G383" s="38" t="n">
        <v>6</v>
      </c>
      <c r="H383" s="674" t="n">
        <v>2.52</v>
      </c>
      <c r="I383" s="674" t="n">
        <v>2.75</v>
      </c>
      <c r="J383" s="38" t="n">
        <v>156</v>
      </c>
      <c r="K383" s="39" t="inlineStr">
        <is>
          <t>СК3</t>
        </is>
      </c>
      <c r="L383" s="38" t="n">
        <v>35</v>
      </c>
      <c r="M383" s="884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83" s="676" t="n"/>
      <c r="O383" s="676" t="n"/>
      <c r="P383" s="676" t="n"/>
      <c r="Q383" s="642" t="n"/>
      <c r="R383" s="40" t="inlineStr"/>
      <c r="S383" s="40" t="inlineStr"/>
      <c r="T383" s="41" t="inlineStr">
        <is>
          <t>кг</t>
        </is>
      </c>
      <c r="U383" s="677" t="n">
        <v>0</v>
      </c>
      <c r="V383" s="678">
        <f>IFERROR(IF(U383="",0,CEILING((U383/$H383),1)*$H383),"")</f>
        <v/>
      </c>
      <c r="W383" s="42">
        <f>IFERROR(IF(V383=0,"",ROUNDUP(V383/H383,0)*0.00753),"")</f>
        <v/>
      </c>
      <c r="X383" s="69" t="inlineStr"/>
      <c r="Y383" s="70" t="inlineStr"/>
      <c r="AC383" s="71" t="n"/>
      <c r="AZ383" s="275" t="inlineStr">
        <is>
          <t>КИ</t>
        </is>
      </c>
    </row>
    <row r="384">
      <c r="A384" s="322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679" t="n"/>
      <c r="M384" s="680" t="inlineStr">
        <is>
          <t>Итого</t>
        </is>
      </c>
      <c r="N384" s="650" t="n"/>
      <c r="O384" s="650" t="n"/>
      <c r="P384" s="650" t="n"/>
      <c r="Q384" s="650" t="n"/>
      <c r="R384" s="650" t="n"/>
      <c r="S384" s="651" t="n"/>
      <c r="T384" s="43" t="inlineStr">
        <is>
          <t>кор</t>
        </is>
      </c>
      <c r="U384" s="681">
        <f>IFERROR(U382/H382,"0")+IFERROR(U383/H383,"0")</f>
        <v/>
      </c>
      <c r="V384" s="681">
        <f>IFERROR(V382/H382,"0")+IFERROR(V383/H383,"0")</f>
        <v/>
      </c>
      <c r="W384" s="681">
        <f>IFERROR(IF(W382="",0,W382),"0")+IFERROR(IF(W383="",0,W383),"0")</f>
        <v/>
      </c>
      <c r="X384" s="682" t="n"/>
      <c r="Y384" s="682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679" t="n"/>
      <c r="M385" s="680" t="inlineStr">
        <is>
          <t>Итого</t>
        </is>
      </c>
      <c r="N385" s="650" t="n"/>
      <c r="O385" s="650" t="n"/>
      <c r="P385" s="650" t="n"/>
      <c r="Q385" s="650" t="n"/>
      <c r="R385" s="650" t="n"/>
      <c r="S385" s="651" t="n"/>
      <c r="T385" s="43" t="inlineStr">
        <is>
          <t>кг</t>
        </is>
      </c>
      <c r="U385" s="681">
        <f>IFERROR(SUM(U382:U383),"0")</f>
        <v/>
      </c>
      <c r="V385" s="681">
        <f>IFERROR(SUM(V382:V383),"0")</f>
        <v/>
      </c>
      <c r="W385" s="43" t="n"/>
      <c r="X385" s="682" t="n"/>
      <c r="Y385" s="682" t="n"/>
    </row>
    <row r="386" ht="14.25" customHeight="1">
      <c r="A386" s="327" t="inlineStr">
        <is>
          <t>Копченые колбасы</t>
        </is>
      </c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327" t="n"/>
      <c r="Y386" s="327" t="n"/>
    </row>
    <row r="387" ht="27" customHeight="1">
      <c r="A387" s="64" t="inlineStr">
        <is>
          <t>SU002612</t>
        </is>
      </c>
      <c r="B387" s="64" t="inlineStr">
        <is>
          <t>P003140</t>
        </is>
      </c>
      <c r="C387" s="37" t="n">
        <v>4301031212</v>
      </c>
      <c r="D387" s="328" t="n">
        <v>4607091389739</v>
      </c>
      <c r="E387" s="642" t="n"/>
      <c r="F387" s="674" t="n">
        <v>0.7</v>
      </c>
      <c r="G387" s="38" t="n">
        <v>6</v>
      </c>
      <c r="H387" s="674" t="n">
        <v>4.2</v>
      </c>
      <c r="I387" s="674" t="n">
        <v>4.43</v>
      </c>
      <c r="J387" s="38" t="n">
        <v>156</v>
      </c>
      <c r="K387" s="39" t="inlineStr">
        <is>
          <t>СК1</t>
        </is>
      </c>
      <c r="L387" s="38" t="n">
        <v>45</v>
      </c>
      <c r="M387" s="885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N387" s="676" t="n"/>
      <c r="O387" s="676" t="n"/>
      <c r="P387" s="676" t="n"/>
      <c r="Q387" s="642" t="n"/>
      <c r="R387" s="40" t="inlineStr"/>
      <c r="S387" s="40" t="inlineStr"/>
      <c r="T387" s="41" t="inlineStr">
        <is>
          <t>кг</t>
        </is>
      </c>
      <c r="U387" s="677" t="n">
        <v>0</v>
      </c>
      <c r="V387" s="678">
        <f>IFERROR(IF(U387="",0,CEILING((U387/$H387),1)*$H387),"")</f>
        <v/>
      </c>
      <c r="W387" s="42">
        <f>IFERROR(IF(V387=0,"",ROUNDUP(V387/H387,0)*0.00753),"")</f>
        <v/>
      </c>
      <c r="X387" s="69" t="inlineStr"/>
      <c r="Y387" s="70" t="inlineStr"/>
      <c r="AC387" s="71" t="n"/>
      <c r="AZ387" s="276" t="inlineStr">
        <is>
          <t>КИ</t>
        </is>
      </c>
    </row>
    <row r="388" ht="27" customHeight="1">
      <c r="A388" s="64" t="inlineStr">
        <is>
          <t>SU003071</t>
        </is>
      </c>
      <c r="B388" s="64" t="inlineStr">
        <is>
          <t>P003612</t>
        </is>
      </c>
      <c r="C388" s="37" t="n">
        <v>4301031247</v>
      </c>
      <c r="D388" s="328" t="n">
        <v>4680115883048</v>
      </c>
      <c r="E388" s="642" t="n"/>
      <c r="F388" s="674" t="n">
        <v>1</v>
      </c>
      <c r="G388" s="38" t="n">
        <v>4</v>
      </c>
      <c r="H388" s="674" t="n">
        <v>4</v>
      </c>
      <c r="I388" s="674" t="n">
        <v>4.21</v>
      </c>
      <c r="J388" s="38" t="n">
        <v>120</v>
      </c>
      <c r="K388" s="39" t="inlineStr">
        <is>
          <t>СК2</t>
        </is>
      </c>
      <c r="L388" s="38" t="n">
        <v>40</v>
      </c>
      <c r="M388" s="886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N388" s="676" t="n"/>
      <c r="O388" s="676" t="n"/>
      <c r="P388" s="676" t="n"/>
      <c r="Q388" s="642" t="n"/>
      <c r="R388" s="40" t="inlineStr"/>
      <c r="S388" s="40" t="inlineStr"/>
      <c r="T388" s="41" t="inlineStr">
        <is>
          <t>кг</t>
        </is>
      </c>
      <c r="U388" s="677" t="n">
        <v>0</v>
      </c>
      <c r="V388" s="678">
        <f>IFERROR(IF(U388="",0,CEILING((U388/$H388),1)*$H388),"")</f>
        <v/>
      </c>
      <c r="W388" s="42">
        <f>IFERROR(IF(V388=0,"",ROUNDUP(V388/H388,0)*0.00937),"")</f>
        <v/>
      </c>
      <c r="X388" s="69" t="inlineStr"/>
      <c r="Y388" s="70" t="inlineStr"/>
      <c r="AC388" s="71" t="n"/>
      <c r="AZ388" s="277" t="inlineStr">
        <is>
          <t>КИ</t>
        </is>
      </c>
    </row>
    <row r="389" ht="27" customHeight="1">
      <c r="A389" s="64" t="inlineStr">
        <is>
          <t>SU002545</t>
        </is>
      </c>
      <c r="B389" s="64" t="inlineStr">
        <is>
          <t>P003137</t>
        </is>
      </c>
      <c r="C389" s="37" t="n">
        <v>4301031176</v>
      </c>
      <c r="D389" s="328" t="n">
        <v>4607091389425</v>
      </c>
      <c r="E389" s="642" t="n"/>
      <c r="F389" s="674" t="n">
        <v>0.35</v>
      </c>
      <c r="G389" s="38" t="n">
        <v>6</v>
      </c>
      <c r="H389" s="674" t="n">
        <v>2.1</v>
      </c>
      <c r="I389" s="674" t="n">
        <v>2.23</v>
      </c>
      <c r="J389" s="38" t="n">
        <v>234</v>
      </c>
      <c r="K389" s="39" t="inlineStr">
        <is>
          <t>СК2</t>
        </is>
      </c>
      <c r="L389" s="38" t="n">
        <v>45</v>
      </c>
      <c r="M389" s="887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89" s="676" t="n"/>
      <c r="O389" s="676" t="n"/>
      <c r="P389" s="676" t="n"/>
      <c r="Q389" s="642" t="n"/>
      <c r="R389" s="40" t="inlineStr"/>
      <c r="S389" s="40" t="inlineStr"/>
      <c r="T389" s="41" t="inlineStr">
        <is>
          <t>кг</t>
        </is>
      </c>
      <c r="U389" s="677" t="n">
        <v>0</v>
      </c>
      <c r="V389" s="678">
        <f>IFERROR(IF(U389="",0,CEILING((U389/$H389),1)*$H389),"")</f>
        <v/>
      </c>
      <c r="W389" s="42">
        <f>IFERROR(IF(V389=0,"",ROUNDUP(V389/H389,0)*0.00502),"")</f>
        <v/>
      </c>
      <c r="X389" s="69" t="inlineStr"/>
      <c r="Y389" s="70" t="inlineStr"/>
      <c r="AC389" s="71" t="n"/>
      <c r="AZ389" s="278" t="inlineStr">
        <is>
          <t>КИ</t>
        </is>
      </c>
    </row>
    <row r="390" ht="27" customHeight="1">
      <c r="A390" s="64" t="inlineStr">
        <is>
          <t>SU002917</t>
        </is>
      </c>
      <c r="B390" s="64" t="inlineStr">
        <is>
          <t>P003343</t>
        </is>
      </c>
      <c r="C390" s="37" t="n">
        <v>4301031215</v>
      </c>
      <c r="D390" s="328" t="n">
        <v>4680115882911</v>
      </c>
      <c r="E390" s="642" t="n"/>
      <c r="F390" s="674" t="n">
        <v>0.4</v>
      </c>
      <c r="G390" s="38" t="n">
        <v>6</v>
      </c>
      <c r="H390" s="674" t="n">
        <v>2.4</v>
      </c>
      <c r="I390" s="674" t="n">
        <v>2.53</v>
      </c>
      <c r="J390" s="38" t="n">
        <v>234</v>
      </c>
      <c r="K390" s="39" t="inlineStr">
        <is>
          <t>СК2</t>
        </is>
      </c>
      <c r="L390" s="38" t="n">
        <v>40</v>
      </c>
      <c r="M390" s="888" t="inlineStr">
        <is>
          <t>П/к колбасы «Балыкбургская по-баварски» Фикс.вес 0,4 н/о мгс ТМ «Баварушка»</t>
        </is>
      </c>
      <c r="N390" s="676" t="n"/>
      <c r="O390" s="676" t="n"/>
      <c r="P390" s="676" t="n"/>
      <c r="Q390" s="642" t="n"/>
      <c r="R390" s="40" t="inlineStr"/>
      <c r="S390" s="40" t="inlineStr"/>
      <c r="T390" s="41" t="inlineStr">
        <is>
          <t>кг</t>
        </is>
      </c>
      <c r="U390" s="677" t="n">
        <v>0</v>
      </c>
      <c r="V390" s="678">
        <f>IFERROR(IF(U390="",0,CEILING((U390/$H390),1)*$H390),"")</f>
        <v/>
      </c>
      <c r="W390" s="42">
        <f>IFERROR(IF(V390=0,"",ROUNDUP(V390/H390,0)*0.00502),"")</f>
        <v/>
      </c>
      <c r="X390" s="69" t="inlineStr"/>
      <c r="Y390" s="70" t="inlineStr"/>
      <c r="AC390" s="71" t="n"/>
      <c r="AZ390" s="279" t="inlineStr">
        <is>
          <t>КИ</t>
        </is>
      </c>
    </row>
    <row r="391" ht="27" customHeight="1">
      <c r="A391" s="64" t="inlineStr">
        <is>
          <t>SU002726</t>
        </is>
      </c>
      <c r="B391" s="64" t="inlineStr">
        <is>
          <t>P003095</t>
        </is>
      </c>
      <c r="C391" s="37" t="n">
        <v>4301031167</v>
      </c>
      <c r="D391" s="328" t="n">
        <v>4680115880771</v>
      </c>
      <c r="E391" s="642" t="n"/>
      <c r="F391" s="674" t="n">
        <v>0.28</v>
      </c>
      <c r="G391" s="38" t="n">
        <v>6</v>
      </c>
      <c r="H391" s="674" t="n">
        <v>1.68</v>
      </c>
      <c r="I391" s="674" t="n">
        <v>1.81</v>
      </c>
      <c r="J391" s="38" t="n">
        <v>234</v>
      </c>
      <c r="K391" s="39" t="inlineStr">
        <is>
          <t>СК2</t>
        </is>
      </c>
      <c r="L391" s="38" t="n">
        <v>45</v>
      </c>
      <c r="M391" s="889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91" s="676" t="n"/>
      <c r="O391" s="676" t="n"/>
      <c r="P391" s="676" t="n"/>
      <c r="Q391" s="642" t="n"/>
      <c r="R391" s="40" t="inlineStr"/>
      <c r="S391" s="40" t="inlineStr"/>
      <c r="T391" s="41" t="inlineStr">
        <is>
          <t>кг</t>
        </is>
      </c>
      <c r="U391" s="677" t="n">
        <v>0</v>
      </c>
      <c r="V391" s="678">
        <f>IFERROR(IF(U391="",0,CEILING((U391/$H391),1)*$H391),"")</f>
        <v/>
      </c>
      <c r="W391" s="42">
        <f>IFERROR(IF(V391=0,"",ROUNDUP(V391/H391,0)*0.00502),"")</f>
        <v/>
      </c>
      <c r="X391" s="69" t="inlineStr"/>
      <c r="Y391" s="70" t="inlineStr"/>
      <c r="AC391" s="71" t="n"/>
      <c r="AZ391" s="280" t="inlineStr">
        <is>
          <t>КИ</t>
        </is>
      </c>
    </row>
    <row r="392" ht="27" customHeight="1">
      <c r="A392" s="64" t="inlineStr">
        <is>
          <t>SU002604</t>
        </is>
      </c>
      <c r="B392" s="64" t="inlineStr">
        <is>
          <t>P003135</t>
        </is>
      </c>
      <c r="C392" s="37" t="n">
        <v>4301031173</v>
      </c>
      <c r="D392" s="328" t="n">
        <v>4607091389500</v>
      </c>
      <c r="E392" s="642" t="n"/>
      <c r="F392" s="674" t="n">
        <v>0.35</v>
      </c>
      <c r="G392" s="38" t="n">
        <v>6</v>
      </c>
      <c r="H392" s="674" t="n">
        <v>2.1</v>
      </c>
      <c r="I392" s="674" t="n">
        <v>2.23</v>
      </c>
      <c r="J392" s="38" t="n">
        <v>234</v>
      </c>
      <c r="K392" s="39" t="inlineStr">
        <is>
          <t>СК2</t>
        </is>
      </c>
      <c r="L392" s="38" t="n">
        <v>45</v>
      </c>
      <c r="M392" s="890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92" s="676" t="n"/>
      <c r="O392" s="676" t="n"/>
      <c r="P392" s="676" t="n"/>
      <c r="Q392" s="642" t="n"/>
      <c r="R392" s="40" t="inlineStr"/>
      <c r="S392" s="40" t="inlineStr"/>
      <c r="T392" s="41" t="inlineStr">
        <is>
          <t>кг</t>
        </is>
      </c>
      <c r="U392" s="677" t="n">
        <v>0</v>
      </c>
      <c r="V392" s="678">
        <f>IFERROR(IF(U392="",0,CEILING((U392/$H392),1)*$H392),"")</f>
        <v/>
      </c>
      <c r="W392" s="42">
        <f>IFERROR(IF(V392=0,"",ROUNDUP(V392/H392,0)*0.00502),"")</f>
        <v/>
      </c>
      <c r="X392" s="69" t="inlineStr"/>
      <c r="Y392" s="70" t="inlineStr"/>
      <c r="AC392" s="71" t="n"/>
      <c r="AZ392" s="281" t="inlineStr">
        <is>
          <t>КИ</t>
        </is>
      </c>
    </row>
    <row r="393" ht="27" customHeight="1">
      <c r="A393" s="64" t="inlineStr">
        <is>
          <t>SU002358</t>
        </is>
      </c>
      <c r="B393" s="64" t="inlineStr">
        <is>
          <t>P002642</t>
        </is>
      </c>
      <c r="C393" s="37" t="n">
        <v>4301031103</v>
      </c>
      <c r="D393" s="328" t="n">
        <v>4680115881983</v>
      </c>
      <c r="E393" s="642" t="n"/>
      <c r="F393" s="674" t="n">
        <v>0.28</v>
      </c>
      <c r="G393" s="38" t="n">
        <v>4</v>
      </c>
      <c r="H393" s="674" t="n">
        <v>1.12</v>
      </c>
      <c r="I393" s="674" t="n">
        <v>1.252</v>
      </c>
      <c r="J393" s="38" t="n">
        <v>234</v>
      </c>
      <c r="K393" s="39" t="inlineStr">
        <is>
          <t>СК2</t>
        </is>
      </c>
      <c r="L393" s="38" t="n">
        <v>40</v>
      </c>
      <c r="M393" s="891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N393" s="676" t="n"/>
      <c r="O393" s="676" t="n"/>
      <c r="P393" s="676" t="n"/>
      <c r="Q393" s="642" t="n"/>
      <c r="R393" s="40" t="inlineStr"/>
      <c r="S393" s="40" t="inlineStr"/>
      <c r="T393" s="41" t="inlineStr">
        <is>
          <t>кг</t>
        </is>
      </c>
      <c r="U393" s="677" t="n">
        <v>0</v>
      </c>
      <c r="V393" s="678">
        <f>IFERROR(IF(U393="",0,CEILING((U393/$H393),1)*$H393),"")</f>
        <v/>
      </c>
      <c r="W393" s="42">
        <f>IFERROR(IF(V393=0,"",ROUNDUP(V393/H393,0)*0.00502),"")</f>
        <v/>
      </c>
      <c r="X393" s="69" t="inlineStr"/>
      <c r="Y393" s="70" t="inlineStr"/>
      <c r="AC393" s="71" t="n"/>
      <c r="AZ393" s="282" t="inlineStr">
        <is>
          <t>КИ</t>
        </is>
      </c>
    </row>
    <row r="394">
      <c r="A394" s="322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679" t="n"/>
      <c r="M394" s="680" t="inlineStr">
        <is>
          <t>Итого</t>
        </is>
      </c>
      <c r="N394" s="650" t="n"/>
      <c r="O394" s="650" t="n"/>
      <c r="P394" s="650" t="n"/>
      <c r="Q394" s="650" t="n"/>
      <c r="R394" s="650" t="n"/>
      <c r="S394" s="651" t="n"/>
      <c r="T394" s="43" t="inlineStr">
        <is>
          <t>кор</t>
        </is>
      </c>
      <c r="U394" s="681">
        <f>IFERROR(U387/H387,"0")+IFERROR(U388/H388,"0")+IFERROR(U389/H389,"0")+IFERROR(U390/H390,"0")+IFERROR(U391/H391,"0")+IFERROR(U392/H392,"0")+IFERROR(U393/H393,"0")</f>
        <v/>
      </c>
      <c r="V394" s="681">
        <f>IFERROR(V387/H387,"0")+IFERROR(V388/H388,"0")+IFERROR(V389/H389,"0")+IFERROR(V390/H390,"0")+IFERROR(V391/H391,"0")+IFERROR(V392/H392,"0")+IFERROR(V393/H393,"0")</f>
        <v/>
      </c>
      <c r="W394" s="681">
        <f>IFERROR(IF(W387="",0,W387),"0")+IFERROR(IF(W388="",0,W388),"0")+IFERROR(IF(W389="",0,W389),"0")+IFERROR(IF(W390="",0,W390),"0")+IFERROR(IF(W391="",0,W391),"0")+IFERROR(IF(W392="",0,W392),"0")+IFERROR(IF(W393="",0,W393),"0")</f>
        <v/>
      </c>
      <c r="X394" s="682" t="n"/>
      <c r="Y394" s="682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679" t="n"/>
      <c r="M395" s="680" t="inlineStr">
        <is>
          <t>Итого</t>
        </is>
      </c>
      <c r="N395" s="650" t="n"/>
      <c r="O395" s="650" t="n"/>
      <c r="P395" s="650" t="n"/>
      <c r="Q395" s="650" t="n"/>
      <c r="R395" s="650" t="n"/>
      <c r="S395" s="651" t="n"/>
      <c r="T395" s="43" t="inlineStr">
        <is>
          <t>кг</t>
        </is>
      </c>
      <c r="U395" s="681">
        <f>IFERROR(SUM(U387:U393),"0")</f>
        <v/>
      </c>
      <c r="V395" s="681">
        <f>IFERROR(SUM(V387:V393),"0")</f>
        <v/>
      </c>
      <c r="W395" s="43" t="n"/>
      <c r="X395" s="682" t="n"/>
      <c r="Y395" s="682" t="n"/>
    </row>
    <row r="396" ht="14.25" customHeight="1">
      <c r="A396" s="327" t="inlineStr">
        <is>
          <t>Сырокопченые колбасы</t>
        </is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327" t="n"/>
      <c r="Y396" s="327" t="n"/>
    </row>
    <row r="397" ht="27" customHeight="1">
      <c r="A397" s="64" t="inlineStr">
        <is>
          <t>SU003059</t>
        </is>
      </c>
      <c r="B397" s="64" t="inlineStr">
        <is>
          <t>P003623</t>
        </is>
      </c>
      <c r="C397" s="37" t="n">
        <v>4301032044</v>
      </c>
      <c r="D397" s="328" t="n">
        <v>4680115883000</v>
      </c>
      <c r="E397" s="642" t="n"/>
      <c r="F397" s="674" t="n">
        <v>0.03</v>
      </c>
      <c r="G397" s="38" t="n">
        <v>20</v>
      </c>
      <c r="H397" s="674" t="n">
        <v>0.6</v>
      </c>
      <c r="I397" s="674" t="n">
        <v>0.63</v>
      </c>
      <c r="J397" s="38" t="n">
        <v>350</v>
      </c>
      <c r="K397" s="39" t="inlineStr">
        <is>
          <t>ДК</t>
        </is>
      </c>
      <c r="L397" s="38" t="n">
        <v>60</v>
      </c>
      <c r="M397" s="892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/>
      </c>
      <c r="N397" s="676" t="n"/>
      <c r="O397" s="676" t="n"/>
      <c r="P397" s="676" t="n"/>
      <c r="Q397" s="642" t="n"/>
      <c r="R397" s="40" t="inlineStr"/>
      <c r="S397" s="40" t="inlineStr"/>
      <c r="T397" s="41" t="inlineStr">
        <is>
          <t>кг</t>
        </is>
      </c>
      <c r="U397" s="677" t="n">
        <v>0</v>
      </c>
      <c r="V397" s="678">
        <f>IFERROR(IF(U397="",0,CEILING((U397/$H397),1)*$H397),"")</f>
        <v/>
      </c>
      <c r="W397" s="42">
        <f>IFERROR(IF(V397=0,"",ROUNDUP(V397/H397,0)*0.00349),"")</f>
        <v/>
      </c>
      <c r="X397" s="69" t="inlineStr"/>
      <c r="Y397" s="70" t="inlineStr"/>
      <c r="AC397" s="71" t="n"/>
      <c r="AZ397" s="283" t="inlineStr">
        <is>
          <t>КИ</t>
        </is>
      </c>
    </row>
    <row r="398">
      <c r="A398" s="322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679" t="n"/>
      <c r="M398" s="680" t="inlineStr">
        <is>
          <t>Итого</t>
        </is>
      </c>
      <c r="N398" s="650" t="n"/>
      <c r="O398" s="650" t="n"/>
      <c r="P398" s="650" t="n"/>
      <c r="Q398" s="650" t="n"/>
      <c r="R398" s="650" t="n"/>
      <c r="S398" s="651" t="n"/>
      <c r="T398" s="43" t="inlineStr">
        <is>
          <t>кор</t>
        </is>
      </c>
      <c r="U398" s="681">
        <f>IFERROR(U397/H397,"0")</f>
        <v/>
      </c>
      <c r="V398" s="681">
        <f>IFERROR(V397/H397,"0")</f>
        <v/>
      </c>
      <c r="W398" s="681">
        <f>IFERROR(IF(W397="",0,W397),"0")</f>
        <v/>
      </c>
      <c r="X398" s="682" t="n"/>
      <c r="Y398" s="682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679" t="n"/>
      <c r="M399" s="680" t="inlineStr">
        <is>
          <t>Итого</t>
        </is>
      </c>
      <c r="N399" s="650" t="n"/>
      <c r="O399" s="650" t="n"/>
      <c r="P399" s="650" t="n"/>
      <c r="Q399" s="650" t="n"/>
      <c r="R399" s="650" t="n"/>
      <c r="S399" s="651" t="n"/>
      <c r="T399" s="43" t="inlineStr">
        <is>
          <t>кг</t>
        </is>
      </c>
      <c r="U399" s="681">
        <f>IFERROR(SUM(U397:U397),"0")</f>
        <v/>
      </c>
      <c r="V399" s="681">
        <f>IFERROR(SUM(V397:V397),"0")</f>
        <v/>
      </c>
      <c r="W399" s="43" t="n"/>
      <c r="X399" s="682" t="n"/>
      <c r="Y399" s="682" t="n"/>
    </row>
    <row r="400" ht="14.25" customHeight="1">
      <c r="A400" s="327" t="inlineStr">
        <is>
          <t>Сыровяленые колбасы</t>
        </is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327" t="n"/>
      <c r="Y400" s="327" t="n"/>
    </row>
    <row r="401" ht="27" customHeight="1">
      <c r="A401" s="64" t="inlineStr">
        <is>
          <t>SU003056</t>
        </is>
      </c>
      <c r="B401" s="64" t="inlineStr">
        <is>
          <t>P003622</t>
        </is>
      </c>
      <c r="C401" s="37" t="n">
        <v>4301170008</v>
      </c>
      <c r="D401" s="328" t="n">
        <v>4680115882980</v>
      </c>
      <c r="E401" s="642" t="n"/>
      <c r="F401" s="674" t="n">
        <v>0.13</v>
      </c>
      <c r="G401" s="38" t="n">
        <v>10</v>
      </c>
      <c r="H401" s="674" t="n">
        <v>1.3</v>
      </c>
      <c r="I401" s="674" t="n">
        <v>1.46</v>
      </c>
      <c r="J401" s="38" t="n">
        <v>200</v>
      </c>
      <c r="K401" s="39" t="inlineStr">
        <is>
          <t>ДК</t>
        </is>
      </c>
      <c r="L401" s="38" t="n">
        <v>150</v>
      </c>
      <c r="M401" s="893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N401" s="676" t="n"/>
      <c r="O401" s="676" t="n"/>
      <c r="P401" s="676" t="n"/>
      <c r="Q401" s="642" t="n"/>
      <c r="R401" s="40" t="inlineStr"/>
      <c r="S401" s="40" t="inlineStr"/>
      <c r="T401" s="41" t="inlineStr">
        <is>
          <t>кг</t>
        </is>
      </c>
      <c r="U401" s="677" t="n">
        <v>0</v>
      </c>
      <c r="V401" s="678">
        <f>IFERROR(IF(U401="",0,CEILING((U401/$H401),1)*$H401),"")</f>
        <v/>
      </c>
      <c r="W401" s="42">
        <f>IFERROR(IF(V401=0,"",ROUNDUP(V401/H401,0)*0.00673),"")</f>
        <v/>
      </c>
      <c r="X401" s="69" t="inlineStr"/>
      <c r="Y401" s="70" t="inlineStr"/>
      <c r="AC401" s="71" t="n"/>
      <c r="AZ401" s="284" t="inlineStr">
        <is>
          <t>КИ</t>
        </is>
      </c>
    </row>
    <row r="402">
      <c r="A402" s="322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679" t="n"/>
      <c r="M402" s="680" t="inlineStr">
        <is>
          <t>Итого</t>
        </is>
      </c>
      <c r="N402" s="650" t="n"/>
      <c r="O402" s="650" t="n"/>
      <c r="P402" s="650" t="n"/>
      <c r="Q402" s="650" t="n"/>
      <c r="R402" s="650" t="n"/>
      <c r="S402" s="651" t="n"/>
      <c r="T402" s="43" t="inlineStr">
        <is>
          <t>кор</t>
        </is>
      </c>
      <c r="U402" s="681">
        <f>IFERROR(U401/H401,"0")</f>
        <v/>
      </c>
      <c r="V402" s="681">
        <f>IFERROR(V401/H401,"0")</f>
        <v/>
      </c>
      <c r="W402" s="681">
        <f>IFERROR(IF(W401="",0,W401),"0")</f>
        <v/>
      </c>
      <c r="X402" s="682" t="n"/>
      <c r="Y402" s="682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679" t="n"/>
      <c r="M403" s="680" t="inlineStr">
        <is>
          <t>Итого</t>
        </is>
      </c>
      <c r="N403" s="650" t="n"/>
      <c r="O403" s="650" t="n"/>
      <c r="P403" s="650" t="n"/>
      <c r="Q403" s="650" t="n"/>
      <c r="R403" s="650" t="n"/>
      <c r="S403" s="651" t="n"/>
      <c r="T403" s="43" t="inlineStr">
        <is>
          <t>кг</t>
        </is>
      </c>
      <c r="U403" s="681">
        <f>IFERROR(SUM(U401:U401),"0")</f>
        <v/>
      </c>
      <c r="V403" s="681">
        <f>IFERROR(SUM(V401:V401),"0")</f>
        <v/>
      </c>
      <c r="W403" s="43" t="n"/>
      <c r="X403" s="682" t="n"/>
      <c r="Y403" s="682" t="n"/>
    </row>
    <row r="404" ht="27.75" customHeight="1">
      <c r="A404" s="341" t="inlineStr">
        <is>
          <t>Дугушка</t>
        </is>
      </c>
      <c r="B404" s="673" t="n"/>
      <c r="C404" s="673" t="n"/>
      <c r="D404" s="673" t="n"/>
      <c r="E404" s="673" t="n"/>
      <c r="F404" s="673" t="n"/>
      <c r="G404" s="673" t="n"/>
      <c r="H404" s="673" t="n"/>
      <c r="I404" s="673" t="n"/>
      <c r="J404" s="673" t="n"/>
      <c r="K404" s="673" t="n"/>
      <c r="L404" s="673" t="n"/>
      <c r="M404" s="673" t="n"/>
      <c r="N404" s="673" t="n"/>
      <c r="O404" s="673" t="n"/>
      <c r="P404" s="673" t="n"/>
      <c r="Q404" s="673" t="n"/>
      <c r="R404" s="673" t="n"/>
      <c r="S404" s="673" t="n"/>
      <c r="T404" s="673" t="n"/>
      <c r="U404" s="673" t="n"/>
      <c r="V404" s="673" t="n"/>
      <c r="W404" s="673" t="n"/>
      <c r="X404" s="55" t="n"/>
      <c r="Y404" s="55" t="n"/>
    </row>
    <row r="405" ht="16.5" customHeight="1">
      <c r="A405" s="335" t="inlineStr">
        <is>
          <t>Дугушка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335" t="n"/>
      <c r="Y405" s="335" t="n"/>
    </row>
    <row r="406" ht="14.25" customHeight="1">
      <c r="A406" s="327" t="inlineStr">
        <is>
          <t>Вареные колбасы</t>
        </is>
      </c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327" t="n"/>
      <c r="Y406" s="327" t="n"/>
    </row>
    <row r="407" ht="27" customHeight="1">
      <c r="A407" s="64" t="inlineStr">
        <is>
          <t>SU002011</t>
        </is>
      </c>
      <c r="B407" s="64" t="inlineStr">
        <is>
          <t>P002991</t>
        </is>
      </c>
      <c r="C407" s="37" t="n">
        <v>4301011371</v>
      </c>
      <c r="D407" s="328" t="n">
        <v>4607091389067</v>
      </c>
      <c r="E407" s="642" t="n"/>
      <c r="F407" s="674" t="n">
        <v>0.88</v>
      </c>
      <c r="G407" s="38" t="n">
        <v>6</v>
      </c>
      <c r="H407" s="674" t="n">
        <v>5.28</v>
      </c>
      <c r="I407" s="674" t="n">
        <v>5.64</v>
      </c>
      <c r="J407" s="38" t="n">
        <v>104</v>
      </c>
      <c r="K407" s="39" t="inlineStr">
        <is>
          <t>СК3</t>
        </is>
      </c>
      <c r="L407" s="38" t="n">
        <v>55</v>
      </c>
      <c r="M407" s="894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407" s="676" t="n"/>
      <c r="O407" s="676" t="n"/>
      <c r="P407" s="676" t="n"/>
      <c r="Q407" s="642" t="n"/>
      <c r="R407" s="40" t="inlineStr"/>
      <c r="S407" s="40" t="inlineStr"/>
      <c r="T407" s="41" t="inlineStr">
        <is>
          <t>кг</t>
        </is>
      </c>
      <c r="U407" s="677" t="n">
        <v>0</v>
      </c>
      <c r="V407" s="678">
        <f>IFERROR(IF(U407="",0,CEILING((U407/$H407),1)*$H407),"")</f>
        <v/>
      </c>
      <c r="W407" s="42">
        <f>IFERROR(IF(V407=0,"",ROUNDUP(V407/H407,0)*0.01196),"")</f>
        <v/>
      </c>
      <c r="X407" s="69" t="inlineStr"/>
      <c r="Y407" s="70" t="inlineStr"/>
      <c r="AC407" s="71" t="n"/>
      <c r="AZ407" s="285" t="inlineStr">
        <is>
          <t>КИ</t>
        </is>
      </c>
    </row>
    <row r="408" ht="27" customHeight="1">
      <c r="A408" s="64" t="inlineStr">
        <is>
          <t>SU002094</t>
        </is>
      </c>
      <c r="B408" s="64" t="inlineStr">
        <is>
          <t>P002975</t>
        </is>
      </c>
      <c r="C408" s="37" t="n">
        <v>4301011363</v>
      </c>
      <c r="D408" s="328" t="n">
        <v>4607091383522</v>
      </c>
      <c r="E408" s="642" t="n"/>
      <c r="F408" s="674" t="n">
        <v>0.88</v>
      </c>
      <c r="G408" s="38" t="n">
        <v>6</v>
      </c>
      <c r="H408" s="674" t="n">
        <v>5.28</v>
      </c>
      <c r="I408" s="674" t="n">
        <v>5.64</v>
      </c>
      <c r="J408" s="38" t="n">
        <v>104</v>
      </c>
      <c r="K408" s="39" t="inlineStr">
        <is>
          <t>СК1</t>
        </is>
      </c>
      <c r="L408" s="38" t="n">
        <v>55</v>
      </c>
      <c r="M408" s="895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408" s="676" t="n"/>
      <c r="O408" s="676" t="n"/>
      <c r="P408" s="676" t="n"/>
      <c r="Q408" s="642" t="n"/>
      <c r="R408" s="40" t="inlineStr"/>
      <c r="S408" s="40" t="inlineStr"/>
      <c r="T408" s="41" t="inlineStr">
        <is>
          <t>кг</t>
        </is>
      </c>
      <c r="U408" s="677" t="n">
        <v>0</v>
      </c>
      <c r="V408" s="678">
        <f>IFERROR(IF(U408="",0,CEILING((U408/$H408),1)*$H408),"")</f>
        <v/>
      </c>
      <c r="W408" s="42">
        <f>IFERROR(IF(V408=0,"",ROUNDUP(V408/H408,0)*0.01196),"")</f>
        <v/>
      </c>
      <c r="X408" s="69" t="inlineStr"/>
      <c r="Y408" s="70" t="inlineStr"/>
      <c r="AC408" s="71" t="n"/>
      <c r="AZ408" s="286" t="inlineStr">
        <is>
          <t>КИ</t>
        </is>
      </c>
    </row>
    <row r="409" ht="27" customHeight="1">
      <c r="A409" s="64" t="inlineStr">
        <is>
          <t>SU002182</t>
        </is>
      </c>
      <c r="B409" s="64" t="inlineStr">
        <is>
          <t>P002990</t>
        </is>
      </c>
      <c r="C409" s="37" t="n">
        <v>4301011431</v>
      </c>
      <c r="D409" s="328" t="n">
        <v>4607091384437</v>
      </c>
      <c r="E409" s="642" t="n"/>
      <c r="F409" s="674" t="n">
        <v>0.88</v>
      </c>
      <c r="G409" s="38" t="n">
        <v>6</v>
      </c>
      <c r="H409" s="674" t="n">
        <v>5.28</v>
      </c>
      <c r="I409" s="674" t="n">
        <v>5.64</v>
      </c>
      <c r="J409" s="38" t="n">
        <v>104</v>
      </c>
      <c r="K409" s="39" t="inlineStr">
        <is>
          <t>СК1</t>
        </is>
      </c>
      <c r="L409" s="38" t="n">
        <v>50</v>
      </c>
      <c r="M409" s="896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N409" s="676" t="n"/>
      <c r="O409" s="676" t="n"/>
      <c r="P409" s="676" t="n"/>
      <c r="Q409" s="642" t="n"/>
      <c r="R409" s="40" t="inlineStr"/>
      <c r="S409" s="40" t="inlineStr"/>
      <c r="T409" s="41" t="inlineStr">
        <is>
          <t>кг</t>
        </is>
      </c>
      <c r="U409" s="677" t="n">
        <v>0</v>
      </c>
      <c r="V409" s="678">
        <f>IFERROR(IF(U409="",0,CEILING((U409/$H409),1)*$H409),"")</f>
        <v/>
      </c>
      <c r="W409" s="42">
        <f>IFERROR(IF(V409=0,"",ROUNDUP(V409/H409,0)*0.01196),"")</f>
        <v/>
      </c>
      <c r="X409" s="69" t="inlineStr"/>
      <c r="Y409" s="70" t="inlineStr"/>
      <c r="AC409" s="71" t="n"/>
      <c r="AZ409" s="287" t="inlineStr">
        <is>
          <t>КИ</t>
        </is>
      </c>
    </row>
    <row r="410" ht="27" customHeight="1">
      <c r="A410" s="64" t="inlineStr">
        <is>
          <t>SU002010</t>
        </is>
      </c>
      <c r="B410" s="64" t="inlineStr">
        <is>
          <t>P002979</t>
        </is>
      </c>
      <c r="C410" s="37" t="n">
        <v>4301011365</v>
      </c>
      <c r="D410" s="328" t="n">
        <v>4607091389104</v>
      </c>
      <c r="E410" s="642" t="n"/>
      <c r="F410" s="674" t="n">
        <v>0.88</v>
      </c>
      <c r="G410" s="38" t="n">
        <v>6</v>
      </c>
      <c r="H410" s="674" t="n">
        <v>5.28</v>
      </c>
      <c r="I410" s="674" t="n">
        <v>5.64</v>
      </c>
      <c r="J410" s="38" t="n">
        <v>104</v>
      </c>
      <c r="K410" s="39" t="inlineStr">
        <is>
          <t>СК1</t>
        </is>
      </c>
      <c r="L410" s="38" t="n">
        <v>55</v>
      </c>
      <c r="M410" s="897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410" s="676" t="n"/>
      <c r="O410" s="676" t="n"/>
      <c r="P410" s="676" t="n"/>
      <c r="Q410" s="642" t="n"/>
      <c r="R410" s="40" t="inlineStr"/>
      <c r="S410" s="40" t="inlineStr"/>
      <c r="T410" s="41" t="inlineStr">
        <is>
          <t>кг</t>
        </is>
      </c>
      <c r="U410" s="677" t="n">
        <v>0</v>
      </c>
      <c r="V410" s="678">
        <f>IFERROR(IF(U410="",0,CEILING((U410/$H410),1)*$H410),"")</f>
        <v/>
      </c>
      <c r="W410" s="42">
        <f>IFERROR(IF(V410=0,"",ROUNDUP(V410/H410,0)*0.01196),"")</f>
        <v/>
      </c>
      <c r="X410" s="69" t="inlineStr"/>
      <c r="Y410" s="70" t="inlineStr"/>
      <c r="AC410" s="71" t="n"/>
      <c r="AZ410" s="288" t="inlineStr">
        <is>
          <t>КИ</t>
        </is>
      </c>
    </row>
    <row r="411" ht="27" customHeight="1">
      <c r="A411" s="64" t="inlineStr">
        <is>
          <t>SU002632</t>
        </is>
      </c>
      <c r="B411" s="64" t="inlineStr">
        <is>
          <t>P002982</t>
        </is>
      </c>
      <c r="C411" s="37" t="n">
        <v>4301011367</v>
      </c>
      <c r="D411" s="328" t="n">
        <v>4680115880603</v>
      </c>
      <c r="E411" s="642" t="n"/>
      <c r="F411" s="674" t="n">
        <v>0.6</v>
      </c>
      <c r="G411" s="38" t="n">
        <v>6</v>
      </c>
      <c r="H411" s="674" t="n">
        <v>3.6</v>
      </c>
      <c r="I411" s="674" t="n">
        <v>3.84</v>
      </c>
      <c r="J411" s="38" t="n">
        <v>120</v>
      </c>
      <c r="K411" s="39" t="inlineStr">
        <is>
          <t>СК1</t>
        </is>
      </c>
      <c r="L411" s="38" t="n">
        <v>55</v>
      </c>
      <c r="M411" s="898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N411" s="676" t="n"/>
      <c r="O411" s="676" t="n"/>
      <c r="P411" s="676" t="n"/>
      <c r="Q411" s="642" t="n"/>
      <c r="R411" s="40" t="inlineStr"/>
      <c r="S411" s="40" t="inlineStr"/>
      <c r="T411" s="41" t="inlineStr">
        <is>
          <t>кг</t>
        </is>
      </c>
      <c r="U411" s="677" t="n">
        <v>0</v>
      </c>
      <c r="V411" s="678">
        <f>IFERROR(IF(U411="",0,CEILING((U411/$H411),1)*$H411),"")</f>
        <v/>
      </c>
      <c r="W411" s="42">
        <f>IFERROR(IF(V411=0,"",ROUNDUP(V411/H411,0)*0.00937),"")</f>
        <v/>
      </c>
      <c r="X411" s="69" t="inlineStr"/>
      <c r="Y411" s="70" t="inlineStr"/>
      <c r="AC411" s="71" t="n"/>
      <c r="AZ411" s="289" t="inlineStr">
        <is>
          <t>КИ</t>
        </is>
      </c>
    </row>
    <row r="412" ht="27" customHeight="1">
      <c r="A412" s="64" t="inlineStr">
        <is>
          <t>SU002220</t>
        </is>
      </c>
      <c r="B412" s="64" t="inlineStr">
        <is>
          <t>P002404</t>
        </is>
      </c>
      <c r="C412" s="37" t="n">
        <v>4301011168</v>
      </c>
      <c r="D412" s="328" t="n">
        <v>4607091389999</v>
      </c>
      <c r="E412" s="642" t="n"/>
      <c r="F412" s="674" t="n">
        <v>0.6</v>
      </c>
      <c r="G412" s="38" t="n">
        <v>6</v>
      </c>
      <c r="H412" s="674" t="n">
        <v>3.6</v>
      </c>
      <c r="I412" s="674" t="n">
        <v>3.84</v>
      </c>
      <c r="J412" s="38" t="n">
        <v>120</v>
      </c>
      <c r="K412" s="39" t="inlineStr">
        <is>
          <t>СК1</t>
        </is>
      </c>
      <c r="L412" s="38" t="n">
        <v>55</v>
      </c>
      <c r="M412" s="899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N412" s="676" t="n"/>
      <c r="O412" s="676" t="n"/>
      <c r="P412" s="676" t="n"/>
      <c r="Q412" s="642" t="n"/>
      <c r="R412" s="40" t="inlineStr"/>
      <c r="S412" s="40" t="inlineStr"/>
      <c r="T412" s="41" t="inlineStr">
        <is>
          <t>кг</t>
        </is>
      </c>
      <c r="U412" s="677" t="n">
        <v>0</v>
      </c>
      <c r="V412" s="678">
        <f>IFERROR(IF(U412="",0,CEILING((U412/$H412),1)*$H412),"")</f>
        <v/>
      </c>
      <c r="W412" s="42">
        <f>IFERROR(IF(V412=0,"",ROUNDUP(V412/H412,0)*0.00937),"")</f>
        <v/>
      </c>
      <c r="X412" s="69" t="inlineStr"/>
      <c r="Y412" s="70" t="inlineStr"/>
      <c r="AC412" s="71" t="n"/>
      <c r="AZ412" s="290" t="inlineStr">
        <is>
          <t>КИ</t>
        </is>
      </c>
    </row>
    <row r="413" ht="27" customHeight="1">
      <c r="A413" s="64" t="inlineStr">
        <is>
          <t>SU002635</t>
        </is>
      </c>
      <c r="B413" s="64" t="inlineStr">
        <is>
          <t>P002992</t>
        </is>
      </c>
      <c r="C413" s="37" t="n">
        <v>4301011372</v>
      </c>
      <c r="D413" s="328" t="n">
        <v>4680115882782</v>
      </c>
      <c r="E413" s="642" t="n"/>
      <c r="F413" s="674" t="n">
        <v>0.6</v>
      </c>
      <c r="G413" s="38" t="n">
        <v>6</v>
      </c>
      <c r="H413" s="674" t="n">
        <v>3.6</v>
      </c>
      <c r="I413" s="674" t="n">
        <v>3.84</v>
      </c>
      <c r="J413" s="38" t="n">
        <v>120</v>
      </c>
      <c r="K413" s="39" t="inlineStr">
        <is>
          <t>СК1</t>
        </is>
      </c>
      <c r="L413" s="38" t="n">
        <v>50</v>
      </c>
      <c r="M413" s="900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N413" s="676" t="n"/>
      <c r="O413" s="676" t="n"/>
      <c r="P413" s="676" t="n"/>
      <c r="Q413" s="642" t="n"/>
      <c r="R413" s="40" t="inlineStr"/>
      <c r="S413" s="40" t="inlineStr"/>
      <c r="T413" s="41" t="inlineStr">
        <is>
          <t>кг</t>
        </is>
      </c>
      <c r="U413" s="677" t="n">
        <v>0</v>
      </c>
      <c r="V413" s="678">
        <f>IFERROR(IF(U413="",0,CEILING((U413/$H413),1)*$H413),"")</f>
        <v/>
      </c>
      <c r="W413" s="42">
        <f>IFERROR(IF(V413=0,"",ROUNDUP(V413/H413,0)*0.00937),"")</f>
        <v/>
      </c>
      <c r="X413" s="69" t="inlineStr"/>
      <c r="Y413" s="70" t="inlineStr"/>
      <c r="AC413" s="71" t="n"/>
      <c r="AZ413" s="291" t="inlineStr">
        <is>
          <t>КИ</t>
        </is>
      </c>
    </row>
    <row r="414" ht="27" customHeight="1">
      <c r="A414" s="64" t="inlineStr">
        <is>
          <t>SU002020</t>
        </is>
      </c>
      <c r="B414" s="64" t="inlineStr">
        <is>
          <t>P002308</t>
        </is>
      </c>
      <c r="C414" s="37" t="n">
        <v>4301011190</v>
      </c>
      <c r="D414" s="328" t="n">
        <v>4607091389098</v>
      </c>
      <c r="E414" s="642" t="n"/>
      <c r="F414" s="674" t="n">
        <v>0.4</v>
      </c>
      <c r="G414" s="38" t="n">
        <v>6</v>
      </c>
      <c r="H414" s="674" t="n">
        <v>2.4</v>
      </c>
      <c r="I414" s="674" t="n">
        <v>2.6</v>
      </c>
      <c r="J414" s="38" t="n">
        <v>156</v>
      </c>
      <c r="K414" s="39" t="inlineStr">
        <is>
          <t>СК3</t>
        </is>
      </c>
      <c r="L414" s="38" t="n">
        <v>50</v>
      </c>
      <c r="M414" s="901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414" s="676" t="n"/>
      <c r="O414" s="676" t="n"/>
      <c r="P414" s="676" t="n"/>
      <c r="Q414" s="642" t="n"/>
      <c r="R414" s="40" t="inlineStr"/>
      <c r="S414" s="40" t="inlineStr"/>
      <c r="T414" s="41" t="inlineStr">
        <is>
          <t>кг</t>
        </is>
      </c>
      <c r="U414" s="677" t="n">
        <v>0</v>
      </c>
      <c r="V414" s="678">
        <f>IFERROR(IF(U414="",0,CEILING((U414/$H414),1)*$H414),"")</f>
        <v/>
      </c>
      <c r="W414" s="42">
        <f>IFERROR(IF(V414=0,"",ROUNDUP(V414/H414,0)*0.00753),"")</f>
        <v/>
      </c>
      <c r="X414" s="69" t="inlineStr"/>
      <c r="Y414" s="70" t="inlineStr"/>
      <c r="AC414" s="71" t="n"/>
      <c r="AZ414" s="292" t="inlineStr">
        <is>
          <t>КИ</t>
        </is>
      </c>
    </row>
    <row r="415" ht="27" customHeight="1">
      <c r="A415" s="64" t="inlineStr">
        <is>
          <t>SU002631</t>
        </is>
      </c>
      <c r="B415" s="64" t="inlineStr">
        <is>
          <t>P002981</t>
        </is>
      </c>
      <c r="C415" s="37" t="n">
        <v>4301011366</v>
      </c>
      <c r="D415" s="328" t="n">
        <v>4607091389982</v>
      </c>
      <c r="E415" s="642" t="n"/>
      <c r="F415" s="674" t="n">
        <v>0.6</v>
      </c>
      <c r="G415" s="38" t="n">
        <v>6</v>
      </c>
      <c r="H415" s="674" t="n">
        <v>3.6</v>
      </c>
      <c r="I415" s="674" t="n">
        <v>3.84</v>
      </c>
      <c r="J415" s="38" t="n">
        <v>120</v>
      </c>
      <c r="K415" s="39" t="inlineStr">
        <is>
          <t>СК1</t>
        </is>
      </c>
      <c r="L415" s="38" t="n">
        <v>55</v>
      </c>
      <c r="M415" s="902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N415" s="676" t="n"/>
      <c r="O415" s="676" t="n"/>
      <c r="P415" s="676" t="n"/>
      <c r="Q415" s="642" t="n"/>
      <c r="R415" s="40" t="inlineStr"/>
      <c r="S415" s="40" t="inlineStr"/>
      <c r="T415" s="41" t="inlineStr">
        <is>
          <t>кг</t>
        </is>
      </c>
      <c r="U415" s="677" t="n">
        <v>0</v>
      </c>
      <c r="V415" s="678">
        <f>IFERROR(IF(U415="",0,CEILING((U415/$H415),1)*$H415),"")</f>
        <v/>
      </c>
      <c r="W415" s="42">
        <f>IFERROR(IF(V415=0,"",ROUNDUP(V415/H415,0)*0.00937),"")</f>
        <v/>
      </c>
      <c r="X415" s="69" t="inlineStr"/>
      <c r="Y415" s="70" t="inlineStr"/>
      <c r="AC415" s="71" t="n"/>
      <c r="AZ415" s="293" t="inlineStr">
        <is>
          <t>КИ</t>
        </is>
      </c>
    </row>
    <row r="416">
      <c r="A416" s="322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679" t="n"/>
      <c r="M416" s="680" t="inlineStr">
        <is>
          <t>Итого</t>
        </is>
      </c>
      <c r="N416" s="650" t="n"/>
      <c r="O416" s="650" t="n"/>
      <c r="P416" s="650" t="n"/>
      <c r="Q416" s="650" t="n"/>
      <c r="R416" s="650" t="n"/>
      <c r="S416" s="651" t="n"/>
      <c r="T416" s="43" t="inlineStr">
        <is>
          <t>кор</t>
        </is>
      </c>
      <c r="U416" s="681">
        <f>IFERROR(U407/H407,"0")+IFERROR(U408/H408,"0")+IFERROR(U409/H409,"0")+IFERROR(U410/H410,"0")+IFERROR(U411/H411,"0")+IFERROR(U412/H412,"0")+IFERROR(U413/H413,"0")+IFERROR(U414/H414,"0")+IFERROR(U415/H415,"0")</f>
        <v/>
      </c>
      <c r="V416" s="681">
        <f>IFERROR(V407/H407,"0")+IFERROR(V408/H408,"0")+IFERROR(V409/H409,"0")+IFERROR(V410/H410,"0")+IFERROR(V411/H411,"0")+IFERROR(V412/H412,"0")+IFERROR(V413/H413,"0")+IFERROR(V414/H414,"0")+IFERROR(V415/H415,"0")</f>
        <v/>
      </c>
      <c r="W416" s="681">
        <f>IFERROR(IF(W407="",0,W407),"0")+IFERROR(IF(W408="",0,W408),"0")+IFERROR(IF(W409="",0,W409),"0")+IFERROR(IF(W410="",0,W410),"0")+IFERROR(IF(W411="",0,W411),"0")+IFERROR(IF(W412="",0,W412),"0")+IFERROR(IF(W413="",0,W413),"0")+IFERROR(IF(W414="",0,W414),"0")+IFERROR(IF(W415="",0,W415),"0")</f>
        <v/>
      </c>
      <c r="X416" s="682" t="n"/>
      <c r="Y416" s="682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679" t="n"/>
      <c r="M417" s="680" t="inlineStr">
        <is>
          <t>Итого</t>
        </is>
      </c>
      <c r="N417" s="650" t="n"/>
      <c r="O417" s="650" t="n"/>
      <c r="P417" s="650" t="n"/>
      <c r="Q417" s="650" t="n"/>
      <c r="R417" s="650" t="n"/>
      <c r="S417" s="651" t="n"/>
      <c r="T417" s="43" t="inlineStr">
        <is>
          <t>кг</t>
        </is>
      </c>
      <c r="U417" s="681">
        <f>IFERROR(SUM(U407:U415),"0")</f>
        <v/>
      </c>
      <c r="V417" s="681">
        <f>IFERROR(SUM(V407:V415),"0")</f>
        <v/>
      </c>
      <c r="W417" s="43" t="n"/>
      <c r="X417" s="682" t="n"/>
      <c r="Y417" s="682" t="n"/>
    </row>
    <row r="418" ht="14.25" customHeight="1">
      <c r="A418" s="327" t="inlineStr">
        <is>
          <t>Ветчины</t>
        </is>
      </c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327" t="n"/>
      <c r="Y418" s="327" t="n"/>
    </row>
    <row r="419" ht="16.5" customHeight="1">
      <c r="A419" s="64" t="inlineStr">
        <is>
          <t>SU002035</t>
        </is>
      </c>
      <c r="B419" s="64" t="inlineStr">
        <is>
          <t>P003146</t>
        </is>
      </c>
      <c r="C419" s="37" t="n">
        <v>4301020222</v>
      </c>
      <c r="D419" s="328" t="n">
        <v>4607091388930</v>
      </c>
      <c r="E419" s="642" t="n"/>
      <c r="F419" s="674" t="n">
        <v>0.88</v>
      </c>
      <c r="G419" s="38" t="n">
        <v>6</v>
      </c>
      <c r="H419" s="674" t="n">
        <v>5.28</v>
      </c>
      <c r="I419" s="674" t="n">
        <v>5.64</v>
      </c>
      <c r="J419" s="38" t="n">
        <v>104</v>
      </c>
      <c r="K419" s="39" t="inlineStr">
        <is>
          <t>СК1</t>
        </is>
      </c>
      <c r="L419" s="38" t="n">
        <v>55</v>
      </c>
      <c r="M419" s="903">
        <f>HYPERLINK("https://abi.ru/products/Охлажденные/Дугушка/Дугушка/Ветчины/P003146/","Ветчины Дугушка Дугушка Вес б/о Дугушка")</f>
        <v/>
      </c>
      <c r="N419" s="676" t="n"/>
      <c r="O419" s="676" t="n"/>
      <c r="P419" s="676" t="n"/>
      <c r="Q419" s="642" t="n"/>
      <c r="R419" s="40" t="inlineStr"/>
      <c r="S419" s="40" t="inlineStr"/>
      <c r="T419" s="41" t="inlineStr">
        <is>
          <t>кг</t>
        </is>
      </c>
      <c r="U419" s="677" t="n">
        <v>0</v>
      </c>
      <c r="V419" s="678">
        <f>IFERROR(IF(U419="",0,CEILING((U419/$H419),1)*$H419),"")</f>
        <v/>
      </c>
      <c r="W419" s="42">
        <f>IFERROR(IF(V419=0,"",ROUNDUP(V419/H419,0)*0.01196),"")</f>
        <v/>
      </c>
      <c r="X419" s="69" t="inlineStr"/>
      <c r="Y419" s="70" t="inlineStr"/>
      <c r="AC419" s="71" t="n"/>
      <c r="AZ419" s="294" t="inlineStr">
        <is>
          <t>КИ</t>
        </is>
      </c>
    </row>
    <row r="420" ht="16.5" customHeight="1">
      <c r="A420" s="64" t="inlineStr">
        <is>
          <t>SU002643</t>
        </is>
      </c>
      <c r="B420" s="64" t="inlineStr">
        <is>
          <t>P002993</t>
        </is>
      </c>
      <c r="C420" s="37" t="n">
        <v>4301020206</v>
      </c>
      <c r="D420" s="328" t="n">
        <v>4680115880054</v>
      </c>
      <c r="E420" s="642" t="n"/>
      <c r="F420" s="674" t="n">
        <v>0.6</v>
      </c>
      <c r="G420" s="38" t="n">
        <v>6</v>
      </c>
      <c r="H420" s="674" t="n">
        <v>3.6</v>
      </c>
      <c r="I420" s="674" t="n">
        <v>3.84</v>
      </c>
      <c r="J420" s="38" t="n">
        <v>120</v>
      </c>
      <c r="K420" s="39" t="inlineStr">
        <is>
          <t>СК1</t>
        </is>
      </c>
      <c r="L420" s="38" t="n">
        <v>55</v>
      </c>
      <c r="M420" s="904">
        <f>HYPERLINK("https://abi.ru/products/Охлажденные/Дугушка/Дугушка/Ветчины/P002993/","Ветчины «Дугушка» Фикс.вес 0,6 П/а ТМ «Дугушка»")</f>
        <v/>
      </c>
      <c r="N420" s="676" t="n"/>
      <c r="O420" s="676" t="n"/>
      <c r="P420" s="676" t="n"/>
      <c r="Q420" s="642" t="n"/>
      <c r="R420" s="40" t="inlineStr"/>
      <c r="S420" s="40" t="inlineStr"/>
      <c r="T420" s="41" t="inlineStr">
        <is>
          <t>кг</t>
        </is>
      </c>
      <c r="U420" s="677" t="n">
        <v>0</v>
      </c>
      <c r="V420" s="678">
        <f>IFERROR(IF(U420="",0,CEILING((U420/$H420),1)*$H420),"")</f>
        <v/>
      </c>
      <c r="W420" s="42">
        <f>IFERROR(IF(V420=0,"",ROUNDUP(V420/H420,0)*0.00937),"")</f>
        <v/>
      </c>
      <c r="X420" s="69" t="inlineStr"/>
      <c r="Y420" s="70" t="inlineStr"/>
      <c r="AC420" s="71" t="n"/>
      <c r="AZ420" s="295" t="inlineStr">
        <is>
          <t>КИ</t>
        </is>
      </c>
    </row>
    <row r="421">
      <c r="A421" s="322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679" t="n"/>
      <c r="M421" s="680" t="inlineStr">
        <is>
          <t>Итого</t>
        </is>
      </c>
      <c r="N421" s="650" t="n"/>
      <c r="O421" s="650" t="n"/>
      <c r="P421" s="650" t="n"/>
      <c r="Q421" s="650" t="n"/>
      <c r="R421" s="650" t="n"/>
      <c r="S421" s="651" t="n"/>
      <c r="T421" s="43" t="inlineStr">
        <is>
          <t>кор</t>
        </is>
      </c>
      <c r="U421" s="681">
        <f>IFERROR(U419/H419,"0")+IFERROR(U420/H420,"0")</f>
        <v/>
      </c>
      <c r="V421" s="681">
        <f>IFERROR(V419/H419,"0")+IFERROR(V420/H420,"0")</f>
        <v/>
      </c>
      <c r="W421" s="681">
        <f>IFERROR(IF(W419="",0,W419),"0")+IFERROR(IF(W420="",0,W420),"0")</f>
        <v/>
      </c>
      <c r="X421" s="682" t="n"/>
      <c r="Y421" s="682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679" t="n"/>
      <c r="M422" s="680" t="inlineStr">
        <is>
          <t>Итого</t>
        </is>
      </c>
      <c r="N422" s="650" t="n"/>
      <c r="O422" s="650" t="n"/>
      <c r="P422" s="650" t="n"/>
      <c r="Q422" s="650" t="n"/>
      <c r="R422" s="650" t="n"/>
      <c r="S422" s="651" t="n"/>
      <c r="T422" s="43" t="inlineStr">
        <is>
          <t>кг</t>
        </is>
      </c>
      <c r="U422" s="681">
        <f>IFERROR(SUM(U419:U420),"0")</f>
        <v/>
      </c>
      <c r="V422" s="681">
        <f>IFERROR(SUM(V419:V420),"0")</f>
        <v/>
      </c>
      <c r="W422" s="43" t="n"/>
      <c r="X422" s="682" t="n"/>
      <c r="Y422" s="682" t="n"/>
    </row>
    <row r="423" ht="14.25" customHeight="1">
      <c r="A423" s="327" t="inlineStr">
        <is>
          <t>Копченые колбасы</t>
        </is>
      </c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327" t="n"/>
      <c r="Y423" s="327" t="n"/>
    </row>
    <row r="424" ht="27" customHeight="1">
      <c r="A424" s="64" t="inlineStr">
        <is>
          <t>SU002150</t>
        </is>
      </c>
      <c r="B424" s="64" t="inlineStr">
        <is>
          <t>P003636</t>
        </is>
      </c>
      <c r="C424" s="37" t="n">
        <v>4301031252</v>
      </c>
      <c r="D424" s="328" t="n">
        <v>4680115883116</v>
      </c>
      <c r="E424" s="642" t="n"/>
      <c r="F424" s="674" t="n">
        <v>0.88</v>
      </c>
      <c r="G424" s="38" t="n">
        <v>6</v>
      </c>
      <c r="H424" s="674" t="n">
        <v>5.28</v>
      </c>
      <c r="I424" s="674" t="n">
        <v>5.64</v>
      </c>
      <c r="J424" s="38" t="n">
        <v>104</v>
      </c>
      <c r="K424" s="39" t="inlineStr">
        <is>
          <t>СК1</t>
        </is>
      </c>
      <c r="L424" s="38" t="n">
        <v>60</v>
      </c>
      <c r="M424" s="905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N424" s="676" t="n"/>
      <c r="O424" s="676" t="n"/>
      <c r="P424" s="676" t="n"/>
      <c r="Q424" s="642" t="n"/>
      <c r="R424" s="40" t="inlineStr"/>
      <c r="S424" s="40" t="inlineStr"/>
      <c r="T424" s="41" t="inlineStr">
        <is>
          <t>кг</t>
        </is>
      </c>
      <c r="U424" s="677" t="n">
        <v>0</v>
      </c>
      <c r="V424" s="678">
        <f>IFERROR(IF(U424="",0,CEILING((U424/$H424),1)*$H424),"")</f>
        <v/>
      </c>
      <c r="W424" s="42">
        <f>IFERROR(IF(V424=0,"",ROUNDUP(V424/H424,0)*0.01196),"")</f>
        <v/>
      </c>
      <c r="X424" s="69" t="inlineStr"/>
      <c r="Y424" s="70" t="inlineStr"/>
      <c r="AC424" s="71" t="n"/>
      <c r="AZ424" s="296" t="inlineStr">
        <is>
          <t>КИ</t>
        </is>
      </c>
    </row>
    <row r="425" ht="27" customHeight="1">
      <c r="A425" s="64" t="inlineStr">
        <is>
          <t>SU002158</t>
        </is>
      </c>
      <c r="B425" s="64" t="inlineStr">
        <is>
          <t>P003632</t>
        </is>
      </c>
      <c r="C425" s="37" t="n">
        <v>4301031248</v>
      </c>
      <c r="D425" s="328" t="n">
        <v>4680115883093</v>
      </c>
      <c r="E425" s="642" t="n"/>
      <c r="F425" s="674" t="n">
        <v>0.88</v>
      </c>
      <c r="G425" s="38" t="n">
        <v>6</v>
      </c>
      <c r="H425" s="674" t="n">
        <v>5.28</v>
      </c>
      <c r="I425" s="674" t="n">
        <v>5.64</v>
      </c>
      <c r="J425" s="38" t="n">
        <v>104</v>
      </c>
      <c r="K425" s="39" t="inlineStr">
        <is>
          <t>СК2</t>
        </is>
      </c>
      <c r="L425" s="38" t="n">
        <v>60</v>
      </c>
      <c r="M425" s="906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N425" s="676" t="n"/>
      <c r="O425" s="676" t="n"/>
      <c r="P425" s="676" t="n"/>
      <c r="Q425" s="642" t="n"/>
      <c r="R425" s="40" t="inlineStr"/>
      <c r="S425" s="40" t="inlineStr"/>
      <c r="T425" s="41" t="inlineStr">
        <is>
          <t>кг</t>
        </is>
      </c>
      <c r="U425" s="677" t="n">
        <v>0</v>
      </c>
      <c r="V425" s="678">
        <f>IFERROR(IF(U425="",0,CEILING((U425/$H425),1)*$H425),"")</f>
        <v/>
      </c>
      <c r="W425" s="42">
        <f>IFERROR(IF(V425=0,"",ROUNDUP(V425/H425,0)*0.01196),"")</f>
        <v/>
      </c>
      <c r="X425" s="69" t="inlineStr"/>
      <c r="Y425" s="70" t="inlineStr"/>
      <c r="AC425" s="71" t="n"/>
      <c r="AZ425" s="297" t="inlineStr">
        <is>
          <t>КИ</t>
        </is>
      </c>
    </row>
    <row r="426" ht="27" customHeight="1">
      <c r="A426" s="64" t="inlineStr">
        <is>
          <t>SU002151</t>
        </is>
      </c>
      <c r="B426" s="64" t="inlineStr">
        <is>
          <t>P003634</t>
        </is>
      </c>
      <c r="C426" s="37" t="n">
        <v>4301031250</v>
      </c>
      <c r="D426" s="328" t="n">
        <v>4680115883109</v>
      </c>
      <c r="E426" s="642" t="n"/>
      <c r="F426" s="674" t="n">
        <v>0.88</v>
      </c>
      <c r="G426" s="38" t="n">
        <v>6</v>
      </c>
      <c r="H426" s="674" t="n">
        <v>5.28</v>
      </c>
      <c r="I426" s="674" t="n">
        <v>5.64</v>
      </c>
      <c r="J426" s="38" t="n">
        <v>104</v>
      </c>
      <c r="K426" s="39" t="inlineStr">
        <is>
          <t>СК2</t>
        </is>
      </c>
      <c r="L426" s="38" t="n">
        <v>60</v>
      </c>
      <c r="M426" s="907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N426" s="676" t="n"/>
      <c r="O426" s="676" t="n"/>
      <c r="P426" s="676" t="n"/>
      <c r="Q426" s="642" t="n"/>
      <c r="R426" s="40" t="inlineStr"/>
      <c r="S426" s="40" t="inlineStr"/>
      <c r="T426" s="41" t="inlineStr">
        <is>
          <t>кг</t>
        </is>
      </c>
      <c r="U426" s="677" t="n">
        <v>0</v>
      </c>
      <c r="V426" s="678">
        <f>IFERROR(IF(U426="",0,CEILING((U426/$H426),1)*$H426),"")</f>
        <v/>
      </c>
      <c r="W426" s="42">
        <f>IFERROR(IF(V426=0,"",ROUNDUP(V426/H426,0)*0.01196),"")</f>
        <v/>
      </c>
      <c r="X426" s="69" t="inlineStr"/>
      <c r="Y426" s="70" t="inlineStr"/>
      <c r="AC426" s="71" t="n"/>
      <c r="AZ426" s="298" t="inlineStr">
        <is>
          <t>КИ</t>
        </is>
      </c>
    </row>
    <row r="427" ht="27" customHeight="1">
      <c r="A427" s="64" t="inlineStr">
        <is>
          <t>SU002916</t>
        </is>
      </c>
      <c r="B427" s="64" t="inlineStr">
        <is>
          <t>P003633</t>
        </is>
      </c>
      <c r="C427" s="37" t="n">
        <v>4301031249</v>
      </c>
      <c r="D427" s="328" t="n">
        <v>4680115882072</v>
      </c>
      <c r="E427" s="642" t="n"/>
      <c r="F427" s="674" t="n">
        <v>0.6</v>
      </c>
      <c r="G427" s="38" t="n">
        <v>6</v>
      </c>
      <c r="H427" s="674" t="n">
        <v>3.6</v>
      </c>
      <c r="I427" s="674" t="n">
        <v>3.84</v>
      </c>
      <c r="J427" s="38" t="n">
        <v>120</v>
      </c>
      <c r="K427" s="39" t="inlineStr">
        <is>
          <t>СК1</t>
        </is>
      </c>
      <c r="L427" s="38" t="n">
        <v>60</v>
      </c>
      <c r="M427" s="908" t="inlineStr">
        <is>
          <t>В/к колбасы «Рубленая Запеченная» Фикс.вес 0,6 Вектор ТМ «Дугушка»</t>
        </is>
      </c>
      <c r="N427" s="676" t="n"/>
      <c r="O427" s="676" t="n"/>
      <c r="P427" s="676" t="n"/>
      <c r="Q427" s="642" t="n"/>
      <c r="R427" s="40" t="inlineStr"/>
      <c r="S427" s="40" t="inlineStr"/>
      <c r="T427" s="41" t="inlineStr">
        <is>
          <t>кг</t>
        </is>
      </c>
      <c r="U427" s="677" t="n">
        <v>0</v>
      </c>
      <c r="V427" s="678">
        <f>IFERROR(IF(U427="",0,CEILING((U427/$H427),1)*$H427),"")</f>
        <v/>
      </c>
      <c r="W427" s="42">
        <f>IFERROR(IF(V427=0,"",ROUNDUP(V427/H427,0)*0.00937),"")</f>
        <v/>
      </c>
      <c r="X427" s="69" t="inlineStr"/>
      <c r="Y427" s="70" t="inlineStr"/>
      <c r="AC427" s="71" t="n"/>
      <c r="AZ427" s="299" t="inlineStr">
        <is>
          <t>КИ</t>
        </is>
      </c>
    </row>
    <row r="428" ht="27" customHeight="1">
      <c r="A428" s="64" t="inlineStr">
        <is>
          <t>SU002919</t>
        </is>
      </c>
      <c r="B428" s="64" t="inlineStr">
        <is>
          <t>P003635</t>
        </is>
      </c>
      <c r="C428" s="37" t="n">
        <v>4301031251</v>
      </c>
      <c r="D428" s="328" t="n">
        <v>4680115882102</v>
      </c>
      <c r="E428" s="642" t="n"/>
      <c r="F428" s="674" t="n">
        <v>0.6</v>
      </c>
      <c r="G428" s="38" t="n">
        <v>6</v>
      </c>
      <c r="H428" s="674" t="n">
        <v>3.6</v>
      </c>
      <c r="I428" s="674" t="n">
        <v>3.81</v>
      </c>
      <c r="J428" s="38" t="n">
        <v>120</v>
      </c>
      <c r="K428" s="39" t="inlineStr">
        <is>
          <t>СК2</t>
        </is>
      </c>
      <c r="L428" s="38" t="n">
        <v>60</v>
      </c>
      <c r="M428" s="909" t="inlineStr">
        <is>
          <t>В/к колбасы «Салями Запеченая» Фикс.вес 0,6 Вектор ТМ «Дугушка»</t>
        </is>
      </c>
      <c r="N428" s="676" t="n"/>
      <c r="O428" s="676" t="n"/>
      <c r="P428" s="676" t="n"/>
      <c r="Q428" s="642" t="n"/>
      <c r="R428" s="40" t="inlineStr"/>
      <c r="S428" s="40" t="inlineStr"/>
      <c r="T428" s="41" t="inlineStr">
        <is>
          <t>кг</t>
        </is>
      </c>
      <c r="U428" s="677" t="n">
        <v>0</v>
      </c>
      <c r="V428" s="678">
        <f>IFERROR(IF(U428="",0,CEILING((U428/$H428),1)*$H428),"")</f>
        <v/>
      </c>
      <c r="W428" s="42">
        <f>IFERROR(IF(V428=0,"",ROUNDUP(V428/H428,0)*0.00937),"")</f>
        <v/>
      </c>
      <c r="X428" s="69" t="inlineStr"/>
      <c r="Y428" s="70" t="inlineStr"/>
      <c r="AC428" s="71" t="n"/>
      <c r="AZ428" s="300" t="inlineStr">
        <is>
          <t>КИ</t>
        </is>
      </c>
    </row>
    <row r="429" ht="27" customHeight="1">
      <c r="A429" s="64" t="inlineStr">
        <is>
          <t>SU002918</t>
        </is>
      </c>
      <c r="B429" s="64" t="inlineStr">
        <is>
          <t>P003637</t>
        </is>
      </c>
      <c r="C429" s="37" t="n">
        <v>4301031253</v>
      </c>
      <c r="D429" s="328" t="n">
        <v>4680115882096</v>
      </c>
      <c r="E429" s="642" t="n"/>
      <c r="F429" s="674" t="n">
        <v>0.6</v>
      </c>
      <c r="G429" s="38" t="n">
        <v>6</v>
      </c>
      <c r="H429" s="674" t="n">
        <v>3.6</v>
      </c>
      <c r="I429" s="674" t="n">
        <v>3.81</v>
      </c>
      <c r="J429" s="38" t="n">
        <v>120</v>
      </c>
      <c r="K429" s="39" t="inlineStr">
        <is>
          <t>СК2</t>
        </is>
      </c>
      <c r="L429" s="38" t="n">
        <v>60</v>
      </c>
      <c r="M429" s="910" t="inlineStr">
        <is>
          <t>В/к колбасы «Сервелат Запеченный» Фикс.вес 0,6 Вектор ТМ «Дугушка»</t>
        </is>
      </c>
      <c r="N429" s="676" t="n"/>
      <c r="O429" s="676" t="n"/>
      <c r="P429" s="676" t="n"/>
      <c r="Q429" s="642" t="n"/>
      <c r="R429" s="40" t="inlineStr"/>
      <c r="S429" s="40" t="inlineStr"/>
      <c r="T429" s="41" t="inlineStr">
        <is>
          <t>кг</t>
        </is>
      </c>
      <c r="U429" s="677" t="n">
        <v>0</v>
      </c>
      <c r="V429" s="678">
        <f>IFERROR(IF(U429="",0,CEILING((U429/$H429),1)*$H429),"")</f>
        <v/>
      </c>
      <c r="W429" s="42">
        <f>IFERROR(IF(V429=0,"",ROUNDUP(V429/H429,0)*0.00937),"")</f>
        <v/>
      </c>
      <c r="X429" s="69" t="inlineStr"/>
      <c r="Y429" s="70" t="inlineStr"/>
      <c r="AC429" s="71" t="n"/>
      <c r="AZ429" s="301" t="inlineStr">
        <is>
          <t>КИ</t>
        </is>
      </c>
    </row>
    <row r="430">
      <c r="A430" s="322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679" t="n"/>
      <c r="M430" s="680" t="inlineStr">
        <is>
          <t>Итого</t>
        </is>
      </c>
      <c r="N430" s="650" t="n"/>
      <c r="O430" s="650" t="n"/>
      <c r="P430" s="650" t="n"/>
      <c r="Q430" s="650" t="n"/>
      <c r="R430" s="650" t="n"/>
      <c r="S430" s="651" t="n"/>
      <c r="T430" s="43" t="inlineStr">
        <is>
          <t>кор</t>
        </is>
      </c>
      <c r="U430" s="681">
        <f>IFERROR(U424/H424,"0")+IFERROR(U425/H425,"0")+IFERROR(U426/H426,"0")+IFERROR(U427/H427,"0")+IFERROR(U428/H428,"0")+IFERROR(U429/H429,"0")</f>
        <v/>
      </c>
      <c r="V430" s="681">
        <f>IFERROR(V424/H424,"0")+IFERROR(V425/H425,"0")+IFERROR(V426/H426,"0")+IFERROR(V427/H427,"0")+IFERROR(V428/H428,"0")+IFERROR(V429/H429,"0")</f>
        <v/>
      </c>
      <c r="W430" s="681">
        <f>IFERROR(IF(W424="",0,W424),"0")+IFERROR(IF(W425="",0,W425),"0")+IFERROR(IF(W426="",0,W426),"0")+IFERROR(IF(W427="",0,W427),"0")+IFERROR(IF(W428="",0,W428),"0")+IFERROR(IF(W429="",0,W429),"0")</f>
        <v/>
      </c>
      <c r="X430" s="682" t="n"/>
      <c r="Y430" s="682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679" t="n"/>
      <c r="M431" s="680" t="inlineStr">
        <is>
          <t>Итого</t>
        </is>
      </c>
      <c r="N431" s="650" t="n"/>
      <c r="O431" s="650" t="n"/>
      <c r="P431" s="650" t="n"/>
      <c r="Q431" s="650" t="n"/>
      <c r="R431" s="650" t="n"/>
      <c r="S431" s="651" t="n"/>
      <c r="T431" s="43" t="inlineStr">
        <is>
          <t>кг</t>
        </is>
      </c>
      <c r="U431" s="681">
        <f>IFERROR(SUM(U424:U429),"0")</f>
        <v/>
      </c>
      <c r="V431" s="681">
        <f>IFERROR(SUM(V424:V429),"0")</f>
        <v/>
      </c>
      <c r="W431" s="43" t="n"/>
      <c r="X431" s="682" t="n"/>
      <c r="Y431" s="682" t="n"/>
    </row>
    <row r="432" ht="14.25" customHeight="1">
      <c r="A432" s="327" t="inlineStr">
        <is>
          <t>Сосиски</t>
        </is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327" t="n"/>
      <c r="Y432" s="327" t="n"/>
    </row>
    <row r="433" ht="16.5" customHeight="1">
      <c r="A433" s="64" t="inlineStr">
        <is>
          <t>SU002218</t>
        </is>
      </c>
      <c r="B433" s="64" t="inlineStr">
        <is>
          <t>P002854</t>
        </is>
      </c>
      <c r="C433" s="37" t="n">
        <v>4301051230</v>
      </c>
      <c r="D433" s="328" t="n">
        <v>4607091383409</v>
      </c>
      <c r="E433" s="642" t="n"/>
      <c r="F433" s="674" t="n">
        <v>1.3</v>
      </c>
      <c r="G433" s="38" t="n">
        <v>6</v>
      </c>
      <c r="H433" s="674" t="n">
        <v>7.8</v>
      </c>
      <c r="I433" s="674" t="n">
        <v>8.346</v>
      </c>
      <c r="J433" s="38" t="n">
        <v>56</v>
      </c>
      <c r="K433" s="39" t="inlineStr">
        <is>
          <t>СК2</t>
        </is>
      </c>
      <c r="L433" s="38" t="n">
        <v>45</v>
      </c>
      <c r="M433" s="911">
        <f>HYPERLINK("https://abi.ru/products/Охлажденные/Дугушка/Дугушка/Сосиски/P002854/","Сосиски Молочные Дугушки Дугушка Весовые П/а мгс Дугушка")</f>
        <v/>
      </c>
      <c r="N433" s="676" t="n"/>
      <c r="O433" s="676" t="n"/>
      <c r="P433" s="676" t="n"/>
      <c r="Q433" s="642" t="n"/>
      <c r="R433" s="40" t="inlineStr"/>
      <c r="S433" s="40" t="inlineStr"/>
      <c r="T433" s="41" t="inlineStr">
        <is>
          <t>кг</t>
        </is>
      </c>
      <c r="U433" s="677" t="n">
        <v>0</v>
      </c>
      <c r="V433" s="678">
        <f>IFERROR(IF(U433="",0,CEILING((U433/$H433),1)*$H433),"")</f>
        <v/>
      </c>
      <c r="W433" s="42">
        <f>IFERROR(IF(V433=0,"",ROUNDUP(V433/H433,0)*0.02175),"")</f>
        <v/>
      </c>
      <c r="X433" s="69" t="inlineStr"/>
      <c r="Y433" s="70" t="inlineStr"/>
      <c r="AC433" s="71" t="n"/>
      <c r="AZ433" s="302" t="inlineStr">
        <is>
          <t>КИ</t>
        </is>
      </c>
    </row>
    <row r="434" ht="16.5" customHeight="1">
      <c r="A434" s="64" t="inlineStr">
        <is>
          <t>SU002219</t>
        </is>
      </c>
      <c r="B434" s="64" t="inlineStr">
        <is>
          <t>P002855</t>
        </is>
      </c>
      <c r="C434" s="37" t="n">
        <v>4301051231</v>
      </c>
      <c r="D434" s="328" t="n">
        <v>4607091383416</v>
      </c>
      <c r="E434" s="642" t="n"/>
      <c r="F434" s="674" t="n">
        <v>1.3</v>
      </c>
      <c r="G434" s="38" t="n">
        <v>6</v>
      </c>
      <c r="H434" s="674" t="n">
        <v>7.8</v>
      </c>
      <c r="I434" s="674" t="n">
        <v>8.346</v>
      </c>
      <c r="J434" s="38" t="n">
        <v>56</v>
      </c>
      <c r="K434" s="39" t="inlineStr">
        <is>
          <t>СК2</t>
        </is>
      </c>
      <c r="L434" s="38" t="n">
        <v>45</v>
      </c>
      <c r="M434" s="912">
        <f>HYPERLINK("https://abi.ru/products/Охлажденные/Дугушка/Дугушка/Сосиски/P002855/","Сосиски Сливочные Дугушки Дугушка Весовые П/а мгс Дугушка")</f>
        <v/>
      </c>
      <c r="N434" s="676" t="n"/>
      <c r="O434" s="676" t="n"/>
      <c r="P434" s="676" t="n"/>
      <c r="Q434" s="642" t="n"/>
      <c r="R434" s="40" t="inlineStr"/>
      <c r="S434" s="40" t="inlineStr"/>
      <c r="T434" s="41" t="inlineStr">
        <is>
          <t>кг</t>
        </is>
      </c>
      <c r="U434" s="677" t="n">
        <v>0</v>
      </c>
      <c r="V434" s="678">
        <f>IFERROR(IF(U434="",0,CEILING((U434/$H434),1)*$H434),"")</f>
        <v/>
      </c>
      <c r="W434" s="42">
        <f>IFERROR(IF(V434=0,"",ROUNDUP(V434/H434,0)*0.02175),"")</f>
        <v/>
      </c>
      <c r="X434" s="69" t="inlineStr"/>
      <c r="Y434" s="70" t="inlineStr"/>
      <c r="AC434" s="71" t="n"/>
      <c r="AZ434" s="303" t="inlineStr">
        <is>
          <t>КИ</t>
        </is>
      </c>
    </row>
    <row r="435">
      <c r="A435" s="322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679" t="n"/>
      <c r="M435" s="680" t="inlineStr">
        <is>
          <t>Итого</t>
        </is>
      </c>
      <c r="N435" s="650" t="n"/>
      <c r="O435" s="650" t="n"/>
      <c r="P435" s="650" t="n"/>
      <c r="Q435" s="650" t="n"/>
      <c r="R435" s="650" t="n"/>
      <c r="S435" s="651" t="n"/>
      <c r="T435" s="43" t="inlineStr">
        <is>
          <t>кор</t>
        </is>
      </c>
      <c r="U435" s="681">
        <f>IFERROR(U433/H433,"0")+IFERROR(U434/H434,"0")</f>
        <v/>
      </c>
      <c r="V435" s="681">
        <f>IFERROR(V433/H433,"0")+IFERROR(V434/H434,"0")</f>
        <v/>
      </c>
      <c r="W435" s="681">
        <f>IFERROR(IF(W433="",0,W433),"0")+IFERROR(IF(W434="",0,W434),"0")</f>
        <v/>
      </c>
      <c r="X435" s="682" t="n"/>
      <c r="Y435" s="682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679" t="n"/>
      <c r="M436" s="680" t="inlineStr">
        <is>
          <t>Итого</t>
        </is>
      </c>
      <c r="N436" s="650" t="n"/>
      <c r="O436" s="650" t="n"/>
      <c r="P436" s="650" t="n"/>
      <c r="Q436" s="650" t="n"/>
      <c r="R436" s="650" t="n"/>
      <c r="S436" s="651" t="n"/>
      <c r="T436" s="43" t="inlineStr">
        <is>
          <t>кг</t>
        </is>
      </c>
      <c r="U436" s="681">
        <f>IFERROR(SUM(U433:U434),"0")</f>
        <v/>
      </c>
      <c r="V436" s="681">
        <f>IFERROR(SUM(V433:V434),"0")</f>
        <v/>
      </c>
      <c r="W436" s="43" t="n"/>
      <c r="X436" s="682" t="n"/>
      <c r="Y436" s="682" t="n"/>
    </row>
    <row r="437" ht="27.75" customHeight="1">
      <c r="A437" s="341" t="inlineStr">
        <is>
          <t>Зареченские</t>
        </is>
      </c>
      <c r="B437" s="673" t="n"/>
      <c r="C437" s="673" t="n"/>
      <c r="D437" s="673" t="n"/>
      <c r="E437" s="673" t="n"/>
      <c r="F437" s="673" t="n"/>
      <c r="G437" s="673" t="n"/>
      <c r="H437" s="673" t="n"/>
      <c r="I437" s="673" t="n"/>
      <c r="J437" s="673" t="n"/>
      <c r="K437" s="673" t="n"/>
      <c r="L437" s="673" t="n"/>
      <c r="M437" s="673" t="n"/>
      <c r="N437" s="673" t="n"/>
      <c r="O437" s="673" t="n"/>
      <c r="P437" s="673" t="n"/>
      <c r="Q437" s="673" t="n"/>
      <c r="R437" s="673" t="n"/>
      <c r="S437" s="673" t="n"/>
      <c r="T437" s="673" t="n"/>
      <c r="U437" s="673" t="n"/>
      <c r="V437" s="673" t="n"/>
      <c r="W437" s="673" t="n"/>
      <c r="X437" s="55" t="n"/>
      <c r="Y437" s="55" t="n"/>
    </row>
    <row r="438" ht="16.5" customHeight="1">
      <c r="A438" s="335" t="inlineStr">
        <is>
          <t>Зареченские продукты</t>
        </is>
      </c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335" t="n"/>
      <c r="Y438" s="335" t="n"/>
    </row>
    <row r="439" ht="14.25" customHeight="1">
      <c r="A439" s="327" t="inlineStr">
        <is>
          <t>Вареные колбасы</t>
        </is>
      </c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327" t="n"/>
      <c r="Y439" s="327" t="n"/>
    </row>
    <row r="440" ht="27" customHeight="1">
      <c r="A440" s="64" t="inlineStr">
        <is>
          <t>SU002807</t>
        </is>
      </c>
      <c r="B440" s="64" t="inlineStr">
        <is>
          <t>P003210</t>
        </is>
      </c>
      <c r="C440" s="37" t="n">
        <v>4301011434</v>
      </c>
      <c r="D440" s="328" t="n">
        <v>4680115881099</v>
      </c>
      <c r="E440" s="642" t="n"/>
      <c r="F440" s="674" t="n">
        <v>1.5</v>
      </c>
      <c r="G440" s="38" t="n">
        <v>8</v>
      </c>
      <c r="H440" s="674" t="n">
        <v>12</v>
      </c>
      <c r="I440" s="674" t="n">
        <v>12.48</v>
      </c>
      <c r="J440" s="38" t="n">
        <v>56</v>
      </c>
      <c r="K440" s="39" t="inlineStr">
        <is>
          <t>СК1</t>
        </is>
      </c>
      <c r="L440" s="38" t="n">
        <v>50</v>
      </c>
      <c r="M440" s="913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/>
      </c>
      <c r="N440" s="676" t="n"/>
      <c r="O440" s="676" t="n"/>
      <c r="P440" s="676" t="n"/>
      <c r="Q440" s="642" t="n"/>
      <c r="R440" s="40" t="inlineStr"/>
      <c r="S440" s="40" t="inlineStr"/>
      <c r="T440" s="41" t="inlineStr">
        <is>
          <t>кг</t>
        </is>
      </c>
      <c r="U440" s="677" t="n">
        <v>0</v>
      </c>
      <c r="V440" s="678">
        <f>IFERROR(IF(U440="",0,CEILING((U440/$H440),1)*$H440),"")</f>
        <v/>
      </c>
      <c r="W440" s="42">
        <f>IFERROR(IF(V440=0,"",ROUNDUP(V440/H440,0)*0.02175),"")</f>
        <v/>
      </c>
      <c r="X440" s="69" t="inlineStr"/>
      <c r="Y440" s="70" t="inlineStr"/>
      <c r="AC440" s="71" t="n"/>
      <c r="AZ440" s="304" t="inlineStr">
        <is>
          <t>КИ</t>
        </is>
      </c>
    </row>
    <row r="441" ht="27" customHeight="1">
      <c r="A441" s="64" t="inlineStr">
        <is>
          <t>SU002808</t>
        </is>
      </c>
      <c r="B441" s="64" t="inlineStr">
        <is>
          <t>P003214</t>
        </is>
      </c>
      <c r="C441" s="37" t="n">
        <v>4301011435</v>
      </c>
      <c r="D441" s="328" t="n">
        <v>4680115881150</v>
      </c>
      <c r="E441" s="642" t="n"/>
      <c r="F441" s="674" t="n">
        <v>1.5</v>
      </c>
      <c r="G441" s="38" t="n">
        <v>8</v>
      </c>
      <c r="H441" s="674" t="n">
        <v>12</v>
      </c>
      <c r="I441" s="674" t="n">
        <v>12.48</v>
      </c>
      <c r="J441" s="38" t="n">
        <v>56</v>
      </c>
      <c r="K441" s="39" t="inlineStr">
        <is>
          <t>СК1</t>
        </is>
      </c>
      <c r="L441" s="38" t="n">
        <v>50</v>
      </c>
      <c r="M441" s="914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/>
      </c>
      <c r="N441" s="676" t="n"/>
      <c r="O441" s="676" t="n"/>
      <c r="P441" s="676" t="n"/>
      <c r="Q441" s="642" t="n"/>
      <c r="R441" s="40" t="inlineStr"/>
      <c r="S441" s="40" t="inlineStr"/>
      <c r="T441" s="41" t="inlineStr">
        <is>
          <t>кг</t>
        </is>
      </c>
      <c r="U441" s="677" t="n">
        <v>60</v>
      </c>
      <c r="V441" s="678">
        <f>IFERROR(IF(U441="",0,CEILING((U441/$H441),1)*$H441),"")</f>
        <v/>
      </c>
      <c r="W441" s="42">
        <f>IFERROR(IF(V441=0,"",ROUNDUP(V441/H441,0)*0.02175),"")</f>
        <v/>
      </c>
      <c r="X441" s="69" t="inlineStr"/>
      <c r="Y441" s="70" t="inlineStr"/>
      <c r="AC441" s="71" t="n"/>
      <c r="AZ441" s="305" t="inlineStr">
        <is>
          <t>КИ</t>
        </is>
      </c>
    </row>
    <row r="442">
      <c r="A442" s="322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679" t="n"/>
      <c r="M442" s="680" t="inlineStr">
        <is>
          <t>Итого</t>
        </is>
      </c>
      <c r="N442" s="650" t="n"/>
      <c r="O442" s="650" t="n"/>
      <c r="P442" s="650" t="n"/>
      <c r="Q442" s="650" t="n"/>
      <c r="R442" s="650" t="n"/>
      <c r="S442" s="651" t="n"/>
      <c r="T442" s="43" t="inlineStr">
        <is>
          <t>кор</t>
        </is>
      </c>
      <c r="U442" s="681">
        <f>IFERROR(U440/H440,"0")+IFERROR(U441/H441,"0")</f>
        <v/>
      </c>
      <c r="V442" s="681">
        <f>IFERROR(V440/H440,"0")+IFERROR(V441/H441,"0")</f>
        <v/>
      </c>
      <c r="W442" s="681">
        <f>IFERROR(IF(W440="",0,W440),"0")+IFERROR(IF(W441="",0,W441),"0")</f>
        <v/>
      </c>
      <c r="X442" s="682" t="n"/>
      <c r="Y442" s="682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679" t="n"/>
      <c r="M443" s="680" t="inlineStr">
        <is>
          <t>Итого</t>
        </is>
      </c>
      <c r="N443" s="650" t="n"/>
      <c r="O443" s="650" t="n"/>
      <c r="P443" s="650" t="n"/>
      <c r="Q443" s="650" t="n"/>
      <c r="R443" s="650" t="n"/>
      <c r="S443" s="651" t="n"/>
      <c r="T443" s="43" t="inlineStr">
        <is>
          <t>кг</t>
        </is>
      </c>
      <c r="U443" s="681">
        <f>IFERROR(SUM(U440:U441),"0")</f>
        <v/>
      </c>
      <c r="V443" s="681">
        <f>IFERROR(SUM(V440:V441),"0")</f>
        <v/>
      </c>
      <c r="W443" s="43" t="n"/>
      <c r="X443" s="682" t="n"/>
      <c r="Y443" s="682" t="n"/>
    </row>
    <row r="444" ht="14.25" customHeight="1">
      <c r="A444" s="327" t="inlineStr">
        <is>
          <t>Ветчины</t>
        </is>
      </c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327" t="n"/>
      <c r="Y444" s="327" t="n"/>
    </row>
    <row r="445" ht="27" customHeight="1">
      <c r="A445" s="64" t="inlineStr">
        <is>
          <t>SU002811</t>
        </is>
      </c>
      <c r="B445" s="64" t="inlineStr">
        <is>
          <t>P003588</t>
        </is>
      </c>
      <c r="C445" s="37" t="n">
        <v>4301020260</v>
      </c>
      <c r="D445" s="328" t="n">
        <v>4640242180526</v>
      </c>
      <c r="E445" s="642" t="n"/>
      <c r="F445" s="674" t="n">
        <v>1.8</v>
      </c>
      <c r="G445" s="38" t="n">
        <v>6</v>
      </c>
      <c r="H445" s="674" t="n">
        <v>10.8</v>
      </c>
      <c r="I445" s="674" t="n">
        <v>11.28</v>
      </c>
      <c r="J445" s="38" t="n">
        <v>56</v>
      </c>
      <c r="K445" s="39" t="inlineStr">
        <is>
          <t>СК1</t>
        </is>
      </c>
      <c r="L445" s="38" t="n">
        <v>50</v>
      </c>
      <c r="M445" s="915" t="inlineStr">
        <is>
          <t>Ветчины «Нежная» Весовой п/а ТМ «Зареченские» большой батон</t>
        </is>
      </c>
      <c r="N445" s="676" t="n"/>
      <c r="O445" s="676" t="n"/>
      <c r="P445" s="676" t="n"/>
      <c r="Q445" s="642" t="n"/>
      <c r="R445" s="40" t="inlineStr"/>
      <c r="S445" s="40" t="inlineStr"/>
      <c r="T445" s="41" t="inlineStr">
        <is>
          <t>кг</t>
        </is>
      </c>
      <c r="U445" s="677" t="n">
        <v>0</v>
      </c>
      <c r="V445" s="678">
        <f>IFERROR(IF(U445="",0,CEILING((U445/$H445),1)*$H445),"")</f>
        <v/>
      </c>
      <c r="W445" s="42">
        <f>IFERROR(IF(V445=0,"",ROUNDUP(V445/H445,0)*0.02175),"")</f>
        <v/>
      </c>
      <c r="X445" s="69" t="inlineStr"/>
      <c r="Y445" s="70" t="inlineStr"/>
      <c r="AC445" s="71" t="n"/>
      <c r="AZ445" s="306" t="inlineStr">
        <is>
          <t>КИ</t>
        </is>
      </c>
    </row>
    <row r="446" ht="27" customHeight="1">
      <c r="A446" s="64" t="inlineStr">
        <is>
          <t>SU002811</t>
        </is>
      </c>
      <c r="B446" s="64" t="inlineStr">
        <is>
          <t>P003208</t>
        </is>
      </c>
      <c r="C446" s="37" t="n">
        <v>4301020231</v>
      </c>
      <c r="D446" s="328" t="n">
        <v>4680115881129</v>
      </c>
      <c r="E446" s="642" t="n"/>
      <c r="F446" s="674" t="n">
        <v>1.8</v>
      </c>
      <c r="G446" s="38" t="n">
        <v>6</v>
      </c>
      <c r="H446" s="674" t="n">
        <v>10.8</v>
      </c>
      <c r="I446" s="674" t="n">
        <v>11.28</v>
      </c>
      <c r="J446" s="38" t="n">
        <v>56</v>
      </c>
      <c r="K446" s="39" t="inlineStr">
        <is>
          <t>СК1</t>
        </is>
      </c>
      <c r="L446" s="38" t="n">
        <v>50</v>
      </c>
      <c r="M446" s="916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/>
      </c>
      <c r="N446" s="676" t="n"/>
      <c r="O446" s="676" t="n"/>
      <c r="P446" s="676" t="n"/>
      <c r="Q446" s="642" t="n"/>
      <c r="R446" s="40" t="inlineStr"/>
      <c r="S446" s="40" t="inlineStr"/>
      <c r="T446" s="41" t="inlineStr">
        <is>
          <t>кг</t>
        </is>
      </c>
      <c r="U446" s="677" t="n">
        <v>0</v>
      </c>
      <c r="V446" s="678">
        <f>IFERROR(IF(U446="",0,CEILING((U446/$H446),1)*$H446),"")</f>
        <v/>
      </c>
      <c r="W446" s="42">
        <f>IFERROR(IF(V446=0,"",ROUNDUP(V446/H446,0)*0.02175),"")</f>
        <v/>
      </c>
      <c r="X446" s="69" t="inlineStr"/>
      <c r="Y446" s="70" t="inlineStr"/>
      <c r="AC446" s="71" t="n"/>
      <c r="AZ446" s="307" t="inlineStr">
        <is>
          <t>КИ</t>
        </is>
      </c>
    </row>
    <row r="447" ht="16.5" customHeight="1">
      <c r="A447" s="64" t="inlineStr">
        <is>
          <t>SU002806</t>
        </is>
      </c>
      <c r="B447" s="64" t="inlineStr">
        <is>
          <t>P003207</t>
        </is>
      </c>
      <c r="C447" s="37" t="n">
        <v>4301020230</v>
      </c>
      <c r="D447" s="328" t="n">
        <v>4680115881112</v>
      </c>
      <c r="E447" s="642" t="n"/>
      <c r="F447" s="674" t="n">
        <v>1.35</v>
      </c>
      <c r="G447" s="38" t="n">
        <v>8</v>
      </c>
      <c r="H447" s="674" t="n">
        <v>10.8</v>
      </c>
      <c r="I447" s="674" t="n">
        <v>11.28</v>
      </c>
      <c r="J447" s="38" t="n">
        <v>56</v>
      </c>
      <c r="K447" s="39" t="inlineStr">
        <is>
          <t>СК1</t>
        </is>
      </c>
      <c r="L447" s="38" t="n">
        <v>50</v>
      </c>
      <c r="M447" s="917">
        <f>HYPERLINK("https://abi.ru/products/Охлажденные/Зареченские/Зареченские продукты/Ветчины/P003207/","Ветчины «Нежная» Весовой п/а ТМ «Зареченские»")</f>
        <v/>
      </c>
      <c r="N447" s="676" t="n"/>
      <c r="O447" s="676" t="n"/>
      <c r="P447" s="676" t="n"/>
      <c r="Q447" s="642" t="n"/>
      <c r="R447" s="40" t="inlineStr"/>
      <c r="S447" s="40" t="inlineStr"/>
      <c r="T447" s="41" t="inlineStr">
        <is>
          <t>кг</t>
        </is>
      </c>
      <c r="U447" s="677" t="n">
        <v>0</v>
      </c>
      <c r="V447" s="678">
        <f>IFERROR(IF(U447="",0,CEILING((U447/$H447),1)*$H447),"")</f>
        <v/>
      </c>
      <c r="W447" s="42">
        <f>IFERROR(IF(V447=0,"",ROUNDUP(V447/H447,0)*0.02175),"")</f>
        <v/>
      </c>
      <c r="X447" s="69" t="inlineStr"/>
      <c r="Y447" s="70" t="inlineStr"/>
      <c r="AC447" s="71" t="n"/>
      <c r="AZ447" s="308" t="inlineStr">
        <is>
          <t>КИ</t>
        </is>
      </c>
    </row>
    <row r="448">
      <c r="A448" s="322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679" t="n"/>
      <c r="M448" s="680" t="inlineStr">
        <is>
          <t>Итого</t>
        </is>
      </c>
      <c r="N448" s="650" t="n"/>
      <c r="O448" s="650" t="n"/>
      <c r="P448" s="650" t="n"/>
      <c r="Q448" s="650" t="n"/>
      <c r="R448" s="650" t="n"/>
      <c r="S448" s="651" t="n"/>
      <c r="T448" s="43" t="inlineStr">
        <is>
          <t>кор</t>
        </is>
      </c>
      <c r="U448" s="681">
        <f>IFERROR(U445/H445,"0")+IFERROR(U446/H446,"0")+IFERROR(U447/H447,"0")</f>
        <v/>
      </c>
      <c r="V448" s="681">
        <f>IFERROR(V445/H445,"0")+IFERROR(V446/H446,"0")+IFERROR(V447/H447,"0")</f>
        <v/>
      </c>
      <c r="W448" s="681">
        <f>IFERROR(IF(W445="",0,W445),"0")+IFERROR(IF(W446="",0,W446),"0")+IFERROR(IF(W447="",0,W447),"0")</f>
        <v/>
      </c>
      <c r="X448" s="682" t="n"/>
      <c r="Y448" s="682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679" t="n"/>
      <c r="M449" s="680" t="inlineStr">
        <is>
          <t>Итого</t>
        </is>
      </c>
      <c r="N449" s="650" t="n"/>
      <c r="O449" s="650" t="n"/>
      <c r="P449" s="650" t="n"/>
      <c r="Q449" s="650" t="n"/>
      <c r="R449" s="650" t="n"/>
      <c r="S449" s="651" t="n"/>
      <c r="T449" s="43" t="inlineStr">
        <is>
          <t>кг</t>
        </is>
      </c>
      <c r="U449" s="681">
        <f>IFERROR(SUM(U445:U447),"0")</f>
        <v/>
      </c>
      <c r="V449" s="681">
        <f>IFERROR(SUM(V445:V447),"0")</f>
        <v/>
      </c>
      <c r="W449" s="43" t="n"/>
      <c r="X449" s="682" t="n"/>
      <c r="Y449" s="682" t="n"/>
    </row>
    <row r="450" ht="14.25" customHeight="1">
      <c r="A450" s="327" t="inlineStr">
        <is>
          <t>Копченые колбасы</t>
        </is>
      </c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327" t="n"/>
      <c r="Y450" s="327" t="n"/>
    </row>
    <row r="451" ht="27" customHeight="1">
      <c r="A451" s="64" t="inlineStr">
        <is>
          <t>SU002805</t>
        </is>
      </c>
      <c r="B451" s="64" t="inlineStr">
        <is>
          <t>P003206</t>
        </is>
      </c>
      <c r="C451" s="37" t="n">
        <v>4301031192</v>
      </c>
      <c r="D451" s="328" t="n">
        <v>4680115881167</v>
      </c>
      <c r="E451" s="642" t="n"/>
      <c r="F451" s="674" t="n">
        <v>0.73</v>
      </c>
      <c r="G451" s="38" t="n">
        <v>6</v>
      </c>
      <c r="H451" s="674" t="n">
        <v>4.38</v>
      </c>
      <c r="I451" s="674" t="n">
        <v>4.64</v>
      </c>
      <c r="J451" s="38" t="n">
        <v>156</v>
      </c>
      <c r="K451" s="39" t="inlineStr">
        <is>
          <t>СК2</t>
        </is>
      </c>
      <c r="L451" s="38" t="n">
        <v>40</v>
      </c>
      <c r="M451" s="918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/>
      </c>
      <c r="N451" s="676" t="n"/>
      <c r="O451" s="676" t="n"/>
      <c r="P451" s="676" t="n"/>
      <c r="Q451" s="642" t="n"/>
      <c r="R451" s="40" t="inlineStr"/>
      <c r="S451" s="40" t="inlineStr"/>
      <c r="T451" s="41" t="inlineStr">
        <is>
          <t>кг</t>
        </is>
      </c>
      <c r="U451" s="677" t="n">
        <v>0</v>
      </c>
      <c r="V451" s="678">
        <f>IFERROR(IF(U451="",0,CEILING((U451/$H451),1)*$H451),"")</f>
        <v/>
      </c>
      <c r="W451" s="42">
        <f>IFERROR(IF(V451=0,"",ROUNDUP(V451/H451,0)*0.00753),"")</f>
        <v/>
      </c>
      <c r="X451" s="69" t="inlineStr"/>
      <c r="Y451" s="70" t="inlineStr"/>
      <c r="AC451" s="71" t="n"/>
      <c r="AZ451" s="309" t="inlineStr">
        <is>
          <t>КИ</t>
        </is>
      </c>
    </row>
    <row r="452" ht="27" customHeight="1">
      <c r="A452" s="64" t="inlineStr">
        <is>
          <t>SU002809</t>
        </is>
      </c>
      <c r="B452" s="64" t="inlineStr">
        <is>
          <t>P003586</t>
        </is>
      </c>
      <c r="C452" s="37" t="n">
        <v>4301031244</v>
      </c>
      <c r="D452" s="328" t="n">
        <v>4640242180595</v>
      </c>
      <c r="E452" s="642" t="n"/>
      <c r="F452" s="674" t="n">
        <v>0.7</v>
      </c>
      <c r="G452" s="38" t="n">
        <v>6</v>
      </c>
      <c r="H452" s="674" t="n">
        <v>4.2</v>
      </c>
      <c r="I452" s="674" t="n">
        <v>4.46</v>
      </c>
      <c r="J452" s="38" t="n">
        <v>156</v>
      </c>
      <c r="K452" s="39" t="inlineStr">
        <is>
          <t>СК2</t>
        </is>
      </c>
      <c r="L452" s="38" t="n">
        <v>40</v>
      </c>
      <c r="M452" s="919" t="inlineStr">
        <is>
          <t>В/к колбасы «Сервелат Рижский» НТУ Весовые Фиброуз в/у ТМ «Зареченские»</t>
        </is>
      </c>
      <c r="N452" s="676" t="n"/>
      <c r="O452" s="676" t="n"/>
      <c r="P452" s="676" t="n"/>
      <c r="Q452" s="642" t="n"/>
      <c r="R452" s="40" t="inlineStr"/>
      <c r="S452" s="40" t="inlineStr"/>
      <c r="T452" s="41" t="inlineStr">
        <is>
          <t>кг</t>
        </is>
      </c>
      <c r="U452" s="677" t="n">
        <v>0</v>
      </c>
      <c r="V452" s="678">
        <f>IFERROR(IF(U452="",0,CEILING((U452/$H452),1)*$H452),"")</f>
        <v/>
      </c>
      <c r="W452" s="42">
        <f>IFERROR(IF(V452=0,"",ROUNDUP(V452/H452,0)*0.00753),"")</f>
        <v/>
      </c>
      <c r="X452" s="69" t="inlineStr"/>
      <c r="Y452" s="70" t="inlineStr"/>
      <c r="AC452" s="71" t="n"/>
      <c r="AZ452" s="310" t="inlineStr">
        <is>
          <t>КИ</t>
        </is>
      </c>
    </row>
    <row r="453">
      <c r="A453" s="322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679" t="n"/>
      <c r="M453" s="680" t="inlineStr">
        <is>
          <t>Итого</t>
        </is>
      </c>
      <c r="N453" s="650" t="n"/>
      <c r="O453" s="650" t="n"/>
      <c r="P453" s="650" t="n"/>
      <c r="Q453" s="650" t="n"/>
      <c r="R453" s="650" t="n"/>
      <c r="S453" s="651" t="n"/>
      <c r="T453" s="43" t="inlineStr">
        <is>
          <t>кор</t>
        </is>
      </c>
      <c r="U453" s="681">
        <f>IFERROR(U451/H451,"0")+IFERROR(U452/H452,"0")</f>
        <v/>
      </c>
      <c r="V453" s="681">
        <f>IFERROR(V451/H451,"0")+IFERROR(V452/H452,"0")</f>
        <v/>
      </c>
      <c r="W453" s="681">
        <f>IFERROR(IF(W451="",0,W451),"0")+IFERROR(IF(W452="",0,W452),"0")</f>
        <v/>
      </c>
      <c r="X453" s="682" t="n"/>
      <c r="Y453" s="682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679" t="n"/>
      <c r="M454" s="680" t="inlineStr">
        <is>
          <t>Итого</t>
        </is>
      </c>
      <c r="N454" s="650" t="n"/>
      <c r="O454" s="650" t="n"/>
      <c r="P454" s="650" t="n"/>
      <c r="Q454" s="650" t="n"/>
      <c r="R454" s="650" t="n"/>
      <c r="S454" s="651" t="n"/>
      <c r="T454" s="43" t="inlineStr">
        <is>
          <t>кг</t>
        </is>
      </c>
      <c r="U454" s="681">
        <f>IFERROR(SUM(U451:U452),"0")</f>
        <v/>
      </c>
      <c r="V454" s="681">
        <f>IFERROR(SUM(V451:V452),"0")</f>
        <v/>
      </c>
      <c r="W454" s="43" t="n"/>
      <c r="X454" s="682" t="n"/>
      <c r="Y454" s="682" t="n"/>
    </row>
    <row r="455" ht="14.25" customHeight="1">
      <c r="A455" s="327" t="inlineStr">
        <is>
          <t>Сосиски</t>
        </is>
      </c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327" t="n"/>
      <c r="Y455" s="327" t="n"/>
    </row>
    <row r="456" ht="27" customHeight="1">
      <c r="A456" s="64" t="inlineStr">
        <is>
          <t>SU002803</t>
        </is>
      </c>
      <c r="B456" s="64" t="inlineStr">
        <is>
          <t>P003204</t>
        </is>
      </c>
      <c r="C456" s="37" t="n">
        <v>4301051381</v>
      </c>
      <c r="D456" s="328" t="n">
        <v>4680115881068</v>
      </c>
      <c r="E456" s="642" t="n"/>
      <c r="F456" s="674" t="n">
        <v>1.3</v>
      </c>
      <c r="G456" s="38" t="n">
        <v>6</v>
      </c>
      <c r="H456" s="674" t="n">
        <v>7.8</v>
      </c>
      <c r="I456" s="674" t="n">
        <v>8.279999999999999</v>
      </c>
      <c r="J456" s="38" t="n">
        <v>56</v>
      </c>
      <c r="K456" s="39" t="inlineStr">
        <is>
          <t>СК2</t>
        </is>
      </c>
      <c r="L456" s="38" t="n">
        <v>30</v>
      </c>
      <c r="M456" s="920">
        <f>HYPERLINK("https://abi.ru/products/Охлажденные/Зареченские/Зареченские продукты/Сосиски/P003204/","Сосиски «Сочные» Весовой п/а ТМ «Зареченские»")</f>
        <v/>
      </c>
      <c r="N456" s="676" t="n"/>
      <c r="O456" s="676" t="n"/>
      <c r="P456" s="676" t="n"/>
      <c r="Q456" s="642" t="n"/>
      <c r="R456" s="40" t="inlineStr"/>
      <c r="S456" s="40" t="inlineStr"/>
      <c r="T456" s="41" t="inlineStr">
        <is>
          <t>кг</t>
        </is>
      </c>
      <c r="U456" s="677" t="n">
        <v>0</v>
      </c>
      <c r="V456" s="678">
        <f>IFERROR(IF(U456="",0,CEILING((U456/$H456),1)*$H456),"")</f>
        <v/>
      </c>
      <c r="W456" s="42">
        <f>IFERROR(IF(V456=0,"",ROUNDUP(V456/H456,0)*0.02175),"")</f>
        <v/>
      </c>
      <c r="X456" s="69" t="inlineStr"/>
      <c r="Y456" s="70" t="inlineStr"/>
      <c r="AC456" s="71" t="n"/>
      <c r="AZ456" s="311" t="inlineStr">
        <is>
          <t>КИ</t>
        </is>
      </c>
    </row>
    <row r="457" ht="27" customHeight="1">
      <c r="A457" s="64" t="inlineStr">
        <is>
          <t>SU002804</t>
        </is>
      </c>
      <c r="B457" s="64" t="inlineStr">
        <is>
          <t>P003205</t>
        </is>
      </c>
      <c r="C457" s="37" t="n">
        <v>4301051382</v>
      </c>
      <c r="D457" s="328" t="n">
        <v>4680115881075</v>
      </c>
      <c r="E457" s="642" t="n"/>
      <c r="F457" s="674" t="n">
        <v>0.5</v>
      </c>
      <c r="G457" s="38" t="n">
        <v>6</v>
      </c>
      <c r="H457" s="674" t="n">
        <v>3</v>
      </c>
      <c r="I457" s="674" t="n">
        <v>3.2</v>
      </c>
      <c r="J457" s="38" t="n">
        <v>156</v>
      </c>
      <c r="K457" s="39" t="inlineStr">
        <is>
          <t>СК2</t>
        </is>
      </c>
      <c r="L457" s="38" t="n">
        <v>30</v>
      </c>
      <c r="M457" s="921">
        <f>HYPERLINK("https://abi.ru/products/Охлажденные/Зареченские/Зареченские продукты/Сосиски/P003205/","Сосиски «Сочные» Фикс.вес 0,5 п/а ТМ «Зареченские»")</f>
        <v/>
      </c>
      <c r="N457" s="676" t="n"/>
      <c r="O457" s="676" t="n"/>
      <c r="P457" s="676" t="n"/>
      <c r="Q457" s="642" t="n"/>
      <c r="R457" s="40" t="inlineStr"/>
      <c r="S457" s="40" t="inlineStr"/>
      <c r="T457" s="41" t="inlineStr">
        <is>
          <t>кг</t>
        </is>
      </c>
      <c r="U457" s="677" t="n">
        <v>0</v>
      </c>
      <c r="V457" s="678">
        <f>IFERROR(IF(U457="",0,CEILING((U457/$H457),1)*$H457),"")</f>
        <v/>
      </c>
      <c r="W457" s="42">
        <f>IFERROR(IF(V457=0,"",ROUNDUP(V457/H457,0)*0.00753),"")</f>
        <v/>
      </c>
      <c r="X457" s="69" t="inlineStr"/>
      <c r="Y457" s="70" t="inlineStr"/>
      <c r="AC457" s="71" t="n"/>
      <c r="AZ457" s="312" t="inlineStr">
        <is>
          <t>КИ</t>
        </is>
      </c>
    </row>
    <row r="458">
      <c r="A458" s="322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679" t="n"/>
      <c r="M458" s="680" t="inlineStr">
        <is>
          <t>Итого</t>
        </is>
      </c>
      <c r="N458" s="650" t="n"/>
      <c r="O458" s="650" t="n"/>
      <c r="P458" s="650" t="n"/>
      <c r="Q458" s="650" t="n"/>
      <c r="R458" s="650" t="n"/>
      <c r="S458" s="651" t="n"/>
      <c r="T458" s="43" t="inlineStr">
        <is>
          <t>кор</t>
        </is>
      </c>
      <c r="U458" s="681">
        <f>IFERROR(U456/H456,"0")+IFERROR(U457/H457,"0")</f>
        <v/>
      </c>
      <c r="V458" s="681">
        <f>IFERROR(V456/H456,"0")+IFERROR(V457/H457,"0")</f>
        <v/>
      </c>
      <c r="W458" s="681">
        <f>IFERROR(IF(W456="",0,W456),"0")+IFERROR(IF(W457="",0,W457),"0")</f>
        <v/>
      </c>
      <c r="X458" s="682" t="n"/>
      <c r="Y458" s="682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679" t="n"/>
      <c r="M459" s="680" t="inlineStr">
        <is>
          <t>Итого</t>
        </is>
      </c>
      <c r="N459" s="650" t="n"/>
      <c r="O459" s="650" t="n"/>
      <c r="P459" s="650" t="n"/>
      <c r="Q459" s="650" t="n"/>
      <c r="R459" s="650" t="n"/>
      <c r="S459" s="651" t="n"/>
      <c r="T459" s="43" t="inlineStr">
        <is>
          <t>кг</t>
        </is>
      </c>
      <c r="U459" s="681">
        <f>IFERROR(SUM(U456:U457),"0")</f>
        <v/>
      </c>
      <c r="V459" s="681">
        <f>IFERROR(SUM(V456:V457),"0")</f>
        <v/>
      </c>
      <c r="W459" s="43" t="n"/>
      <c r="X459" s="682" t="n"/>
      <c r="Y459" s="682" t="n"/>
    </row>
    <row r="460" ht="16.5" customHeight="1">
      <c r="A460" s="335" t="inlineStr">
        <is>
          <t>Выгодная цена</t>
        </is>
      </c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335" t="n"/>
      <c r="Y460" s="335" t="n"/>
    </row>
    <row r="461" ht="14.25" customHeight="1">
      <c r="A461" s="327" t="inlineStr">
        <is>
          <t>Копченые колбасы</t>
        </is>
      </c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327" t="n"/>
      <c r="Y461" s="327" t="n"/>
    </row>
    <row r="462" ht="27" customHeight="1">
      <c r="A462" s="64" t="inlineStr">
        <is>
          <t>SU002654</t>
        </is>
      </c>
      <c r="B462" s="64" t="inlineStr">
        <is>
          <t>P003020</t>
        </is>
      </c>
      <c r="C462" s="37" t="n">
        <v>4301031156</v>
      </c>
      <c r="D462" s="328" t="n">
        <v>4680115880856</v>
      </c>
      <c r="E462" s="642" t="n"/>
      <c r="F462" s="674" t="n">
        <v>0.7</v>
      </c>
      <c r="G462" s="38" t="n">
        <v>6</v>
      </c>
      <c r="H462" s="674" t="n">
        <v>4.2</v>
      </c>
      <c r="I462" s="674" t="n">
        <v>4.46</v>
      </c>
      <c r="J462" s="38" t="n">
        <v>156</v>
      </c>
      <c r="K462" s="39" t="inlineStr">
        <is>
          <t>СК2</t>
        </is>
      </c>
      <c r="L462" s="38" t="n">
        <v>35</v>
      </c>
      <c r="M462" s="922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/>
      </c>
      <c r="N462" s="676" t="n"/>
      <c r="O462" s="676" t="n"/>
      <c r="P462" s="676" t="n"/>
      <c r="Q462" s="642" t="n"/>
      <c r="R462" s="40" t="inlineStr"/>
      <c r="S462" s="40" t="inlineStr"/>
      <c r="T462" s="41" t="inlineStr">
        <is>
          <t>кг</t>
        </is>
      </c>
      <c r="U462" s="677" t="n">
        <v>0</v>
      </c>
      <c r="V462" s="678">
        <f>IFERROR(IF(U462="",0,CEILING((U462/$H462),1)*$H462),"")</f>
        <v/>
      </c>
      <c r="W462" s="42">
        <f>IFERROR(IF(V462=0,"",ROUNDUP(V462/H462,0)*0.00753),"")</f>
        <v/>
      </c>
      <c r="X462" s="69" t="inlineStr"/>
      <c r="Y462" s="70" t="inlineStr"/>
      <c r="AC462" s="71" t="n"/>
      <c r="AZ462" s="313" t="inlineStr">
        <is>
          <t>КИ</t>
        </is>
      </c>
    </row>
    <row r="463">
      <c r="A463" s="322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679" t="n"/>
      <c r="M463" s="680" t="inlineStr">
        <is>
          <t>Итого</t>
        </is>
      </c>
      <c r="N463" s="650" t="n"/>
      <c r="O463" s="650" t="n"/>
      <c r="P463" s="650" t="n"/>
      <c r="Q463" s="650" t="n"/>
      <c r="R463" s="650" t="n"/>
      <c r="S463" s="651" t="n"/>
      <c r="T463" s="43" t="inlineStr">
        <is>
          <t>кор</t>
        </is>
      </c>
      <c r="U463" s="681">
        <f>IFERROR(U462/H462,"0")</f>
        <v/>
      </c>
      <c r="V463" s="681">
        <f>IFERROR(V462/H462,"0")</f>
        <v/>
      </c>
      <c r="W463" s="681">
        <f>IFERROR(IF(W462="",0,W462),"0")</f>
        <v/>
      </c>
      <c r="X463" s="682" t="n"/>
      <c r="Y463" s="682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679" t="n"/>
      <c r="M464" s="680" t="inlineStr">
        <is>
          <t>Итого</t>
        </is>
      </c>
      <c r="N464" s="650" t="n"/>
      <c r="O464" s="650" t="n"/>
      <c r="P464" s="650" t="n"/>
      <c r="Q464" s="650" t="n"/>
      <c r="R464" s="650" t="n"/>
      <c r="S464" s="651" t="n"/>
      <c r="T464" s="43" t="inlineStr">
        <is>
          <t>кг</t>
        </is>
      </c>
      <c r="U464" s="681">
        <f>IFERROR(SUM(U462:U462),"0")</f>
        <v/>
      </c>
      <c r="V464" s="681">
        <f>IFERROR(SUM(V462:V462),"0")</f>
        <v/>
      </c>
      <c r="W464" s="43" t="n"/>
      <c r="X464" s="682" t="n"/>
      <c r="Y464" s="682" t="n"/>
    </row>
    <row r="465" ht="14.25" customHeight="1">
      <c r="A465" s="327" t="inlineStr">
        <is>
          <t>Сосиски</t>
        </is>
      </c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327" t="n"/>
      <c r="Y465" s="327" t="n"/>
    </row>
    <row r="466" ht="16.5" customHeight="1">
      <c r="A466" s="64" t="inlineStr">
        <is>
          <t>SU002655</t>
        </is>
      </c>
      <c r="B466" s="64" t="inlineStr">
        <is>
          <t>P003022</t>
        </is>
      </c>
      <c r="C466" s="37" t="n">
        <v>4301051310</v>
      </c>
      <c r="D466" s="328" t="n">
        <v>4680115880870</v>
      </c>
      <c r="E466" s="642" t="n"/>
      <c r="F466" s="674" t="n">
        <v>1.3</v>
      </c>
      <c r="G466" s="38" t="n">
        <v>6</v>
      </c>
      <c r="H466" s="674" t="n">
        <v>7.8</v>
      </c>
      <c r="I466" s="674" t="n">
        <v>8.364000000000001</v>
      </c>
      <c r="J466" s="38" t="n">
        <v>56</v>
      </c>
      <c r="K466" s="39" t="inlineStr">
        <is>
          <t>СК3</t>
        </is>
      </c>
      <c r="L466" s="38" t="n">
        <v>40</v>
      </c>
      <c r="M466" s="923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N466" s="676" t="n"/>
      <c r="O466" s="676" t="n"/>
      <c r="P466" s="676" t="n"/>
      <c r="Q466" s="642" t="n"/>
      <c r="R466" s="40" t="inlineStr"/>
      <c r="S466" s="40" t="inlineStr"/>
      <c r="T466" s="41" t="inlineStr">
        <is>
          <t>кг</t>
        </is>
      </c>
      <c r="U466" s="677" t="n">
        <v>0</v>
      </c>
      <c r="V466" s="678">
        <f>IFERROR(IF(U466="",0,CEILING((U466/$H466),1)*$H466),"")</f>
        <v/>
      </c>
      <c r="W466" s="42">
        <f>IFERROR(IF(V466=0,"",ROUNDUP(V466/H466,0)*0.02175),"")</f>
        <v/>
      </c>
      <c r="X466" s="69" t="inlineStr"/>
      <c r="Y466" s="70" t="inlineStr"/>
      <c r="AC466" s="71" t="n"/>
      <c r="AZ466" s="314" t="inlineStr">
        <is>
          <t>КИ</t>
        </is>
      </c>
    </row>
    <row r="467">
      <c r="A467" s="322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679" t="n"/>
      <c r="M467" s="680" t="inlineStr">
        <is>
          <t>Итого</t>
        </is>
      </c>
      <c r="N467" s="650" t="n"/>
      <c r="O467" s="650" t="n"/>
      <c r="P467" s="650" t="n"/>
      <c r="Q467" s="650" t="n"/>
      <c r="R467" s="650" t="n"/>
      <c r="S467" s="651" t="n"/>
      <c r="T467" s="43" t="inlineStr">
        <is>
          <t>кор</t>
        </is>
      </c>
      <c r="U467" s="681">
        <f>IFERROR(U466/H466,"0")</f>
        <v/>
      </c>
      <c r="V467" s="681">
        <f>IFERROR(V466/H466,"0")</f>
        <v/>
      </c>
      <c r="W467" s="681">
        <f>IFERROR(IF(W466="",0,W466),"0")</f>
        <v/>
      </c>
      <c r="X467" s="682" t="n"/>
      <c r="Y467" s="682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679" t="n"/>
      <c r="M468" s="680" t="inlineStr">
        <is>
          <t>Итого</t>
        </is>
      </c>
      <c r="N468" s="650" t="n"/>
      <c r="O468" s="650" t="n"/>
      <c r="P468" s="650" t="n"/>
      <c r="Q468" s="650" t="n"/>
      <c r="R468" s="650" t="n"/>
      <c r="S468" s="651" t="n"/>
      <c r="T468" s="43" t="inlineStr">
        <is>
          <t>кг</t>
        </is>
      </c>
      <c r="U468" s="681">
        <f>IFERROR(SUM(U466:U466),"0")</f>
        <v/>
      </c>
      <c r="V468" s="681">
        <f>IFERROR(SUM(V466:V466),"0")</f>
        <v/>
      </c>
      <c r="W468" s="43" t="n"/>
      <c r="X468" s="682" t="n"/>
      <c r="Y468" s="682" t="n"/>
    </row>
    <row r="469" ht="15" customHeight="1">
      <c r="A469" s="326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639" t="n"/>
      <c r="M469" s="924" t="inlineStr">
        <is>
          <t>ИТОГО НЕТТО</t>
        </is>
      </c>
      <c r="N469" s="633" t="n"/>
      <c r="O469" s="633" t="n"/>
      <c r="P469" s="633" t="n"/>
      <c r="Q469" s="633" t="n"/>
      <c r="R469" s="633" t="n"/>
      <c r="S469" s="634" t="n"/>
      <c r="T469" s="43" t="inlineStr">
        <is>
          <t>кг</t>
        </is>
      </c>
      <c r="U469" s="681">
        <f>IFERROR(U24+U33+U37+U41+U45+U52+U60+U80+U89+U101+U114+U122+U130+U138+U150+U156+U161+U168+U187+U192+U211+U215+U222+U231+U238+U244+U250+U261+U266+U271+U277+U281+U285+U298+U303+U307+U311+U319+U324+U331+U335+U342+U358+U365+U369+U375+U379+U385+U395+U399+U403+U417+U422+U431+U436+U443+U449+U454+U459+U464+U468,"0")</f>
        <v/>
      </c>
      <c r="V469" s="681">
        <f>IFERROR(V24+V33+V37+V41+V45+V52+V60+V80+V89+V101+V114+V122+V130+V138+V150+V156+V161+V168+V187+V192+V211+V215+V222+V231+V238+V244+V250+V261+V266+V271+V277+V281+V285+V298+V303+V307+V311+V319+V324+V331+V335+V342+V358+V365+V369+V375+V379+V385+V395+V399+V403+V417+V422+V431+V436+V443+V449+V454+V459+V464+V468,"0")</f>
        <v/>
      </c>
      <c r="W469" s="43" t="n"/>
      <c r="X469" s="682" t="n"/>
      <c r="Y469" s="682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639" t="n"/>
      <c r="M470" s="924" t="inlineStr">
        <is>
          <t>ИТОГО БРУТТО</t>
        </is>
      </c>
      <c r="N470" s="633" t="n"/>
      <c r="O470" s="633" t="n"/>
      <c r="P470" s="633" t="n"/>
      <c r="Q470" s="633" t="n"/>
      <c r="R470" s="633" t="n"/>
      <c r="S470" s="634" t="n"/>
      <c r="T470" s="43" t="inlineStr">
        <is>
          <t>кг</t>
        </is>
      </c>
      <c r="U470" s="681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110*I110/H110,"0")+IFERROR(U111*I111/H111,"0")+IFERROR(U112*I112/H112,"0")+IFERROR(U116*I116/H116,"0")+IFERROR(U117*I117/H117,"0")+IFERROR(U118*I118/H118,"0")+IFERROR(U119*I119/H119,"0")+IFERROR(U120*I120/H120,"0")+IFERROR(U125*I125/H125,"0")+IFERROR(U126*I126/H126,"0")+IFERROR(U127*I127/H127,"0")+IFERROR(U128*I128/H128,"0")+IFERROR(U134*I134/H134,"0")+IFERROR(U135*I135/H135,"0")+IFERROR(U136*I136/H136,"0")+IFERROR(U141*I141/H141,"0")+IFERROR(U142*I142/H142,"0")+IFERROR(U143*I143/H143,"0")+IFERROR(U144*I144/H144,"0")+IFERROR(U145*I145/H145,"0")+IFERROR(U146*I146/H146,"0")+IFERROR(U147*I147/H147,"0")+IFERROR(U148*I148/H148,"0")+IFERROR(U153*I153/H153,"0")+IFERROR(U154*I154/H154,"0")+IFERROR(U158*I158/H158,"0")+IFERROR(U159*I159/H159,"0")+IFERROR(U163*I163/H163,"0")+IFERROR(U164*I164/H164,"0")+IFERROR(U165*I165/H165,"0")+IFERROR(U166*I166/H166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189*I189/H189,"0")+IFERROR(U190*I190/H190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208*I208/H208,"0")+IFERROR(U209*I209/H209,"0")+IFERROR(U213*I213/H213,"0")+IFERROR(U217*I217/H217,"0")+IFERROR(U218*I218/H218,"0")+IFERROR(U219*I219/H219,"0")+IFERROR(U220*I220/H220,"0")+IFERROR(U224*I224/H224,"0")+IFERROR(U225*I225/H225,"0")+IFERROR(U226*I226/H226,"0")+IFERROR(U227*I227/H227,"0")+IFERROR(U228*I228/H228,"0")+IFERROR(U229*I229/H229,"0")+IFERROR(U233*I233/H233,"0")+IFERROR(U234*I234/H234,"0")+IFERROR(U235*I235/H235,"0")+IFERROR(U236*I236/H236,"0")+IFERROR(U240*I240/H240,"0")+IFERROR(U241*I241/H241,"0")+IFERROR(U242*I242/H242,"0")+IFERROR(U246*I246/H246,"0")+IFERROR(U247*I247/H247,"0")+IFERROR(U248*I248/H248,"0")+IFERROR(U253*I253/H253,"0")+IFERROR(U254*I254/H254,"0")+IFERROR(U255*I255/H255,"0")+IFERROR(U256*I256/H256,"0")+IFERROR(U257*I257/H257,"0")+IFERROR(U258*I258/H258,"0")+IFERROR(U259*I259/H259,"0")+IFERROR(U263*I263/H263,"0")+IFERROR(U264*I264/H264,"0")+IFERROR(U269*I269/H269,"0")+IFERROR(U273*I273/H273,"0")+IFERROR(U274*I274/H274,"0")+IFERROR(U275*I275/H275,"0")+IFERROR(U279*I279/H279,"0")+IFERROR(U283*I283/H283,"0")+IFERROR(U289*I289/H289,"0")+IFERROR(U290*I290/H290,"0")+IFERROR(U291*I291/H291,"0")+IFERROR(U292*I292/H292,"0")+IFERROR(U293*I293/H293,"0")+IFERROR(U294*I294/H294,"0")+IFERROR(U295*I295/H295,"0")+IFERROR(U296*I296/H296,"0")+IFERROR(U300*I300/H300,"0")+IFERROR(U301*I301/H301,"0")+IFERROR(U305*I305/H305,"0")+IFERROR(U309*I309/H309,"0")+IFERROR(U314*I314/H314,"0")+IFERROR(U315*I315/H315,"0")+IFERROR(U316*I316/H316,"0")+IFERROR(U317*I317/H317,"0")+IFERROR(U321*I321/H321,"0")+IFERROR(U322*I322/H322,"0")+IFERROR(U326*I326/H326,"0")+IFERROR(U327*I327/H327,"0")+IFERROR(U328*I328/H328,"0")+IFERROR(U329*I329/H329,"0")+IFERROR(U333*I333/H333,"0")+IFERROR(U339*I339/H339,"0")+IFERROR(U340*I340/H340,"0")+IFERROR(U344*I344/H344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360*I360/H360,"0")+IFERROR(U361*I361/H361,"0")+IFERROR(U362*I362/H362,"0")+IFERROR(U363*I363/H363,"0")+IFERROR(U367*I367/H367,"0")+IFERROR(U371*I371/H371,"0")+IFERROR(U372*I372/H372,"0")+IFERROR(U373*I373/H373,"0")+IFERROR(U377*I377/H377,"0")+IFERROR(U382*I382/H382,"0")+IFERROR(U383*I383/H383,"0")+IFERROR(U387*I387/H387,"0")+IFERROR(U388*I388/H388,"0")+IFERROR(U389*I389/H389,"0")+IFERROR(U390*I390/H390,"0")+IFERROR(U391*I391/H391,"0")+IFERROR(U392*I392/H392,"0")+IFERROR(U393*I393/H393,"0")+IFERROR(U397*I397/H397,"0")+IFERROR(U401*I401/H401,"0")+IFERROR(U407*I407/H407,"0")+IFERROR(U408*I408/H408,"0")+IFERROR(U409*I409/H409,"0")+IFERROR(U410*I410/H410,"0")+IFERROR(U411*I411/H411,"0")+IFERROR(U412*I412/H412,"0")+IFERROR(U413*I413/H413,"0")+IFERROR(U414*I414/H414,"0")+IFERROR(U415*I415/H415,"0")+IFERROR(U419*I419/H419,"0")+IFERROR(U420*I420/H420,"0")+IFERROR(U424*I424/H424,"0")+IFERROR(U425*I425/H425,"0")+IFERROR(U426*I426/H426,"0")+IFERROR(U427*I427/H427,"0")+IFERROR(U428*I428/H428,"0")+IFERROR(U429*I429/H429,"0")+IFERROR(U433*I433/H433,"0")+IFERROR(U434*I434/H434,"0")+IFERROR(U440*I440/H440,"0")+IFERROR(U441*I441/H441,"0")+IFERROR(U445*I445/H445,"0")+IFERROR(U446*I446/H446,"0")+IFERROR(U447*I447/H447,"0")+IFERROR(U451*I451/H451,"0")+IFERROR(U452*I452/H452,"0")+IFERROR(U456*I456/H456,"0")+IFERROR(U457*I457/H457,"0")+IFERROR(U462*I462/H462,"0")+IFERROR(U466*I466/H466,"0"),"0")</f>
        <v/>
      </c>
      <c r="V470" s="681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110*I110/H110,"0")+IFERROR(V111*I111/H111,"0")+IFERROR(V112*I112/H112,"0")+IFERROR(V116*I116/H116,"0")+IFERROR(V117*I117/H117,"0")+IFERROR(V118*I118/H118,"0")+IFERROR(V119*I119/H119,"0")+IFERROR(V120*I120/H120,"0")+IFERROR(V125*I125/H125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189*I189/H189,"0")+IFERROR(V190*I190/H190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213*I213/H213,"0")+IFERROR(V217*I217/H217,"0")+IFERROR(V218*I218/H218,"0")+IFERROR(V219*I219/H219,"0")+IFERROR(V220*I220/H220,"0")+IFERROR(V224*I224/H224,"0")+IFERROR(V225*I225/H225,"0")+IFERROR(V226*I226/H226,"0")+IFERROR(V227*I227/H227,"0")+IFERROR(V228*I228/H228,"0")+IFERROR(V229*I229/H229,"0")+IFERROR(V233*I233/H233,"0")+IFERROR(V234*I234/H234,"0")+IFERROR(V235*I235/H235,"0")+IFERROR(V236*I236/H236,"0")+IFERROR(V240*I240/H240,"0")+IFERROR(V241*I241/H241,"0")+IFERROR(V242*I242/H242,"0")+IFERROR(V246*I246/H246,"0")+IFERROR(V247*I247/H247,"0")+IFERROR(V248*I248/H248,"0")+IFERROR(V253*I253/H253,"0")+IFERROR(V254*I254/H254,"0")+IFERROR(V255*I255/H255,"0")+IFERROR(V256*I256/H256,"0")+IFERROR(V257*I257/H257,"0")+IFERROR(V258*I258/H258,"0")+IFERROR(V259*I259/H259,"0")+IFERROR(V263*I263/H263,"0")+IFERROR(V264*I264/H264,"0")+IFERROR(V269*I269/H269,"0")+IFERROR(V273*I273/H273,"0")+IFERROR(V274*I274/H274,"0")+IFERROR(V275*I275/H275,"0")+IFERROR(V279*I279/H279,"0")+IFERROR(V283*I283/H283,"0")+IFERROR(V289*I289/H289,"0")+IFERROR(V290*I290/H290,"0")+IFERROR(V291*I291/H291,"0")+IFERROR(V292*I292/H292,"0")+IFERROR(V293*I293/H293,"0")+IFERROR(V294*I294/H294,"0")+IFERROR(V295*I295/H295,"0")+IFERROR(V296*I296/H296,"0")+IFERROR(V300*I300/H300,"0")+IFERROR(V301*I301/H301,"0")+IFERROR(V305*I305/H305,"0")+IFERROR(V309*I309/H309,"0")+IFERROR(V314*I314/H314,"0")+IFERROR(V315*I315/H315,"0")+IFERROR(V316*I316/H316,"0")+IFERROR(V317*I317/H317,"0")+IFERROR(V321*I321/H321,"0")+IFERROR(V322*I322/H322,"0")+IFERROR(V326*I326/H326,"0")+IFERROR(V327*I327/H327,"0")+IFERROR(V328*I328/H328,"0")+IFERROR(V329*I329/H329,"0")+IFERROR(V333*I333/H333,"0")+IFERROR(V339*I339/H339,"0")+IFERROR(V340*I340/H340,"0")+IFERROR(V344*I344/H344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360*I360/H360,"0")+IFERROR(V361*I361/H361,"0")+IFERROR(V362*I362/H362,"0")+IFERROR(V363*I363/H363,"0")+IFERROR(V367*I367/H367,"0")+IFERROR(V371*I371/H371,"0")+IFERROR(V372*I372/H372,"0")+IFERROR(V373*I373/H373,"0")+IFERROR(V377*I377/H377,"0")+IFERROR(V382*I382/H382,"0")+IFERROR(V383*I383/H383,"0")+IFERROR(V387*I387/H387,"0")+IFERROR(V388*I388/H388,"0")+IFERROR(V389*I389/H389,"0")+IFERROR(V390*I390/H390,"0")+IFERROR(V391*I391/H391,"0")+IFERROR(V392*I392/H392,"0")+IFERROR(V393*I393/H393,"0")+IFERROR(V397*I397/H397,"0")+IFERROR(V401*I401/H401,"0")+IFERROR(V407*I407/H407,"0")+IFERROR(V408*I408/H408,"0")+IFERROR(V409*I409/H409,"0")+IFERROR(V410*I410/H410,"0")+IFERROR(V411*I411/H411,"0")+IFERROR(V412*I412/H412,"0")+IFERROR(V413*I413/H413,"0")+IFERROR(V414*I414/H414,"0")+IFERROR(V415*I415/H415,"0")+IFERROR(V419*I419/H419,"0")+IFERROR(V420*I420/H420,"0")+IFERROR(V424*I424/H424,"0")+IFERROR(V425*I425/H425,"0")+IFERROR(V426*I426/H426,"0")+IFERROR(V427*I427/H427,"0")+IFERROR(V428*I428/H428,"0")+IFERROR(V429*I429/H429,"0")+IFERROR(V433*I433/H433,"0")+IFERROR(V434*I434/H434,"0")+IFERROR(V440*I440/H440,"0")+IFERROR(V441*I441/H441,"0")+IFERROR(V445*I445/H445,"0")+IFERROR(V446*I446/H446,"0")+IFERROR(V447*I447/H447,"0")+IFERROR(V451*I451/H451,"0")+IFERROR(V452*I452/H452,"0")+IFERROR(V456*I456/H456,"0")+IFERROR(V457*I457/H457,"0")+IFERROR(V462*I462/H462,"0")+IFERROR(V466*I466/H466,"0"),"0")</f>
        <v/>
      </c>
      <c r="W470" s="43" t="n"/>
      <c r="X470" s="682" t="n"/>
      <c r="Y470" s="682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639" t="n"/>
      <c r="M471" s="924" t="inlineStr">
        <is>
          <t>Кол-во паллет</t>
        </is>
      </c>
      <c r="N471" s="633" t="n"/>
      <c r="O471" s="633" t="n"/>
      <c r="P471" s="633" t="n"/>
      <c r="Q471" s="633" t="n"/>
      <c r="R471" s="633" t="n"/>
      <c r="S471" s="634" t="n"/>
      <c r="T471" s="43" t="inlineStr">
        <is>
          <t>шт</t>
        </is>
      </c>
      <c r="U471" s="45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78*(U63:U78/H63:H78)),"0")+IFERROR(SUMPRODUCT(1/J82:J87*(U82:U87/H82:H87)),"0")+IFERROR(SUMPRODUCT(1/J91:J99*(U91:U99/H91:H99)),"0")+IFERROR(SUMPRODUCT(1/J103:J112*(U103:U112/H103:H112)),"0")+IFERROR(SUMPRODUCT(1/J116:J120*(U116:U120/H116:H120)),"0")+IFERROR(SUMPRODUCT(1/J125:J128*(U125:U128/H125:H128)),"0")+IFERROR(SUMPRODUCT(1/J134:J136*(U134:U136/H134:H136)),"0")+IFERROR(SUMPRODUCT(1/J141:J148*(U141:U148/H141:H148)),"0")+IFERROR(SUMPRODUCT(1/J153:J154*(U153:U154/H153:H154)),"0")+IFERROR(SUMPRODUCT(1/J158:J159*(U158:U159/H158:H159)),"0")+IFERROR(SUMPRODUCT(1/J163:J166*(U163:U166/H163:H166)),"0")+IFERROR(SUMPRODUCT(1/J170:J185*(U170:U185/H170:H185)),"0")+IFERROR(SUMPRODUCT(1/J189:J190*(U189:U190/H189:H190)),"0")+IFERROR(SUMPRODUCT(1/J195:J209*(U195:U209/H195:H209)),"0")+IFERROR(SUMPRODUCT(1/J213:J213*(U213:U213/H213:H213)),"0")+IFERROR(SUMPRODUCT(1/J217:J220*(U217:U220/H217:H220)),"0")+IFERROR(SUMPRODUCT(1/J224:J229*(U224:U229/H224:H229)),"0")+IFERROR(SUMPRODUCT(1/J233:J236*(U233:U236/H233:H236)),"0")+IFERROR(SUMPRODUCT(1/J240:J242*(U240:U242/H240:H242)),"0")+IFERROR(SUMPRODUCT(1/J246:J248*(U246:U248/H246:H248)),"0")+IFERROR(SUMPRODUCT(1/J253:J259*(U253:U259/H253:H259)),"0")+IFERROR(SUMPRODUCT(1/J263:J264*(U263:U264/H263:H264)),"0")+IFERROR(SUMPRODUCT(1/J269:J269*(U269:U269/H269:H269)),"0")+IFERROR(SUMPRODUCT(1/J273:J275*(U273:U275/H273:H275)),"0")+IFERROR(SUMPRODUCT(1/J279:J279*(U279:U279/H279:H279)),"0")+IFERROR(SUMPRODUCT(1/J283:J283*(U283:U283/H283:H283)),"0")+IFERROR(SUMPRODUCT(1/J289:J296*(U289:U296/H289:H296)),"0")+IFERROR(SUMPRODUCT(1/J300:J301*(U300:U301/H300:H301)),"0")+IFERROR(SUMPRODUCT(1/J305:J305*(U305:U305/H305:H305)),"0")+IFERROR(SUMPRODUCT(1/J309:J309*(U309:U309/H309:H309)),"0")+IFERROR(SUMPRODUCT(1/J314:J317*(U314:U317/H314:H317)),"0")+IFERROR(SUMPRODUCT(1/J321:J322*(U321:U322/H321:H322)),"0")+IFERROR(SUMPRODUCT(1/J326:J329*(U326:U329/H326:H329)),"0")+IFERROR(SUMPRODUCT(1/J333:J333*(U333:U333/H333:H333)),"0")+IFERROR(SUMPRODUCT(1/J339:J340*(U339:U340/H339:H340)),"0")+IFERROR(SUMPRODUCT(1/J344:J356*(U344:U356/H344:H356)),"0")+IFERROR(SUMPRODUCT(1/J360:J363*(U360:U363/H360:H363)),"0")+IFERROR(SUMPRODUCT(1/J367:J367*(U367:U367/H367:H367)),"0")+IFERROR(SUMPRODUCT(1/J371:J373*(U371:U373/H371:H373)),"0")+IFERROR(SUMPRODUCT(1/J377:J377*(U377:U377/H377:H377)),"0")+IFERROR(SUMPRODUCT(1/J382:J383*(U382:U383/H382:H383)),"0")+IFERROR(SUMPRODUCT(1/J387:J393*(U387:U393/H387:H393)),"0")+IFERROR(SUMPRODUCT(1/J397:J397*(U397:U397/H397:H397)),"0")+IFERROR(SUMPRODUCT(1/J401:J401*(U401:U401/H401:H401)),"0")+IFERROR(SUMPRODUCT(1/J407:J415*(U407:U415/H407:H415)),"0")+IFERROR(SUMPRODUCT(1/J419:J420*(U419:U420/H419:H420)),"0")+IFERROR(SUMPRODUCT(1/J424:J429*(U424:U429/H424:H429)),"0")+IFERROR(SUMPRODUCT(1/J433:J434*(U433:U434/H433:H434)),"0")+IFERROR(SUMPRODUCT(1/J440:J441*(U440:U441/H440:H441)),"0")+IFERROR(SUMPRODUCT(1/J445:J447*(U445:U447/H445:H447)),"0")+IFERROR(SUMPRODUCT(1/J451:J452*(U451:U452/H451:H452)),"0")+IFERROR(SUMPRODUCT(1/J456:J457*(U456:U457/H456:H457)),"0")+IFERROR(SUMPRODUCT(1/J462:J462*(U462:U462/H462:H462)),"0")+IFERROR(SUMPRODUCT(1/J466:J466*(U466:U466/H466:H466)),"0"),0)</f>
        <v/>
      </c>
      <c r="V471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87*(V82:V87/H82:H87)),"0")+IFERROR(SUMPRODUCT(1/J91:J99*(V91:V99/H91:H99)),"0")+IFERROR(SUMPRODUCT(1/J103:J112*(V103:V112/H103:H112)),"0")+IFERROR(SUMPRODUCT(1/J116:J120*(V116:V120/H116:H120)),"0")+IFERROR(SUMPRODUCT(1/J125:J128*(V125:V128/H125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185*(V170:V185/H170:H185)),"0")+IFERROR(SUMPRODUCT(1/J189:J190*(V189:V190/H189:H190)),"0")+IFERROR(SUMPRODUCT(1/J195:J209*(V195:V209/H195:H209)),"0")+IFERROR(SUMPRODUCT(1/J213:J213*(V213:V213/H213:H213)),"0")+IFERROR(SUMPRODUCT(1/J217:J220*(V217:V220/H217:H220)),"0")+IFERROR(SUMPRODUCT(1/J224:J229*(V224:V229/H224:H229)),"0")+IFERROR(SUMPRODUCT(1/J233:J236*(V233:V236/H233:H236)),"0")+IFERROR(SUMPRODUCT(1/J240:J242*(V240:V242/H240:H242)),"0")+IFERROR(SUMPRODUCT(1/J246:J248*(V246:V248/H246:H248)),"0")+IFERROR(SUMPRODUCT(1/J253:J259*(V253:V259/H253:H259)),"0")+IFERROR(SUMPRODUCT(1/J263:J264*(V263:V264/H263:H264)),"0")+IFERROR(SUMPRODUCT(1/J269:J269*(V269:V269/H269:H269)),"0")+IFERROR(SUMPRODUCT(1/J273:J275*(V273:V275/H273:H275)),"0")+IFERROR(SUMPRODUCT(1/J279:J279*(V279:V279/H279:H279)),"0")+IFERROR(SUMPRODUCT(1/J283:J283*(V283:V283/H283:H283)),"0")+IFERROR(SUMPRODUCT(1/J289:J296*(V289:V296/H289:H296)),"0")+IFERROR(SUMPRODUCT(1/J300:J301*(V300:V301/H300:H301)),"0")+IFERROR(SUMPRODUCT(1/J305:J305*(V305:V305/H305:H305)),"0")+IFERROR(SUMPRODUCT(1/J309:J309*(V309:V309/H309:H309)),"0")+IFERROR(SUMPRODUCT(1/J314:J317*(V314:V317/H314:H317)),"0")+IFERROR(SUMPRODUCT(1/J321:J322*(V321:V322/H321:H322)),"0")+IFERROR(SUMPRODUCT(1/J326:J329*(V326:V329/H326:H329)),"0")+IFERROR(SUMPRODUCT(1/J333:J333*(V333:V333/H333:H333)),"0")+IFERROR(SUMPRODUCT(1/J339:J340*(V339:V340/H339:H340)),"0")+IFERROR(SUMPRODUCT(1/J344:J356*(V344:V356/H344:H356)),"0")+IFERROR(SUMPRODUCT(1/J360:J363*(V360:V363/H360:H363)),"0")+IFERROR(SUMPRODUCT(1/J367:J367*(V367:V367/H367:H367)),"0")+IFERROR(SUMPRODUCT(1/J371:J373*(V371:V373/H371:H373)),"0")+IFERROR(SUMPRODUCT(1/J377:J377*(V377:V377/H377:H377)),"0")+IFERROR(SUMPRODUCT(1/J382:J383*(V382:V383/H382:H383)),"0")+IFERROR(SUMPRODUCT(1/J387:J393*(V387:V393/H387:H393)),"0")+IFERROR(SUMPRODUCT(1/J397:J397*(V397:V397/H397:H397)),"0")+IFERROR(SUMPRODUCT(1/J401:J401*(V401:V401/H401:H401)),"0")+IFERROR(SUMPRODUCT(1/J407:J415*(V407:V415/H407:H415)),"0")+IFERROR(SUMPRODUCT(1/J419:J420*(V419:V420/H419:H420)),"0")+IFERROR(SUMPRODUCT(1/J424:J429*(V424:V429/H424:H429)),"0")+IFERROR(SUMPRODUCT(1/J433:J434*(V433:V434/H433:H434)),"0")+IFERROR(SUMPRODUCT(1/J440:J441*(V440:V441/H440:H441)),"0")+IFERROR(SUMPRODUCT(1/J445:J447*(V445:V447/H445:H447)),"0")+IFERROR(SUMPRODUCT(1/J451:J452*(V451:V452/H451:H452)),"0")+IFERROR(SUMPRODUCT(1/J456:J457*(V456:V457/H456:H457)),"0")+IFERROR(SUMPRODUCT(1/J462:J462*(V462:V462/H462:H462)),"0")+IFERROR(SUMPRODUCT(1/J466:J466*(V466:V466/H466:H466)),"0"),0)</f>
        <v/>
      </c>
      <c r="W471" s="43" t="n"/>
      <c r="X471" s="682" t="n"/>
      <c r="Y471" s="682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639" t="n"/>
      <c r="M472" s="924" t="inlineStr">
        <is>
          <t>Вес брутто  с паллетами</t>
        </is>
      </c>
      <c r="N472" s="633" t="n"/>
      <c r="O472" s="633" t="n"/>
      <c r="P472" s="633" t="n"/>
      <c r="Q472" s="633" t="n"/>
      <c r="R472" s="633" t="n"/>
      <c r="S472" s="634" t="n"/>
      <c r="T472" s="43" t="inlineStr">
        <is>
          <t>кг</t>
        </is>
      </c>
      <c r="U472" s="681">
        <f>GrossWeightTotal+PalletQtyTotal*25</f>
        <v/>
      </c>
      <c r="V472" s="681">
        <f>GrossWeightTotalR+PalletQtyTotalR*25</f>
        <v/>
      </c>
      <c r="W472" s="43" t="n"/>
      <c r="X472" s="682" t="n"/>
      <c r="Y472" s="682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639" t="n"/>
      <c r="M473" s="924" t="inlineStr">
        <is>
          <t>Кол-во коробок</t>
        </is>
      </c>
      <c r="N473" s="633" t="n"/>
      <c r="O473" s="633" t="n"/>
      <c r="P473" s="633" t="n"/>
      <c r="Q473" s="633" t="n"/>
      <c r="R473" s="633" t="n"/>
      <c r="S473" s="634" t="n"/>
      <c r="T473" s="43" t="inlineStr">
        <is>
          <t>шт</t>
        </is>
      </c>
      <c r="U473" s="681">
        <f>IFERROR(U23+U32+U36+U40+U44+U51+U59+U79+U88+U100+U113+U121+U129+U137+U149+U155+U160+U167+U186+U191+U210+U214+U221+U230+U237+U243+U249+U260+U265+U270+U276+U280+U284+U297+U302+U306+U310+U318+U323+U330+U334+U341+U357+U364+U368+U374+U378+U384+U394+U398+U402+U416+U421+U430+U435+U442+U448+U453+U458+U463+U467,"0")</f>
        <v/>
      </c>
      <c r="V473" s="681">
        <f>IFERROR(V23+V32+V36+V40+V44+V51+V59+V79+V88+V100+V113+V121+V129+V137+V149+V155+V160+V167+V186+V191+V210+V214+V221+V230+V237+V243+V249+V260+V265+V270+V276+V280+V284+V297+V302+V306+V310+V318+V323+V330+V334+V341+V357+V364+V368+V374+V378+V384+V394+V398+V402+V416+V421+V430+V435+V442+V448+V453+V458+V463+V467,"0")</f>
        <v/>
      </c>
      <c r="W473" s="43" t="n"/>
      <c r="X473" s="682" t="n"/>
      <c r="Y473" s="682" t="n"/>
    </row>
    <row r="474" ht="14.2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639" t="n"/>
      <c r="M474" s="924" t="inlineStr">
        <is>
          <t>Объем заказа</t>
        </is>
      </c>
      <c r="N474" s="633" t="n"/>
      <c r="O474" s="633" t="n"/>
      <c r="P474" s="633" t="n"/>
      <c r="Q474" s="633" t="n"/>
      <c r="R474" s="633" t="n"/>
      <c r="S474" s="634" t="n"/>
      <c r="T474" s="46" t="inlineStr">
        <is>
          <t>м3</t>
        </is>
      </c>
      <c r="U474" s="43" t="n"/>
      <c r="V474" s="43" t="n"/>
      <c r="W474" s="43">
        <f>IFERROR(W23+W32+W36+W40+W44+W51+W59+W79+W88+W100+W113+W121+W129+W137+W149+W155+W160+W167+W186+W191+W210+W214+W221+W230+W237+W243+W249+W260+W265+W270+W276+W280+W284+W297+W302+W306+W310+W318+W323+W330+W334+W341+W357+W364+W368+W374+W378+W384+W394+W398+W402+W416+W421+W430+W435+W442+W448+W453+W458+W463+W467,"0")</f>
        <v/>
      </c>
      <c r="X474" s="682" t="n"/>
      <c r="Y474" s="682" t="n"/>
    </row>
    <row r="475" ht="13.5" customHeight="1" thickBot="1"/>
    <row r="476" ht="27" customHeight="1" thickBot="1" thickTop="1">
      <c r="A476" s="47" t="inlineStr">
        <is>
          <t>ТОРГОВАЯ МАРКА</t>
        </is>
      </c>
      <c r="B476" s="315" t="inlineStr">
        <is>
          <t>Ядрена копоть</t>
        </is>
      </c>
      <c r="C476" s="315" t="inlineStr">
        <is>
          <t>Вязанка</t>
        </is>
      </c>
      <c r="D476" s="925" t="n"/>
      <c r="E476" s="925" t="n"/>
      <c r="F476" s="926" t="n"/>
      <c r="G476" s="315" t="inlineStr">
        <is>
          <t>Стародворье</t>
        </is>
      </c>
      <c r="H476" s="925" t="n"/>
      <c r="I476" s="925" t="n"/>
      <c r="J476" s="925" t="n"/>
      <c r="K476" s="925" t="n"/>
      <c r="L476" s="926" t="n"/>
      <c r="M476" s="315" t="inlineStr">
        <is>
          <t>Особый рецепт</t>
        </is>
      </c>
      <c r="N476" s="926" t="n"/>
      <c r="O476" s="315" t="inlineStr">
        <is>
          <t>Баварушка</t>
        </is>
      </c>
      <c r="P476" s="926" t="n"/>
      <c r="Q476" s="315" t="inlineStr">
        <is>
          <t>Дугушка</t>
        </is>
      </c>
      <c r="R476" s="315" t="inlineStr">
        <is>
          <t>Зареченские</t>
        </is>
      </c>
      <c r="S476" s="926" t="n"/>
      <c r="T476" s="1" t="n"/>
      <c r="Y476" s="61" t="n"/>
      <c r="AB476" s="1" t="n"/>
    </row>
    <row r="477" ht="14.25" customHeight="1" thickTop="1">
      <c r="A477" s="316" t="inlineStr">
        <is>
          <t>СЕРИЯ</t>
        </is>
      </c>
      <c r="B477" s="315" t="inlineStr">
        <is>
          <t>Ядрена копоть</t>
        </is>
      </c>
      <c r="C477" s="315" t="inlineStr">
        <is>
          <t>Столичная</t>
        </is>
      </c>
      <c r="D477" s="315" t="inlineStr">
        <is>
          <t>Классическая</t>
        </is>
      </c>
      <c r="E477" s="315" t="inlineStr">
        <is>
          <t>Вязанка</t>
        </is>
      </c>
      <c r="F477" s="315" t="inlineStr">
        <is>
          <t>Сливушки</t>
        </is>
      </c>
      <c r="G477" s="315" t="inlineStr">
        <is>
          <t>Золоченная в печи</t>
        </is>
      </c>
      <c r="H477" s="315" t="inlineStr">
        <is>
          <t>Мясорубская</t>
        </is>
      </c>
      <c r="I477" s="315" t="inlineStr">
        <is>
          <t>Сочинка</t>
        </is>
      </c>
      <c r="J477" s="315" t="inlineStr">
        <is>
          <t>Бордо</t>
        </is>
      </c>
      <c r="K477" s="315" t="inlineStr">
        <is>
          <t>Фирменная</t>
        </is>
      </c>
      <c r="L477" s="315" t="inlineStr">
        <is>
          <t>Бавария</t>
        </is>
      </c>
      <c r="M477" s="315" t="inlineStr">
        <is>
          <t>Особая</t>
        </is>
      </c>
      <c r="N477" s="315" t="inlineStr">
        <is>
          <t>Особая Без свинины</t>
        </is>
      </c>
      <c r="O477" s="315" t="inlineStr">
        <is>
          <t>Филейбургская</t>
        </is>
      </c>
      <c r="P477" s="315" t="inlineStr">
        <is>
          <t>Балыкбургская</t>
        </is>
      </c>
      <c r="Q477" s="315" t="inlineStr">
        <is>
          <t>Дугушка</t>
        </is>
      </c>
      <c r="R477" s="315" t="inlineStr">
        <is>
          <t>Зареченские продукты</t>
        </is>
      </c>
      <c r="S477" s="315" t="inlineStr">
        <is>
          <t>Выгодная цена</t>
        </is>
      </c>
      <c r="T477" s="1" t="n"/>
      <c r="Y477" s="61" t="n"/>
      <c r="AB477" s="1" t="n"/>
    </row>
    <row r="478" ht="13.5" customHeight="1" thickBot="1">
      <c r="A478" s="927" t="n"/>
      <c r="B478" s="928" t="n"/>
      <c r="C478" s="928" t="n"/>
      <c r="D478" s="928" t="n"/>
      <c r="E478" s="928" t="n"/>
      <c r="F478" s="928" t="n"/>
      <c r="G478" s="928" t="n"/>
      <c r="H478" s="928" t="n"/>
      <c r="I478" s="928" t="n"/>
      <c r="J478" s="928" t="n"/>
      <c r="K478" s="928" t="n"/>
      <c r="L478" s="928" t="n"/>
      <c r="M478" s="928" t="n"/>
      <c r="N478" s="928" t="n"/>
      <c r="O478" s="928" t="n"/>
      <c r="P478" s="928" t="n"/>
      <c r="Q478" s="928" t="n"/>
      <c r="R478" s="928" t="n"/>
      <c r="S478" s="928" t="n"/>
      <c r="T478" s="1" t="n"/>
      <c r="Y478" s="61" t="n"/>
      <c r="AB478" s="1" t="n"/>
    </row>
    <row r="479" ht="18" customHeight="1" thickBot="1" thickTop="1">
      <c r="A479" s="47" t="inlineStr">
        <is>
          <t>ИТОГО, кг</t>
        </is>
      </c>
      <c r="B479" s="53">
        <f>IFERROR(V22*1,"0")+IFERROR(V26*1,"0")+IFERROR(V27*1,"0")+IFERROR(V28*1,"0")+IFERROR(V29*1,"0")+IFERROR(V30*1,"0")+IFERROR(V31*1,"0")+IFERROR(V35*1,"0")+IFERROR(V39*1,"0")+IFERROR(V43*1,"0")</f>
        <v/>
      </c>
      <c r="C479" s="53">
        <f>IFERROR(V49*1,"0")+IFERROR(V50*1,"0")</f>
        <v/>
      </c>
      <c r="D479" s="53">
        <f>IFERROR(V55*1,"0")+IFERROR(V56*1,"0")+IFERROR(V57*1,"0")+IFERROR(V58*1,"0")</f>
        <v/>
      </c>
      <c r="E479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110*1,"0")+IFERROR(V111*1,"0")+IFERROR(V112*1,"0")+IFERROR(V116*1,"0")+IFERROR(V117*1,"0")+IFERROR(V118*1,"0")+IFERROR(V119*1,"0")+IFERROR(V120*1,"0")</f>
        <v/>
      </c>
      <c r="F479" s="53">
        <f>IFERROR(V125*1,"0")+IFERROR(V126*1,"0")+IFERROR(V127*1,"0")+IFERROR(V128*1,"0")</f>
        <v/>
      </c>
      <c r="G479" s="53">
        <f>IFERROR(V134*1,"0")+IFERROR(V135*1,"0")+IFERROR(V136*1,"0")</f>
        <v/>
      </c>
      <c r="H479" s="53">
        <f>IFERROR(V141*1,"0")+IFERROR(V142*1,"0")+IFERROR(V143*1,"0")+IFERROR(V144*1,"0")+IFERROR(V145*1,"0")+IFERROR(V146*1,"0")+IFERROR(V147*1,"0")+IFERROR(V148*1,"0")</f>
        <v/>
      </c>
      <c r="I479" s="53">
        <f>IFERROR(V153*1,"0")+IFERROR(V154*1,"0")+IFERROR(V158*1,"0")+IFERROR(V159*1,"0")+IFERROR(V163*1,"0")+IFERROR(V164*1,"0")+IFERROR(V165*1,"0")+IFERROR(V166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184*1,"0")+IFERROR(V185*1,"0")+IFERROR(V189*1,"0")+IFERROR(V190*1,"0")</f>
        <v/>
      </c>
      <c r="J479" s="53">
        <f>IFERROR(V195*1,"0")+IFERROR(V196*1,"0")+IFERROR(V197*1,"0")+IFERROR(V198*1,"0")+IFERROR(V199*1,"0")+IFERROR(V200*1,"0")+IFERROR(V201*1,"0")+IFERROR(V202*1,"0")+IFERROR(V203*1,"0")+IFERROR(V204*1,"0")+IFERROR(V205*1,"0")+IFERROR(V206*1,"0")+IFERROR(V207*1,"0")+IFERROR(V208*1,"0")+IFERROR(V209*1,"0")+IFERROR(V213*1,"0")+IFERROR(V217*1,"0")+IFERROR(V218*1,"0")+IFERROR(V219*1,"0")+IFERROR(V220*1,"0")+IFERROR(V224*1,"0")+IFERROR(V225*1,"0")+IFERROR(V226*1,"0")+IFERROR(V227*1,"0")+IFERROR(V228*1,"0")+IFERROR(V229*1,"0")+IFERROR(V233*1,"0")+IFERROR(V234*1,"0")+IFERROR(V235*1,"0")+IFERROR(V236*1,"0")+IFERROR(V240*1,"0")+IFERROR(V241*1,"0")+IFERROR(V242*1,"0")+IFERROR(V246*1,"0")+IFERROR(V247*1,"0")+IFERROR(V248*1,"0")</f>
        <v/>
      </c>
      <c r="K479" s="53">
        <f>IFERROR(V253*1,"0")+IFERROR(V254*1,"0")+IFERROR(V255*1,"0")+IFERROR(V256*1,"0")+IFERROR(V257*1,"0")+IFERROR(V258*1,"0")+IFERROR(V259*1,"0")+IFERROR(V263*1,"0")+IFERROR(V264*1,"0")</f>
        <v/>
      </c>
      <c r="L479" s="53">
        <f>IFERROR(V269*1,"0")+IFERROR(V273*1,"0")+IFERROR(V274*1,"0")+IFERROR(V275*1,"0")+IFERROR(V279*1,"0")+IFERROR(V283*1,"0")</f>
        <v/>
      </c>
      <c r="M479" s="53">
        <f>IFERROR(V289*1,"0")+IFERROR(V290*1,"0")+IFERROR(V291*1,"0")+IFERROR(V292*1,"0")+IFERROR(V293*1,"0")+IFERROR(V294*1,"0")+IFERROR(V295*1,"0")+IFERROR(V296*1,"0")+IFERROR(V300*1,"0")+IFERROR(V301*1,"0")+IFERROR(V305*1,"0")+IFERROR(V309*1,"0")</f>
        <v/>
      </c>
      <c r="N479" s="53">
        <f>IFERROR(V314*1,"0")+IFERROR(V315*1,"0")+IFERROR(V316*1,"0")+IFERROR(V317*1,"0")+IFERROR(V321*1,"0")+IFERROR(V322*1,"0")+IFERROR(V326*1,"0")+IFERROR(V327*1,"0")+IFERROR(V328*1,"0")+IFERROR(V329*1,"0")+IFERROR(V333*1,"0")</f>
        <v/>
      </c>
      <c r="O479" s="53">
        <f>IFERROR(V339*1,"0")+IFERROR(V340*1,"0")+IFERROR(V344*1,"0")+IFERROR(V345*1,"0")+IFERROR(V346*1,"0")+IFERROR(V347*1,"0")+IFERROR(V348*1,"0")+IFERROR(V349*1,"0")+IFERROR(V350*1,"0")+IFERROR(V351*1,"0")+IFERROR(V352*1,"0")+IFERROR(V353*1,"0")+IFERROR(V354*1,"0")+IFERROR(V355*1,"0")+IFERROR(V356*1,"0")+IFERROR(V360*1,"0")+IFERROR(V361*1,"0")+IFERROR(V362*1,"0")+IFERROR(V363*1,"0")+IFERROR(V367*1,"0")+IFERROR(V371*1,"0")+IFERROR(V372*1,"0")+IFERROR(V373*1,"0")+IFERROR(V377*1,"0")</f>
        <v/>
      </c>
      <c r="P479" s="53">
        <f>IFERROR(V382*1,"0")+IFERROR(V383*1,"0")+IFERROR(V387*1,"0")+IFERROR(V388*1,"0")+IFERROR(V389*1,"0")+IFERROR(V390*1,"0")+IFERROR(V391*1,"0")+IFERROR(V392*1,"0")+IFERROR(V393*1,"0")+IFERROR(V397*1,"0")+IFERROR(V401*1,"0")</f>
        <v/>
      </c>
      <c r="Q479" s="53">
        <f>IFERROR(V407*1,"0")+IFERROR(V408*1,"0")+IFERROR(V409*1,"0")+IFERROR(V410*1,"0")+IFERROR(V411*1,"0")+IFERROR(V412*1,"0")+IFERROR(V413*1,"0")+IFERROR(V414*1,"0")+IFERROR(V415*1,"0")+IFERROR(V419*1,"0")+IFERROR(V420*1,"0")+IFERROR(V424*1,"0")+IFERROR(V425*1,"0")+IFERROR(V426*1,"0")+IFERROR(V427*1,"0")+IFERROR(V428*1,"0")+IFERROR(V429*1,"0")+IFERROR(V433*1,"0")+IFERROR(V434*1,"0")</f>
        <v/>
      </c>
      <c r="R479" s="53">
        <f>IFERROR(V440*1,"0")+IFERROR(V441*1,"0")+IFERROR(V445*1,"0")+IFERROR(V446*1,"0")+IFERROR(V447*1,"0")+IFERROR(V451*1,"0")+IFERROR(V452*1,"0")+IFERROR(V456*1,"0")+IFERROR(V457*1,"0")</f>
        <v/>
      </c>
      <c r="S479" s="53">
        <f>IFERROR(V462*1,"0")+IFERROR(V466*1,"0")</f>
        <v/>
      </c>
      <c r="T479" s="1" t="n"/>
      <c r="Y479" s="61" t="n"/>
      <c r="AB479" s="1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sEqEGSMuGTuiGhirCBEPXA==" formatRows="1" sort="0" spinCount="100000" hashValue="Md33lYi7uRgwPdjtncDlQRvDr9InNaM1fBFx1JK6Dmug+JSpelWiCQLLfanq0tfIiCYwskTAjZ4k2+szbe5KCg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4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M36:S36"/>
    <mergeCell ref="A36:L37"/>
    <mergeCell ref="M37:S37"/>
    <mergeCell ref="A38:W38"/>
    <mergeCell ref="D39:E39"/>
    <mergeCell ref="M39:Q39"/>
    <mergeCell ref="M40:S40"/>
    <mergeCell ref="A40:L41"/>
    <mergeCell ref="M41:S41"/>
    <mergeCell ref="A42:W42"/>
    <mergeCell ref="D43:E43"/>
    <mergeCell ref="M43:Q43"/>
    <mergeCell ref="M44:S44"/>
    <mergeCell ref="A44:L45"/>
    <mergeCell ref="M45:S45"/>
    <mergeCell ref="A46:W46"/>
    <mergeCell ref="A47:W47"/>
    <mergeCell ref="A48:W48"/>
    <mergeCell ref="D49:E49"/>
    <mergeCell ref="M49:Q49"/>
    <mergeCell ref="D50:E50"/>
    <mergeCell ref="M50:Q50"/>
    <mergeCell ref="M51:S51"/>
    <mergeCell ref="A51:L52"/>
    <mergeCell ref="M52:S52"/>
    <mergeCell ref="A53:W53"/>
    <mergeCell ref="A54:W54"/>
    <mergeCell ref="D55:E55"/>
    <mergeCell ref="M55:Q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D111:E111"/>
    <mergeCell ref="M111:Q111"/>
    <mergeCell ref="D112:E112"/>
    <mergeCell ref="M112:Q112"/>
    <mergeCell ref="M113:S113"/>
    <mergeCell ref="A113:L114"/>
    <mergeCell ref="M114:S114"/>
    <mergeCell ref="A115:W115"/>
    <mergeCell ref="D116:E116"/>
    <mergeCell ref="M116:Q116"/>
    <mergeCell ref="D117:E117"/>
    <mergeCell ref="M117:Q117"/>
    <mergeCell ref="D118:E118"/>
    <mergeCell ref="M118:Q118"/>
    <mergeCell ref="D119:E119"/>
    <mergeCell ref="M119:Q119"/>
    <mergeCell ref="D120:E120"/>
    <mergeCell ref="M120:Q120"/>
    <mergeCell ref="M121:S121"/>
    <mergeCell ref="A121:L122"/>
    <mergeCell ref="M122:S122"/>
    <mergeCell ref="A123:W123"/>
    <mergeCell ref="A124:W124"/>
    <mergeCell ref="D125:E125"/>
    <mergeCell ref="M125:Q125"/>
    <mergeCell ref="D126:E126"/>
    <mergeCell ref="M126:Q126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A133:W133"/>
    <mergeCell ref="D134:E134"/>
    <mergeCell ref="M134:Q134"/>
    <mergeCell ref="D135:E135"/>
    <mergeCell ref="M135:Q135"/>
    <mergeCell ref="D136:E136"/>
    <mergeCell ref="M136:Q136"/>
    <mergeCell ref="M137:S137"/>
    <mergeCell ref="A137:L138"/>
    <mergeCell ref="M138:S138"/>
    <mergeCell ref="A139:W139"/>
    <mergeCell ref="A140:W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M149:S149"/>
    <mergeCell ref="A149:L150"/>
    <mergeCell ref="M150:S150"/>
    <mergeCell ref="A151:W151"/>
    <mergeCell ref="A152:W152"/>
    <mergeCell ref="D153:E153"/>
    <mergeCell ref="M153:Q153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M167:S167"/>
    <mergeCell ref="A167:L168"/>
    <mergeCell ref="M168:S168"/>
    <mergeCell ref="A169:W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84:E184"/>
    <mergeCell ref="M184:Q184"/>
    <mergeCell ref="D185:E185"/>
    <mergeCell ref="M185:Q185"/>
    <mergeCell ref="M186:S186"/>
    <mergeCell ref="A186:L187"/>
    <mergeCell ref="M187:S187"/>
    <mergeCell ref="A188:W188"/>
    <mergeCell ref="D189:E189"/>
    <mergeCell ref="M189:Q189"/>
    <mergeCell ref="D190:E190"/>
    <mergeCell ref="M190:Q190"/>
    <mergeCell ref="M191:S191"/>
    <mergeCell ref="A191:L192"/>
    <mergeCell ref="M192:S192"/>
    <mergeCell ref="A193:W193"/>
    <mergeCell ref="A194:W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M210:S210"/>
    <mergeCell ref="A210:L211"/>
    <mergeCell ref="M211:S211"/>
    <mergeCell ref="A212:W212"/>
    <mergeCell ref="D213:E213"/>
    <mergeCell ref="M213:Q213"/>
    <mergeCell ref="M214:S214"/>
    <mergeCell ref="A214:L215"/>
    <mergeCell ref="M215:S215"/>
    <mergeCell ref="A216:W216"/>
    <mergeCell ref="D217:E217"/>
    <mergeCell ref="M217:Q217"/>
    <mergeCell ref="D218:E218"/>
    <mergeCell ref="M218:Q218"/>
    <mergeCell ref="D219:E219"/>
    <mergeCell ref="M219:Q219"/>
    <mergeCell ref="D220:E220"/>
    <mergeCell ref="M220:Q220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D227:E227"/>
    <mergeCell ref="M227:Q227"/>
    <mergeCell ref="D228:E228"/>
    <mergeCell ref="M228:Q228"/>
    <mergeCell ref="D229:E229"/>
    <mergeCell ref="M229:Q229"/>
    <mergeCell ref="M230:S230"/>
    <mergeCell ref="A230:L231"/>
    <mergeCell ref="M231:S231"/>
    <mergeCell ref="A232:W232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D242:E242"/>
    <mergeCell ref="M242:Q242"/>
    <mergeCell ref="M243:S243"/>
    <mergeCell ref="A243:L244"/>
    <mergeCell ref="M244:S244"/>
    <mergeCell ref="A245:W245"/>
    <mergeCell ref="D246:E246"/>
    <mergeCell ref="M246:Q246"/>
    <mergeCell ref="D247:E247"/>
    <mergeCell ref="M247:Q247"/>
    <mergeCell ref="D248:E248"/>
    <mergeCell ref="M248:Q248"/>
    <mergeCell ref="M249:S249"/>
    <mergeCell ref="A249:L250"/>
    <mergeCell ref="M250:S250"/>
    <mergeCell ref="A251:W251"/>
    <mergeCell ref="A252:W252"/>
    <mergeCell ref="D253:E253"/>
    <mergeCell ref="M253:Q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D258:E258"/>
    <mergeCell ref="M258:Q258"/>
    <mergeCell ref="D259:E259"/>
    <mergeCell ref="M259:Q259"/>
    <mergeCell ref="M260:S260"/>
    <mergeCell ref="A260:L261"/>
    <mergeCell ref="M261:S261"/>
    <mergeCell ref="A262:W262"/>
    <mergeCell ref="D263:E263"/>
    <mergeCell ref="M263:Q263"/>
    <mergeCell ref="D264:E264"/>
    <mergeCell ref="M264:Q264"/>
    <mergeCell ref="M265:S265"/>
    <mergeCell ref="A265:L266"/>
    <mergeCell ref="M266:S266"/>
    <mergeCell ref="A267:W267"/>
    <mergeCell ref="A268:W268"/>
    <mergeCell ref="D269:E269"/>
    <mergeCell ref="M269:Q269"/>
    <mergeCell ref="M270:S270"/>
    <mergeCell ref="A270:L271"/>
    <mergeCell ref="M271:S271"/>
    <mergeCell ref="A272:W272"/>
    <mergeCell ref="D273:E273"/>
    <mergeCell ref="M273:Q273"/>
    <mergeCell ref="D274:E274"/>
    <mergeCell ref="M274:Q274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M280:S280"/>
    <mergeCell ref="A280:L281"/>
    <mergeCell ref="M281:S281"/>
    <mergeCell ref="A282:W282"/>
    <mergeCell ref="D283:E283"/>
    <mergeCell ref="M283:Q283"/>
    <mergeCell ref="M284:S284"/>
    <mergeCell ref="A284:L285"/>
    <mergeCell ref="M285:S285"/>
    <mergeCell ref="A286:W286"/>
    <mergeCell ref="A287:W287"/>
    <mergeCell ref="A288:W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D295:E295"/>
    <mergeCell ref="M295:Q295"/>
    <mergeCell ref="D296:E296"/>
    <mergeCell ref="M296:Q296"/>
    <mergeCell ref="M297:S297"/>
    <mergeCell ref="A297:L298"/>
    <mergeCell ref="M298:S298"/>
    <mergeCell ref="A299:W299"/>
    <mergeCell ref="D300:E300"/>
    <mergeCell ref="M300:Q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M306:S306"/>
    <mergeCell ref="A306:L307"/>
    <mergeCell ref="M307:S307"/>
    <mergeCell ref="A308:W308"/>
    <mergeCell ref="D309:E309"/>
    <mergeCell ref="M309:Q309"/>
    <mergeCell ref="M310:S310"/>
    <mergeCell ref="A310:L311"/>
    <mergeCell ref="M311:S311"/>
    <mergeCell ref="A312:W312"/>
    <mergeCell ref="A313:W313"/>
    <mergeCell ref="D314:E314"/>
    <mergeCell ref="M314:Q314"/>
    <mergeCell ref="D315:E315"/>
    <mergeCell ref="M315:Q315"/>
    <mergeCell ref="D316:E316"/>
    <mergeCell ref="M316:Q316"/>
    <mergeCell ref="D317:E317"/>
    <mergeCell ref="M317:Q317"/>
    <mergeCell ref="M318:S318"/>
    <mergeCell ref="A318:L319"/>
    <mergeCell ref="M319:S319"/>
    <mergeCell ref="A320:W320"/>
    <mergeCell ref="D321:E321"/>
    <mergeCell ref="M321:Q321"/>
    <mergeCell ref="D322:E322"/>
    <mergeCell ref="M322:Q322"/>
    <mergeCell ref="M323:S323"/>
    <mergeCell ref="A323:L324"/>
    <mergeCell ref="M324:S324"/>
    <mergeCell ref="A325:W325"/>
    <mergeCell ref="D326:E326"/>
    <mergeCell ref="M326:Q326"/>
    <mergeCell ref="D327:E327"/>
    <mergeCell ref="M327:Q327"/>
    <mergeCell ref="D328:E328"/>
    <mergeCell ref="M328:Q328"/>
    <mergeCell ref="D329:E329"/>
    <mergeCell ref="M329:Q329"/>
    <mergeCell ref="M330:S330"/>
    <mergeCell ref="A330:L331"/>
    <mergeCell ref="M331:S331"/>
    <mergeCell ref="A332:W332"/>
    <mergeCell ref="D333:E333"/>
    <mergeCell ref="M333:Q333"/>
    <mergeCell ref="M334:S334"/>
    <mergeCell ref="A334:L335"/>
    <mergeCell ref="M335:S335"/>
    <mergeCell ref="A336:W336"/>
    <mergeCell ref="A337:W337"/>
    <mergeCell ref="A338:W338"/>
    <mergeCell ref="D339:E339"/>
    <mergeCell ref="M339:Q339"/>
    <mergeCell ref="D340:E340"/>
    <mergeCell ref="M340:Q340"/>
    <mergeCell ref="M341:S341"/>
    <mergeCell ref="A341:L342"/>
    <mergeCell ref="M342:S342"/>
    <mergeCell ref="A343:W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D356:E356"/>
    <mergeCell ref="M356:Q356"/>
    <mergeCell ref="M357:S357"/>
    <mergeCell ref="A357:L358"/>
    <mergeCell ref="M358:S358"/>
    <mergeCell ref="A359:W359"/>
    <mergeCell ref="D360:E360"/>
    <mergeCell ref="M360:Q360"/>
    <mergeCell ref="D361:E361"/>
    <mergeCell ref="M361:Q361"/>
    <mergeCell ref="D362:E362"/>
    <mergeCell ref="M362:Q362"/>
    <mergeCell ref="D363:E363"/>
    <mergeCell ref="M363:Q363"/>
    <mergeCell ref="M364:S364"/>
    <mergeCell ref="A364:L365"/>
    <mergeCell ref="M365:S365"/>
    <mergeCell ref="A366:W366"/>
    <mergeCell ref="D367:E367"/>
    <mergeCell ref="M367:Q367"/>
    <mergeCell ref="M368:S368"/>
    <mergeCell ref="A368:L369"/>
    <mergeCell ref="M369:S369"/>
    <mergeCell ref="A370:W370"/>
    <mergeCell ref="D371:E371"/>
    <mergeCell ref="M371:Q371"/>
    <mergeCell ref="D372:E372"/>
    <mergeCell ref="M372:Q372"/>
    <mergeCell ref="D373:E373"/>
    <mergeCell ref="M373:Q373"/>
    <mergeCell ref="M374:S374"/>
    <mergeCell ref="A374:L375"/>
    <mergeCell ref="M375:S375"/>
    <mergeCell ref="A376:W376"/>
    <mergeCell ref="D377:E377"/>
    <mergeCell ref="M377:Q377"/>
    <mergeCell ref="M378:S378"/>
    <mergeCell ref="A378:L379"/>
    <mergeCell ref="M379:S379"/>
    <mergeCell ref="A380:W380"/>
    <mergeCell ref="A381:W381"/>
    <mergeCell ref="D382:E382"/>
    <mergeCell ref="M382:Q382"/>
    <mergeCell ref="D383:E383"/>
    <mergeCell ref="M383:Q383"/>
    <mergeCell ref="M384:S384"/>
    <mergeCell ref="A384:L385"/>
    <mergeCell ref="M385:S385"/>
    <mergeCell ref="A386:W386"/>
    <mergeCell ref="D387:E387"/>
    <mergeCell ref="M387:Q387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D393:E393"/>
    <mergeCell ref="M393:Q393"/>
    <mergeCell ref="M394:S394"/>
    <mergeCell ref="A394:L395"/>
    <mergeCell ref="M395:S395"/>
    <mergeCell ref="A396:W396"/>
    <mergeCell ref="D397:E397"/>
    <mergeCell ref="M397:Q397"/>
    <mergeCell ref="M398:S398"/>
    <mergeCell ref="A398:L399"/>
    <mergeCell ref="M399:S399"/>
    <mergeCell ref="A400:W400"/>
    <mergeCell ref="D401:E401"/>
    <mergeCell ref="M401:Q401"/>
    <mergeCell ref="M402:S402"/>
    <mergeCell ref="A402:L403"/>
    <mergeCell ref="M403:S403"/>
    <mergeCell ref="A404:W404"/>
    <mergeCell ref="A405:W405"/>
    <mergeCell ref="A406:W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D415:E415"/>
    <mergeCell ref="M415:Q415"/>
    <mergeCell ref="M416:S416"/>
    <mergeCell ref="A416:L417"/>
    <mergeCell ref="M417:S417"/>
    <mergeCell ref="A418:W418"/>
    <mergeCell ref="D419:E419"/>
    <mergeCell ref="M419:Q419"/>
    <mergeCell ref="D420:E420"/>
    <mergeCell ref="M420:Q420"/>
    <mergeCell ref="M421:S421"/>
    <mergeCell ref="A421:L422"/>
    <mergeCell ref="M422:S422"/>
    <mergeCell ref="A423:W423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D429:E429"/>
    <mergeCell ref="M429:Q429"/>
    <mergeCell ref="M430:S430"/>
    <mergeCell ref="A430:L431"/>
    <mergeCell ref="M431:S431"/>
    <mergeCell ref="A432:W432"/>
    <mergeCell ref="D433:E433"/>
    <mergeCell ref="M433:Q433"/>
    <mergeCell ref="D434:E434"/>
    <mergeCell ref="M434:Q434"/>
    <mergeCell ref="M435:S435"/>
    <mergeCell ref="A435:L436"/>
    <mergeCell ref="M436:S436"/>
    <mergeCell ref="A437:W437"/>
    <mergeCell ref="A438:W438"/>
    <mergeCell ref="A439:W439"/>
    <mergeCell ref="D440:E440"/>
    <mergeCell ref="M440:Q440"/>
    <mergeCell ref="D441:E441"/>
    <mergeCell ref="M441:Q441"/>
    <mergeCell ref="M442:S442"/>
    <mergeCell ref="A442:L443"/>
    <mergeCell ref="M443:S443"/>
    <mergeCell ref="A444:W444"/>
    <mergeCell ref="D445:E445"/>
    <mergeCell ref="M445:Q445"/>
    <mergeCell ref="D446:E446"/>
    <mergeCell ref="M446:Q446"/>
    <mergeCell ref="D447:E447"/>
    <mergeCell ref="M447:Q447"/>
    <mergeCell ref="M448:S448"/>
    <mergeCell ref="A448:L449"/>
    <mergeCell ref="M449:S449"/>
    <mergeCell ref="A450:W450"/>
    <mergeCell ref="D451:E451"/>
    <mergeCell ref="M451:Q451"/>
    <mergeCell ref="D452:E452"/>
    <mergeCell ref="M452:Q452"/>
    <mergeCell ref="M453:S453"/>
    <mergeCell ref="A453:L454"/>
    <mergeCell ref="M454:S454"/>
    <mergeCell ref="A455:W455"/>
    <mergeCell ref="D456:E456"/>
    <mergeCell ref="M456:Q456"/>
    <mergeCell ref="D457:E457"/>
    <mergeCell ref="M457:Q457"/>
    <mergeCell ref="M458:S458"/>
    <mergeCell ref="A458:L459"/>
    <mergeCell ref="M459:S459"/>
    <mergeCell ref="A460:W460"/>
    <mergeCell ref="A461:W461"/>
    <mergeCell ref="D462:E462"/>
    <mergeCell ref="M462:Q462"/>
    <mergeCell ref="M463:S463"/>
    <mergeCell ref="A463:L464"/>
    <mergeCell ref="M464:S464"/>
    <mergeCell ref="A465:W465"/>
    <mergeCell ref="D466:E466"/>
    <mergeCell ref="M466:Q466"/>
    <mergeCell ref="M467:S467"/>
    <mergeCell ref="A467:L468"/>
    <mergeCell ref="M468:S468"/>
    <mergeCell ref="M469:S469"/>
    <mergeCell ref="A469:L474"/>
    <mergeCell ref="M470:S470"/>
    <mergeCell ref="M471:S471"/>
    <mergeCell ref="M472:S472"/>
    <mergeCell ref="M473:S473"/>
    <mergeCell ref="M474:S474"/>
    <mergeCell ref="C476:F476"/>
    <mergeCell ref="G476:L476"/>
    <mergeCell ref="M476:N476"/>
    <mergeCell ref="O476:P476"/>
    <mergeCell ref="R476:S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K477:K478"/>
    <mergeCell ref="L477:L478"/>
    <mergeCell ref="M477:M478"/>
    <mergeCell ref="N477:N478"/>
    <mergeCell ref="O477:O478"/>
    <mergeCell ref="P477:P478"/>
    <mergeCell ref="Q477:Q478"/>
    <mergeCell ref="R477:R478"/>
    <mergeCell ref="S477:S478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(сеть) Крым Респ, Симферополь г, Данилова ул, д. 43В, лит В, офис 4,</t>
        </is>
      </c>
      <c r="C7" s="54" t="inlineStr">
        <is>
          <t>590704_3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4,</t>
        </is>
      </c>
      <c r="C11" s="54" t="inlineStr">
        <is>
          <t>590704_3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m6V8VsQYaCIqJJ0CPmkWng==" formatRows="1" sort="0" spinCount="100000" hashValue="XvZBDCzL8UEpYuDtSswBXGgsFUd7VcGEGxSR26nxXIn3vuUqY6TJ2VVh2e/xxzUCC8Q6vRn5gQQVaAjUzzO3e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2023-10-06T09:14:06Z</dcterms:modified>
  <cp:lastModifiedBy>Admin</cp:lastModifiedBy>
</cp:coreProperties>
</file>