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B1" zoomScaleNormal="100" zoomScaleSheetLayoutView="100" workbookViewId="0">
      <selection activeCell="M17" sqref="M17:Q1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9" min="26" max="26"/>
    <col width="9.140625" customWidth="1" style="9" min="27" max="27"/>
    <col width="8.85546875" customWidth="1" style="9" min="28" max="28"/>
    <col width="13.5703125" customWidth="1" style="1" min="29" max="29"/>
    <col width="9.140625" customWidth="1" style="1" min="30" max="16384"/>
  </cols>
  <sheetData>
    <row r="1" ht="45" customFormat="1" customHeight="1" s="591">
      <c r="A1" s="46" t="n"/>
      <c r="B1" s="46" t="n"/>
      <c r="C1" s="46" t="n"/>
      <c r="D1" s="610" t="inlineStr">
        <is>
          <t xml:space="preserve">  БЛАНК ЗАКАЗА </t>
        </is>
      </c>
      <c r="G1" s="14" t="inlineStr">
        <is>
          <t>КИ</t>
        </is>
      </c>
      <c r="H1" s="610" t="inlineStr">
        <is>
          <t>на отгрузку продукции с ООО Трейд-Сервис с</t>
        </is>
      </c>
      <c r="O1" s="6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59" t="n"/>
      <c r="Z1" s="59" t="n"/>
      <c r="AA1" s="59" t="n"/>
      <c r="AB1" s="59" t="n"/>
    </row>
    <row r="2" ht="16.5" customFormat="1" customHeight="1" s="591">
      <c r="A2" s="32" t="inlineStr">
        <is>
          <t>бланк создан</t>
        </is>
      </c>
      <c r="B2" s="33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58" t="n"/>
      <c r="Z2" s="58" t="n"/>
      <c r="AA2" s="58" t="n"/>
    </row>
    <row r="3" ht="11.25" customFormat="1" customHeight="1" s="591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58" t="n"/>
      <c r="Z3" s="58" t="n"/>
      <c r="AA3" s="58" t="n"/>
    </row>
    <row r="4" ht="9" customFormat="1" customHeight="1" s="5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58" t="n"/>
      <c r="Z4" s="58" t="n"/>
      <c r="AA4" s="58" t="n"/>
    </row>
    <row r="5" ht="23.45" customFormat="1" customHeight="1" s="591">
      <c r="A5" s="592" t="inlineStr">
        <is>
          <t xml:space="preserve">Ваш контактный телефон и имя: </t>
        </is>
      </c>
      <c r="B5" s="620" t="n"/>
      <c r="C5" s="621" t="n"/>
      <c r="D5" s="614" t="n"/>
      <c r="E5" s="622" t="n"/>
      <c r="F5" s="615" t="inlineStr">
        <is>
          <t>Комментарий к заказу:</t>
        </is>
      </c>
      <c r="G5" s="621" t="n"/>
      <c r="H5" s="614" t="n"/>
      <c r="I5" s="623" t="n"/>
      <c r="J5" s="623" t="n"/>
      <c r="K5" s="622" t="n"/>
      <c r="M5" s="26" t="inlineStr">
        <is>
          <t>Дата загрузки</t>
        </is>
      </c>
      <c r="N5" s="624" t="n">
        <v>45194</v>
      </c>
      <c r="O5" s="625" t="n"/>
      <c r="Q5" s="617" t="inlineStr">
        <is>
          <t>Способ доставки (доставка/самовывоз)</t>
        </is>
      </c>
      <c r="R5" s="626" t="n"/>
      <c r="S5" s="627" t="inlineStr">
        <is>
          <t>Самовывоз</t>
        </is>
      </c>
      <c r="T5" s="625" t="n"/>
      <c r="Y5" s="58" t="n"/>
      <c r="Z5" s="58" t="n"/>
      <c r="AA5" s="58" t="n"/>
    </row>
    <row r="6" ht="24" customFormat="1" customHeight="1" s="591">
      <c r="A6" s="592" t="inlineStr">
        <is>
          <t>Адрес доставки:</t>
        </is>
      </c>
      <c r="B6" s="620" t="n"/>
      <c r="C6" s="621" t="n"/>
      <c r="D6" s="593" t="inlineStr">
        <is>
          <t>ЛП, ООО, Краснодарский край, Сочи г, Строительный пер, д. 10А,</t>
        </is>
      </c>
      <c r="E6" s="628" t="n"/>
      <c r="F6" s="628" t="n"/>
      <c r="G6" s="628" t="n"/>
      <c r="H6" s="628" t="n"/>
      <c r="I6" s="628" t="n"/>
      <c r="J6" s="628" t="n"/>
      <c r="K6" s="625" t="n"/>
      <c r="M6" s="26" t="inlineStr">
        <is>
          <t>День недели</t>
        </is>
      </c>
      <c r="N6" s="594">
        <f>IF(N5=0," ",CHOOSE(WEEKDAY(N5,2),"Понедельник","Вторник","Среда","Четверг","Пятница","Суббота","Воскресенье"))</f>
        <v/>
      </c>
      <c r="O6" s="629" t="n"/>
      <c r="Q6" s="596" t="inlineStr">
        <is>
          <t>Наименование клиента</t>
        </is>
      </c>
      <c r="R6" s="626" t="n"/>
      <c r="S6" s="630" t="inlineStr">
        <is>
          <t>ОБЩЕСТВО С ОГРАНИЧЕННОЙ ОТВЕТСТВЕННОСТЬЮ "ЛОГИСТИЧЕСКИЙ ПАРТНЕР"</t>
        </is>
      </c>
      <c r="T6" s="631" t="n"/>
      <c r="Y6" s="58" t="n"/>
      <c r="Z6" s="58" t="n"/>
      <c r="AA6" s="58" t="n"/>
    </row>
    <row r="7" hidden="1" ht="21.75" customFormat="1" customHeight="1" s="591">
      <c r="A7" s="62" t="n"/>
      <c r="B7" s="62" t="n"/>
      <c r="C7" s="62" t="n"/>
      <c r="D7" s="632">
        <f>IFERROR(VLOOKUP(DeliveryAddress,Table,3,0),1)</f>
        <v/>
      </c>
      <c r="E7" s="633" t="n"/>
      <c r="F7" s="633" t="n"/>
      <c r="G7" s="633" t="n"/>
      <c r="H7" s="633" t="n"/>
      <c r="I7" s="633" t="n"/>
      <c r="J7" s="633" t="n"/>
      <c r="K7" s="634" t="n"/>
      <c r="M7" s="26" t="n"/>
      <c r="N7" s="47" t="n"/>
      <c r="O7" s="47" t="n"/>
      <c r="Q7" s="1" t="n"/>
      <c r="R7" s="626" t="n"/>
      <c r="S7" s="635" t="n"/>
      <c r="T7" s="636" t="n"/>
      <c r="Y7" s="58" t="n"/>
      <c r="Z7" s="58" t="n"/>
      <c r="AA7" s="58" t="n"/>
    </row>
    <row r="8" ht="25.5" customFormat="1" customHeight="1" s="591">
      <c r="A8" s="606" t="inlineStr">
        <is>
          <t>Адрес сдачи груза:</t>
        </is>
      </c>
      <c r="B8" s="637" t="n"/>
      <c r="C8" s="638" t="n"/>
      <c r="D8" s="607" t="n"/>
      <c r="E8" s="639" t="n"/>
      <c r="F8" s="639" t="n"/>
      <c r="G8" s="639" t="n"/>
      <c r="H8" s="639" t="n"/>
      <c r="I8" s="639" t="n"/>
      <c r="J8" s="639" t="n"/>
      <c r="K8" s="640" t="n"/>
      <c r="M8" s="26" t="inlineStr">
        <is>
          <t>Время загрузки</t>
        </is>
      </c>
      <c r="N8" s="587" t="n">
        <v>0.3333333333333333</v>
      </c>
      <c r="O8" s="625" t="n"/>
      <c r="Q8" s="1" t="n"/>
      <c r="R8" s="626" t="n"/>
      <c r="S8" s="635" t="n"/>
      <c r="T8" s="636" t="n"/>
      <c r="Y8" s="58" t="n"/>
      <c r="Z8" s="58" t="n"/>
      <c r="AA8" s="58" t="n"/>
    </row>
    <row r="9" ht="39.95" customFormat="1" customHeight="1" s="591">
      <c r="A9" s="5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4" t="inlineStr"/>
      <c r="E9" s="3" t="n"/>
      <c r="F9" s="5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29" t="inlineStr">
        <is>
          <t>Дата доставки</t>
        </is>
      </c>
      <c r="N9" s="624" t="n"/>
      <c r="O9" s="625" t="n"/>
      <c r="Q9" s="1" t="n"/>
      <c r="R9" s="626" t="n"/>
      <c r="S9" s="641" t="n"/>
      <c r="T9" s="642" t="n"/>
      <c r="U9" s="48" t="n"/>
      <c r="V9" s="48" t="n"/>
      <c r="W9" s="48" t="n"/>
      <c r="X9" s="48" t="n"/>
      <c r="Y9" s="58" t="n"/>
      <c r="Z9" s="58" t="n"/>
      <c r="AA9" s="58" t="n"/>
    </row>
    <row r="10" ht="26.45" customFormat="1" customHeight="1" s="591">
      <c r="A10" s="5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4" t="n"/>
      <c r="E10" s="3" t="n"/>
      <c r="F10" s="5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6">
        <f>IFERROR(VLOOKUP($D$10,Proxy,2,FALSE),"")</f>
        <v/>
      </c>
      <c r="I10" s="1" t="n"/>
      <c r="J10" s="1" t="n"/>
      <c r="K10" s="1" t="n"/>
      <c r="M10" s="29" t="inlineStr">
        <is>
          <t>Время доставки</t>
        </is>
      </c>
      <c r="N10" s="587" t="n"/>
      <c r="O10" s="625" t="n"/>
      <c r="R10" s="26" t="inlineStr">
        <is>
          <t>КОД Аксапты Клиента</t>
        </is>
      </c>
      <c r="S10" s="643" t="inlineStr">
        <is>
          <t>590704</t>
        </is>
      </c>
      <c r="T10" s="631" t="n"/>
      <c r="U10" s="49" t="n"/>
      <c r="V10" s="49" t="n"/>
      <c r="W10" s="49" t="n"/>
      <c r="X10" s="49" t="n"/>
      <c r="Y10" s="58" t="n"/>
      <c r="Z10" s="58" t="n"/>
      <c r="AA10" s="58" t="n"/>
    </row>
    <row r="11" ht="15.95" customFormat="1" customHeight="1" s="591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M11" s="29" t="inlineStr">
        <is>
          <t>Время доставки 2 машины</t>
        </is>
      </c>
      <c r="N11" s="587" t="n"/>
      <c r="O11" s="625" t="n"/>
      <c r="R11" s="26" t="inlineStr">
        <is>
          <t>Тип заказа</t>
        </is>
      </c>
      <c r="S11" s="575" t="inlineStr">
        <is>
          <t>Основной заказ</t>
        </is>
      </c>
      <c r="T11" s="644" t="n"/>
      <c r="U11" s="50" t="n"/>
      <c r="V11" s="50" t="n"/>
      <c r="W11" s="50" t="n"/>
      <c r="X11" s="50" t="n"/>
      <c r="Y11" s="58" t="n"/>
      <c r="Z11" s="58" t="n"/>
      <c r="AA11" s="58" t="n"/>
    </row>
    <row r="12" ht="18.6" customFormat="1" customHeight="1" s="591">
      <c r="A12" s="574" t="inlineStr">
        <is>
          <t>Телефоны для заказов: 8(919)002-63-01  E-mail: kolbasa@abiproduct.ru  Телефон сотрудников склада: 8 (910) 775-52-91</t>
        </is>
      </c>
      <c r="B12" s="620" t="n"/>
      <c r="C12" s="620" t="n"/>
      <c r="D12" s="620" t="n"/>
      <c r="E12" s="620" t="n"/>
      <c r="F12" s="620" t="n"/>
      <c r="G12" s="620" t="n"/>
      <c r="H12" s="620" t="n"/>
      <c r="I12" s="620" t="n"/>
      <c r="J12" s="620" t="n"/>
      <c r="K12" s="621" t="n"/>
      <c r="M12" s="26" t="inlineStr">
        <is>
          <t>Время доставки 3 машины</t>
        </is>
      </c>
      <c r="N12" s="590" t="n"/>
      <c r="O12" s="634" t="n"/>
      <c r="P12" s="27" t="n"/>
      <c r="R12" s="26" t="inlineStr"/>
      <c r="S12" s="591" t="n"/>
      <c r="T12" s="1" t="n"/>
      <c r="Y12" s="58" t="n"/>
      <c r="Z12" s="58" t="n"/>
      <c r="AA12" s="58" t="n"/>
    </row>
    <row r="13" ht="23.25" customFormat="1" customHeight="1" s="591">
      <c r="A13" s="574" t="inlineStr">
        <is>
          <t>График приема заказов: Заказы принимаются за ДВА дня до отгрузки Пн-Пт: с 9:00 до 14:00, Суб., Вс. - до 12:00</t>
        </is>
      </c>
      <c r="B13" s="620" t="n"/>
      <c r="C13" s="620" t="n"/>
      <c r="D13" s="620" t="n"/>
      <c r="E13" s="620" t="n"/>
      <c r="F13" s="620" t="n"/>
      <c r="G13" s="620" t="n"/>
      <c r="H13" s="620" t="n"/>
      <c r="I13" s="620" t="n"/>
      <c r="J13" s="620" t="n"/>
      <c r="K13" s="621" t="n"/>
      <c r="L13" s="29" t="n"/>
      <c r="M13" s="29" t="inlineStr">
        <is>
          <t>Время доставки 4 машины</t>
        </is>
      </c>
      <c r="N13" s="575" t="n"/>
      <c r="O13" s="644" t="n"/>
      <c r="P13" s="27" t="n"/>
      <c r="U13" s="55" t="n"/>
      <c r="V13" s="55" t="n"/>
      <c r="W13" s="55" t="n"/>
      <c r="X13" s="55" t="n"/>
      <c r="Y13" s="58" t="n"/>
      <c r="Z13" s="58" t="n"/>
      <c r="AA13" s="58" t="n"/>
    </row>
    <row r="14" ht="18.6" customFormat="1" customHeight="1" s="591">
      <c r="A14" s="574" t="inlineStr">
        <is>
          <t>Телефон менеджера по логистике: 8 (919) 012-30-55 - по вопросам доставки продукции</t>
        </is>
      </c>
      <c r="B14" s="620" t="n"/>
      <c r="C14" s="620" t="n"/>
      <c r="D14" s="620" t="n"/>
      <c r="E14" s="620" t="n"/>
      <c r="F14" s="620" t="n"/>
      <c r="G14" s="620" t="n"/>
      <c r="H14" s="620" t="n"/>
      <c r="I14" s="620" t="n"/>
      <c r="J14" s="620" t="n"/>
      <c r="K14" s="621" t="n"/>
      <c r="U14" s="56" t="n"/>
      <c r="V14" s="56" t="n"/>
      <c r="W14" s="56" t="n"/>
      <c r="X14" s="56" t="n"/>
      <c r="Y14" s="58" t="n"/>
      <c r="Z14" s="58" t="n"/>
      <c r="AA14" s="58" t="n"/>
    </row>
    <row r="15" ht="22.5" customFormat="1" customHeight="1" s="591">
      <c r="A15" s="576" t="inlineStr">
        <is>
          <t>Телефон по работе с претензиями/жалобами (WhatSapp): 8 (980) 757-69-93       E-mail: Claims@abiproduct.ru</t>
        </is>
      </c>
      <c r="B15" s="620" t="n"/>
      <c r="C15" s="620" t="n"/>
      <c r="D15" s="620" t="n"/>
      <c r="E15" s="620" t="n"/>
      <c r="F15" s="620" t="n"/>
      <c r="G15" s="620" t="n"/>
      <c r="H15" s="620" t="n"/>
      <c r="I15" s="620" t="n"/>
      <c r="J15" s="620" t="n"/>
      <c r="K15" s="621" t="n"/>
      <c r="M15" s="578" t="inlineStr">
        <is>
          <t>Кликните на продукт, чтобы просмотреть изображение</t>
        </is>
      </c>
      <c r="Y15" s="58" t="n"/>
      <c r="Z15" s="58" t="n"/>
      <c r="AA15" s="58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5" t="n"/>
      <c r="N16" s="645" t="n"/>
      <c r="O16" s="645" t="n"/>
      <c r="P16" s="645" t="n"/>
      <c r="Q16" s="6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2" t="inlineStr">
        <is>
          <t>Код единицы продаж</t>
        </is>
      </c>
      <c r="B17" s="562" t="inlineStr">
        <is>
          <t>Код продукта</t>
        </is>
      </c>
      <c r="C17" s="580" t="inlineStr">
        <is>
          <t>Номер варианта</t>
        </is>
      </c>
      <c r="D17" s="562" t="inlineStr">
        <is>
          <t xml:space="preserve">Штрих-код </t>
        </is>
      </c>
      <c r="E17" s="646" t="n"/>
      <c r="F17" s="562" t="inlineStr">
        <is>
          <t>Вес нетто штуки, кг</t>
        </is>
      </c>
      <c r="G17" s="562" t="inlineStr">
        <is>
          <t>Кол-во штук в коробе, шт</t>
        </is>
      </c>
      <c r="H17" s="562" t="inlineStr">
        <is>
          <t>Вес нетто короба, кг</t>
        </is>
      </c>
      <c r="I17" s="562" t="inlineStr">
        <is>
          <t>Вес брутто короба, кг</t>
        </is>
      </c>
      <c r="J17" s="562" t="inlineStr">
        <is>
          <t>Кол-во кор. на паллте, шт</t>
        </is>
      </c>
      <c r="K17" s="562" t="inlineStr">
        <is>
          <t>Завод</t>
        </is>
      </c>
      <c r="L17" s="562" t="inlineStr">
        <is>
          <t>Срок годности, сут.</t>
        </is>
      </c>
      <c r="M17" s="562" t="inlineStr">
        <is>
          <t>Наименование</t>
        </is>
      </c>
      <c r="N17" s="647" t="n"/>
      <c r="O17" s="647" t="n"/>
      <c r="P17" s="647" t="n"/>
      <c r="Q17" s="646" t="n"/>
      <c r="R17" s="579" t="inlineStr">
        <is>
          <t>Доступно к отгрузке</t>
        </is>
      </c>
      <c r="S17" s="621" t="n"/>
      <c r="T17" s="562" t="inlineStr">
        <is>
          <t>Ед. изм.</t>
        </is>
      </c>
      <c r="U17" s="562" t="inlineStr">
        <is>
          <t>Заказ</t>
        </is>
      </c>
      <c r="V17" s="563" t="inlineStr">
        <is>
          <t>Заказ с округлением до короба</t>
        </is>
      </c>
      <c r="W17" s="562" t="inlineStr">
        <is>
          <t>Объём заказа, м3</t>
        </is>
      </c>
      <c r="X17" s="565" t="inlineStr">
        <is>
          <t>Примечание по продуктку</t>
        </is>
      </c>
      <c r="Y17" s="565" t="inlineStr">
        <is>
          <t>Признак "НОВИНКА"</t>
        </is>
      </c>
      <c r="Z17" s="565" t="inlineStr">
        <is>
          <t>Для формул</t>
        </is>
      </c>
      <c r="AA17" s="648" t="n"/>
      <c r="AB17" s="649" t="n"/>
      <c r="AC17" s="572" t="n"/>
      <c r="AZ17" s="573" t="inlineStr">
        <is>
          <t>Вид продукции</t>
        </is>
      </c>
    </row>
    <row r="18" ht="14.25" customHeight="1">
      <c r="A18" s="650" t="n"/>
      <c r="B18" s="650" t="n"/>
      <c r="C18" s="650" t="n"/>
      <c r="D18" s="651" t="n"/>
      <c r="E18" s="652" t="n"/>
      <c r="F18" s="650" t="n"/>
      <c r="G18" s="650" t="n"/>
      <c r="H18" s="650" t="n"/>
      <c r="I18" s="650" t="n"/>
      <c r="J18" s="650" t="n"/>
      <c r="K18" s="650" t="n"/>
      <c r="L18" s="650" t="n"/>
      <c r="M18" s="651" t="n"/>
      <c r="N18" s="653" t="n"/>
      <c r="O18" s="653" t="n"/>
      <c r="P18" s="653" t="n"/>
      <c r="Q18" s="652" t="n"/>
      <c r="R18" s="579" t="inlineStr">
        <is>
          <t>начиная с</t>
        </is>
      </c>
      <c r="S18" s="579" t="inlineStr">
        <is>
          <t>до</t>
        </is>
      </c>
      <c r="T18" s="650" t="n"/>
      <c r="U18" s="650" t="n"/>
      <c r="V18" s="654" t="n"/>
      <c r="W18" s="650" t="n"/>
      <c r="X18" s="655" t="n"/>
      <c r="Y18" s="655" t="n"/>
      <c r="Z18" s="656" t="n"/>
      <c r="AA18" s="657" t="n"/>
      <c r="AB18" s="658" t="n"/>
      <c r="AC18" s="659" t="n"/>
      <c r="AZ18" s="1" t="n"/>
    </row>
    <row r="19" ht="27.75" customHeight="1">
      <c r="A19" s="331" t="inlineStr">
        <is>
          <t>Ядрена копоть</t>
        </is>
      </c>
      <c r="B19" s="660" t="n"/>
      <c r="C19" s="660" t="n"/>
      <c r="D19" s="660" t="n"/>
      <c r="E19" s="660" t="n"/>
      <c r="F19" s="660" t="n"/>
      <c r="G19" s="660" t="n"/>
      <c r="H19" s="660" t="n"/>
      <c r="I19" s="660" t="n"/>
      <c r="J19" s="660" t="n"/>
      <c r="K19" s="660" t="n"/>
      <c r="L19" s="660" t="n"/>
      <c r="M19" s="660" t="n"/>
      <c r="N19" s="660" t="n"/>
      <c r="O19" s="660" t="n"/>
      <c r="P19" s="660" t="n"/>
      <c r="Q19" s="660" t="n"/>
      <c r="R19" s="660" t="n"/>
      <c r="S19" s="660" t="n"/>
      <c r="T19" s="660" t="n"/>
      <c r="U19" s="660" t="n"/>
      <c r="V19" s="660" t="n"/>
      <c r="W19" s="660" t="n"/>
      <c r="X19" s="53" t="n"/>
      <c r="Y19" s="53" t="n"/>
    </row>
    <row r="20" ht="16.5" customHeight="1">
      <c r="A20" s="32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5" t="n"/>
      <c r="Y20" s="325" t="n"/>
    </row>
    <row r="21" ht="14.25" customHeight="1">
      <c r="A21" s="32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6" t="n"/>
      <c r="Y21" s="326" t="n"/>
    </row>
    <row r="22" ht="27" customHeight="1">
      <c r="A22" s="61" t="inlineStr">
        <is>
          <t>SU002447</t>
        </is>
      </c>
      <c r="B22" s="61" t="inlineStr">
        <is>
          <t>P002730</t>
        </is>
      </c>
      <c r="C22" s="35" t="n">
        <v>4301031106</v>
      </c>
      <c r="D22" s="310" t="n">
        <v>4607091389258</v>
      </c>
      <c r="E22" s="629" t="n"/>
      <c r="F22" s="661" t="n">
        <v>0.3</v>
      </c>
      <c r="G22" s="36" t="n">
        <v>6</v>
      </c>
      <c r="H22" s="661" t="n">
        <v>1.8</v>
      </c>
      <c r="I22" s="661" t="n">
        <v>2</v>
      </c>
      <c r="J22" s="36" t="n">
        <v>156</v>
      </c>
      <c r="K22" s="37" t="inlineStr">
        <is>
          <t>СК2</t>
        </is>
      </c>
      <c r="L22" s="36" t="n">
        <v>35</v>
      </c>
      <c r="M22" s="6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3" t="n"/>
      <c r="O22" s="663" t="n"/>
      <c r="P22" s="663" t="n"/>
      <c r="Q22" s="629" t="n"/>
      <c r="R22" s="38" t="inlineStr"/>
      <c r="S22" s="38" t="inlineStr"/>
      <c r="T22" s="39" t="inlineStr">
        <is>
          <t>кг</t>
        </is>
      </c>
      <c r="U22" s="664" t="n">
        <v>0</v>
      </c>
      <c r="V22" s="665">
        <f>IFERROR(IF(U22="",0,CEILING((U22/$H22),1)*$H22),"")</f>
        <v/>
      </c>
      <c r="W22" s="40">
        <f>IFERROR(IF(V22=0,"",ROUNDUP(V22/H22,0)*0.00753),"")</f>
        <v/>
      </c>
      <c r="X22" s="66" t="inlineStr"/>
      <c r="Y22" s="67" t="inlineStr"/>
      <c r="AC22" s="68" t="n"/>
      <c r="AZ22" s="70" t="inlineStr">
        <is>
          <t>КИ</t>
        </is>
      </c>
    </row>
    <row r="23">
      <c r="A23" s="31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6" t="n"/>
      <c r="M23" s="667" t="inlineStr">
        <is>
          <t>Итого</t>
        </is>
      </c>
      <c r="N23" s="637" t="n"/>
      <c r="O23" s="637" t="n"/>
      <c r="P23" s="637" t="n"/>
      <c r="Q23" s="637" t="n"/>
      <c r="R23" s="637" t="n"/>
      <c r="S23" s="638" t="n"/>
      <c r="T23" s="41" t="inlineStr">
        <is>
          <t>кор</t>
        </is>
      </c>
      <c r="U23" s="668">
        <f>IFERROR(U22/H22,"0")</f>
        <v/>
      </c>
      <c r="V23" s="668">
        <f>IFERROR(V22/H22,"0")</f>
        <v/>
      </c>
      <c r="W23" s="668">
        <f>IFERROR(IF(W22="",0,W22),"0")</f>
        <v/>
      </c>
      <c r="X23" s="669" t="n"/>
      <c r="Y23" s="6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6" t="n"/>
      <c r="M24" s="667" t="inlineStr">
        <is>
          <t>Итого</t>
        </is>
      </c>
      <c r="N24" s="637" t="n"/>
      <c r="O24" s="637" t="n"/>
      <c r="P24" s="637" t="n"/>
      <c r="Q24" s="637" t="n"/>
      <c r="R24" s="637" t="n"/>
      <c r="S24" s="638" t="n"/>
      <c r="T24" s="41" t="inlineStr">
        <is>
          <t>кг</t>
        </is>
      </c>
      <c r="U24" s="668">
        <f>IFERROR(SUM(U22:U22),"0")</f>
        <v/>
      </c>
      <c r="V24" s="668">
        <f>IFERROR(SUM(V22:V22),"0")</f>
        <v/>
      </c>
      <c r="W24" s="41" t="n"/>
      <c r="X24" s="669" t="n"/>
      <c r="Y24" s="669" t="n"/>
    </row>
    <row r="25" ht="14.25" customHeight="1">
      <c r="A25" s="32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6" t="n"/>
      <c r="Y25" s="326" t="n"/>
    </row>
    <row r="26" ht="27" customHeight="1">
      <c r="A26" s="61" t="inlineStr">
        <is>
          <t>SU002155</t>
        </is>
      </c>
      <c r="B26" s="61" t="inlineStr">
        <is>
          <t>P002325</t>
        </is>
      </c>
      <c r="C26" s="35" t="n">
        <v>4301051176</v>
      </c>
      <c r="D26" s="310" t="n">
        <v>4607091383881</v>
      </c>
      <c r="E26" s="629" t="n"/>
      <c r="F26" s="661" t="n">
        <v>0.33</v>
      </c>
      <c r="G26" s="36" t="n">
        <v>6</v>
      </c>
      <c r="H26" s="661" t="n">
        <v>1.98</v>
      </c>
      <c r="I26" s="661" t="n">
        <v>2.246</v>
      </c>
      <c r="J26" s="36" t="n">
        <v>156</v>
      </c>
      <c r="K26" s="37" t="inlineStr">
        <is>
          <t>СК2</t>
        </is>
      </c>
      <c r="L26" s="36" t="n">
        <v>35</v>
      </c>
      <c r="M26" s="6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3" t="n"/>
      <c r="O26" s="663" t="n"/>
      <c r="P26" s="663" t="n"/>
      <c r="Q26" s="629" t="n"/>
      <c r="R26" s="38" t="inlineStr"/>
      <c r="S26" s="38" t="inlineStr"/>
      <c r="T26" s="39" t="inlineStr">
        <is>
          <t>кг</t>
        </is>
      </c>
      <c r="U26" s="664" t="n">
        <v>0</v>
      </c>
      <c r="V26" s="665">
        <f>IFERROR(IF(U26="",0,CEILING((U26/$H26),1)*$H26),"")</f>
        <v/>
      </c>
      <c r="W26" s="40">
        <f>IFERROR(IF(V26=0,"",ROUNDUP(V26/H26,0)*0.00753),"")</f>
        <v/>
      </c>
      <c r="X26" s="66" t="inlineStr"/>
      <c r="Y26" s="67" t="inlineStr"/>
      <c r="AC26" s="68" t="n"/>
      <c r="AZ26" s="71" t="inlineStr">
        <is>
          <t>КИ</t>
        </is>
      </c>
    </row>
    <row r="27" ht="27" customHeight="1">
      <c r="A27" s="61" t="inlineStr">
        <is>
          <t>SU000341</t>
        </is>
      </c>
      <c r="B27" s="61" t="inlineStr">
        <is>
          <t>P002465</t>
        </is>
      </c>
      <c r="C27" s="35" t="n">
        <v>4301051172</v>
      </c>
      <c r="D27" s="310" t="n">
        <v>4607091388237</v>
      </c>
      <c r="E27" s="629" t="n"/>
      <c r="F27" s="661" t="n">
        <v>0.42</v>
      </c>
      <c r="G27" s="36" t="n">
        <v>6</v>
      </c>
      <c r="H27" s="661" t="n">
        <v>2.52</v>
      </c>
      <c r="I27" s="661" t="n">
        <v>2.786</v>
      </c>
      <c r="J27" s="36" t="n">
        <v>156</v>
      </c>
      <c r="K27" s="37" t="inlineStr">
        <is>
          <t>СК2</t>
        </is>
      </c>
      <c r="L27" s="36" t="n">
        <v>35</v>
      </c>
      <c r="M27" s="67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3" t="n"/>
      <c r="O27" s="663" t="n"/>
      <c r="P27" s="663" t="n"/>
      <c r="Q27" s="629" t="n"/>
      <c r="R27" s="38" t="inlineStr"/>
      <c r="S27" s="38" t="inlineStr"/>
      <c r="T27" s="39" t="inlineStr">
        <is>
          <t>кг</t>
        </is>
      </c>
      <c r="U27" s="664" t="n">
        <v>0</v>
      </c>
      <c r="V27" s="665">
        <f>IFERROR(IF(U27="",0,CEILING((U27/$H27),1)*$H27),"")</f>
        <v/>
      </c>
      <c r="W27" s="40">
        <f>IFERROR(IF(V27=0,"",ROUNDUP(V27/H27,0)*0.00753),"")</f>
        <v/>
      </c>
      <c r="X27" s="66" t="inlineStr"/>
      <c r="Y27" s="67" t="inlineStr"/>
      <c r="AC27" s="68" t="n"/>
      <c r="AZ27" s="72" t="inlineStr">
        <is>
          <t>КИ</t>
        </is>
      </c>
    </row>
    <row r="28" ht="27" customHeight="1">
      <c r="A28" s="61" t="inlineStr">
        <is>
          <t>SU002230</t>
        </is>
      </c>
      <c r="B28" s="61" t="inlineStr">
        <is>
          <t>P002425</t>
        </is>
      </c>
      <c r="C28" s="35" t="n">
        <v>4301051180</v>
      </c>
      <c r="D28" s="310" t="n">
        <v>4607091383935</v>
      </c>
      <c r="E28" s="629" t="n"/>
      <c r="F28" s="661" t="n">
        <v>0.33</v>
      </c>
      <c r="G28" s="36" t="n">
        <v>6</v>
      </c>
      <c r="H28" s="661" t="n">
        <v>1.98</v>
      </c>
      <c r="I28" s="661" t="n">
        <v>2.246</v>
      </c>
      <c r="J28" s="36" t="n">
        <v>156</v>
      </c>
      <c r="K28" s="37" t="inlineStr">
        <is>
          <t>СК2</t>
        </is>
      </c>
      <c r="L28" s="36" t="n">
        <v>30</v>
      </c>
      <c r="M28" s="6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3" t="n"/>
      <c r="O28" s="663" t="n"/>
      <c r="P28" s="663" t="n"/>
      <c r="Q28" s="629" t="n"/>
      <c r="R28" s="38" t="inlineStr"/>
      <c r="S28" s="38" t="inlineStr"/>
      <c r="T28" s="39" t="inlineStr">
        <is>
          <t>кг</t>
        </is>
      </c>
      <c r="U28" s="664" t="n">
        <v>0</v>
      </c>
      <c r="V28" s="665">
        <f>IFERROR(IF(U28="",0,CEILING((U28/$H28),1)*$H28),"")</f>
        <v/>
      </c>
      <c r="W28" s="40">
        <f>IFERROR(IF(V28=0,"",ROUNDUP(V28/H28,0)*0.00753),"")</f>
        <v/>
      </c>
      <c r="X28" s="66" t="inlineStr"/>
      <c r="Y28" s="67" t="inlineStr"/>
      <c r="AC28" s="68" t="n"/>
      <c r="AZ28" s="73" t="inlineStr">
        <is>
          <t>КИ</t>
        </is>
      </c>
    </row>
    <row r="29" ht="27" customHeight="1">
      <c r="A29" s="61" t="inlineStr">
        <is>
          <t>SU002893</t>
        </is>
      </c>
      <c r="B29" s="61" t="inlineStr">
        <is>
          <t>P003317</t>
        </is>
      </c>
      <c r="C29" s="35" t="n">
        <v>4301051426</v>
      </c>
      <c r="D29" s="310" t="n">
        <v>4680115881853</v>
      </c>
      <c r="E29" s="629" t="n"/>
      <c r="F29" s="661" t="n">
        <v>0.33</v>
      </c>
      <c r="G29" s="36" t="n">
        <v>6</v>
      </c>
      <c r="H29" s="661" t="n">
        <v>1.98</v>
      </c>
      <c r="I29" s="661" t="n">
        <v>2.246</v>
      </c>
      <c r="J29" s="36" t="n">
        <v>156</v>
      </c>
      <c r="K29" s="37" t="inlineStr">
        <is>
          <t>СК2</t>
        </is>
      </c>
      <c r="L29" s="36" t="n">
        <v>30</v>
      </c>
      <c r="M29" s="6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3" t="n"/>
      <c r="O29" s="663" t="n"/>
      <c r="P29" s="663" t="n"/>
      <c r="Q29" s="629" t="n"/>
      <c r="R29" s="38" t="inlineStr"/>
      <c r="S29" s="38" t="inlineStr"/>
      <c r="T29" s="39" t="inlineStr">
        <is>
          <t>кг</t>
        </is>
      </c>
      <c r="U29" s="664" t="n">
        <v>0</v>
      </c>
      <c r="V29" s="665">
        <f>IFERROR(IF(U29="",0,CEILING((U29/$H29),1)*$H29),"")</f>
        <v/>
      </c>
      <c r="W29" s="40">
        <f>IFERROR(IF(V29=0,"",ROUNDUP(V29/H29,0)*0.00753),"")</f>
        <v/>
      </c>
      <c r="X29" s="66" t="inlineStr"/>
      <c r="Y29" s="67" t="inlineStr"/>
      <c r="AC29" s="68" t="n"/>
      <c r="AZ29" s="74" t="inlineStr">
        <is>
          <t>КИ</t>
        </is>
      </c>
    </row>
    <row r="30" ht="27" customHeight="1">
      <c r="A30" s="61" t="inlineStr">
        <is>
          <t>SU002154</t>
        </is>
      </c>
      <c r="B30" s="61" t="inlineStr">
        <is>
          <t>P002326</t>
        </is>
      </c>
      <c r="C30" s="35" t="n">
        <v>4301051178</v>
      </c>
      <c r="D30" s="310" t="n">
        <v>4607091383911</v>
      </c>
      <c r="E30" s="629" t="n"/>
      <c r="F30" s="661" t="n">
        <v>0.33</v>
      </c>
      <c r="G30" s="36" t="n">
        <v>6</v>
      </c>
      <c r="H30" s="661" t="n">
        <v>1.98</v>
      </c>
      <c r="I30" s="661" t="n">
        <v>2.246</v>
      </c>
      <c r="J30" s="36" t="n">
        <v>156</v>
      </c>
      <c r="K30" s="37" t="inlineStr">
        <is>
          <t>СК2</t>
        </is>
      </c>
      <c r="L30" s="36" t="n">
        <v>35</v>
      </c>
      <c r="M30" s="6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3" t="n"/>
      <c r="O30" s="663" t="n"/>
      <c r="P30" s="663" t="n"/>
      <c r="Q30" s="629" t="n"/>
      <c r="R30" s="38" t="inlineStr"/>
      <c r="S30" s="38" t="inlineStr"/>
      <c r="T30" s="39" t="inlineStr">
        <is>
          <t>кг</t>
        </is>
      </c>
      <c r="U30" s="664" t="n">
        <v>0</v>
      </c>
      <c r="V30" s="665">
        <f>IFERROR(IF(U30="",0,CEILING((U30/$H30),1)*$H30),"")</f>
        <v/>
      </c>
      <c r="W30" s="40">
        <f>IFERROR(IF(V30=0,"",ROUNDUP(V30/H30,0)*0.00753),"")</f>
        <v/>
      </c>
      <c r="X30" s="66" t="inlineStr"/>
      <c r="Y30" s="67" t="inlineStr"/>
      <c r="AC30" s="68" t="n"/>
      <c r="AZ30" s="75" t="inlineStr">
        <is>
          <t>КИ</t>
        </is>
      </c>
    </row>
    <row r="31" ht="27" customHeight="1">
      <c r="A31" s="61" t="inlineStr">
        <is>
          <t>SU000152</t>
        </is>
      </c>
      <c r="B31" s="61" t="inlineStr">
        <is>
          <t>P002466</t>
        </is>
      </c>
      <c r="C31" s="35" t="n">
        <v>4301051174</v>
      </c>
      <c r="D31" s="310" t="n">
        <v>4607091388244</v>
      </c>
      <c r="E31" s="629" t="n"/>
      <c r="F31" s="661" t="n">
        <v>0.42</v>
      </c>
      <c r="G31" s="36" t="n">
        <v>6</v>
      </c>
      <c r="H31" s="661" t="n">
        <v>2.52</v>
      </c>
      <c r="I31" s="661" t="n">
        <v>2.786</v>
      </c>
      <c r="J31" s="36" t="n">
        <v>156</v>
      </c>
      <c r="K31" s="37" t="inlineStr">
        <is>
          <t>СК2</t>
        </is>
      </c>
      <c r="L31" s="36" t="n">
        <v>35</v>
      </c>
      <c r="M31" s="67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3" t="n"/>
      <c r="O31" s="663" t="n"/>
      <c r="P31" s="663" t="n"/>
      <c r="Q31" s="629" t="n"/>
      <c r="R31" s="38" t="inlineStr"/>
      <c r="S31" s="38" t="inlineStr"/>
      <c r="T31" s="39" t="inlineStr">
        <is>
          <t>кг</t>
        </is>
      </c>
      <c r="U31" s="664" t="n">
        <v>0</v>
      </c>
      <c r="V31" s="665">
        <f>IFERROR(IF(U31="",0,CEILING((U31/$H31),1)*$H31),"")</f>
        <v/>
      </c>
      <c r="W31" s="40">
        <f>IFERROR(IF(V31=0,"",ROUNDUP(V31/H31,0)*0.00753),"")</f>
        <v/>
      </c>
      <c r="X31" s="66" t="inlineStr"/>
      <c r="Y31" s="67" t="inlineStr"/>
      <c r="AC31" s="68" t="n"/>
      <c r="AZ31" s="76" t="inlineStr">
        <is>
          <t>КИ</t>
        </is>
      </c>
    </row>
    <row r="32">
      <c r="A32" s="31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6" t="n"/>
      <c r="M32" s="667" t="inlineStr">
        <is>
          <t>Итого</t>
        </is>
      </c>
      <c r="N32" s="637" t="n"/>
      <c r="O32" s="637" t="n"/>
      <c r="P32" s="637" t="n"/>
      <c r="Q32" s="637" t="n"/>
      <c r="R32" s="637" t="n"/>
      <c r="S32" s="638" t="n"/>
      <c r="T32" s="41" t="inlineStr">
        <is>
          <t>кор</t>
        </is>
      </c>
      <c r="U32" s="668">
        <f>IFERROR(U26/H26,"0")+IFERROR(U27/H27,"0")+IFERROR(U28/H28,"0")+IFERROR(U29/H29,"0")+IFERROR(U30/H30,"0")+IFERROR(U31/H31,"0")</f>
        <v/>
      </c>
      <c r="V32" s="668">
        <f>IFERROR(V26/H26,"0")+IFERROR(V27/H27,"0")+IFERROR(V28/H28,"0")+IFERROR(V29/H29,"0")+IFERROR(V30/H30,"0")+IFERROR(V31/H31,"0")</f>
        <v/>
      </c>
      <c r="W32" s="668">
        <f>IFERROR(IF(W26="",0,W26),"0")+IFERROR(IF(W27="",0,W27),"0")+IFERROR(IF(W28="",0,W28),"0")+IFERROR(IF(W29="",0,W29),"0")+IFERROR(IF(W30="",0,W30),"0")+IFERROR(IF(W31="",0,W31),"0")</f>
        <v/>
      </c>
      <c r="X32" s="669" t="n"/>
      <c r="Y32" s="6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6" t="n"/>
      <c r="M33" s="667" t="inlineStr">
        <is>
          <t>Итого</t>
        </is>
      </c>
      <c r="N33" s="637" t="n"/>
      <c r="O33" s="637" t="n"/>
      <c r="P33" s="637" t="n"/>
      <c r="Q33" s="637" t="n"/>
      <c r="R33" s="637" t="n"/>
      <c r="S33" s="638" t="n"/>
      <c r="T33" s="41" t="inlineStr">
        <is>
          <t>кг</t>
        </is>
      </c>
      <c r="U33" s="668">
        <f>IFERROR(SUM(U26:U31),"0")</f>
        <v/>
      </c>
      <c r="V33" s="668">
        <f>IFERROR(SUM(V26:V31),"0")</f>
        <v/>
      </c>
      <c r="W33" s="41" t="n"/>
      <c r="X33" s="669" t="n"/>
      <c r="Y33" s="669" t="n"/>
    </row>
    <row r="34" ht="14.25" customHeight="1">
      <c r="A34" s="32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6" t="n"/>
      <c r="Y34" s="326" t="n"/>
    </row>
    <row r="35" ht="27" customHeight="1">
      <c r="A35" s="61" t="inlineStr">
        <is>
          <t>SU002050</t>
        </is>
      </c>
      <c r="B35" s="61" t="inlineStr">
        <is>
          <t>P002188</t>
        </is>
      </c>
      <c r="C35" s="35" t="n">
        <v>4301032013</v>
      </c>
      <c r="D35" s="310" t="n">
        <v>4607091388503</v>
      </c>
      <c r="E35" s="629" t="n"/>
      <c r="F35" s="661" t="n">
        <v>0.05</v>
      </c>
      <c r="G35" s="36" t="n">
        <v>12</v>
      </c>
      <c r="H35" s="661" t="n">
        <v>0.6</v>
      </c>
      <c r="I35" s="661" t="n">
        <v>0.842</v>
      </c>
      <c r="J35" s="36" t="n">
        <v>156</v>
      </c>
      <c r="K35" s="37" t="inlineStr">
        <is>
          <t>АК</t>
        </is>
      </c>
      <c r="L35" s="36" t="n">
        <v>120</v>
      </c>
      <c r="M35" s="67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3" t="n"/>
      <c r="O35" s="663" t="n"/>
      <c r="P35" s="663" t="n"/>
      <c r="Q35" s="629" t="n"/>
      <c r="R35" s="38" t="inlineStr"/>
      <c r="S35" s="38" t="inlineStr"/>
      <c r="T35" s="39" t="inlineStr">
        <is>
          <t>кг</t>
        </is>
      </c>
      <c r="U35" s="664" t="n">
        <v>0</v>
      </c>
      <c r="V35" s="665">
        <f>IFERROR(IF(U35="",0,CEILING((U35/$H35),1)*$H35),"")</f>
        <v/>
      </c>
      <c r="W35" s="40">
        <f>IFERROR(IF(V35=0,"",ROUNDUP(V35/H35,0)*0.00753),"")</f>
        <v/>
      </c>
      <c r="X35" s="66" t="inlineStr"/>
      <c r="Y35" s="67" t="inlineStr"/>
      <c r="AC35" s="68" t="n"/>
      <c r="AZ35" s="77" t="inlineStr">
        <is>
          <t>СНК</t>
        </is>
      </c>
    </row>
    <row r="36" ht="27" customHeight="1">
      <c r="A36" s="61" t="inlineStr">
        <is>
          <t>SU002648</t>
        </is>
      </c>
      <c r="B36" s="61" t="inlineStr">
        <is>
          <t>P003009</t>
        </is>
      </c>
      <c r="C36" s="35" t="n">
        <v>4301032036</v>
      </c>
      <c r="D36" s="310" t="n">
        <v>4680115880139</v>
      </c>
      <c r="E36" s="629" t="n"/>
      <c r="F36" s="661" t="n">
        <v>0.025</v>
      </c>
      <c r="G36" s="36" t="n">
        <v>10</v>
      </c>
      <c r="H36" s="661" t="n">
        <v>0.25</v>
      </c>
      <c r="I36" s="661" t="n">
        <v>0.41</v>
      </c>
      <c r="J36" s="36" t="n">
        <v>234</v>
      </c>
      <c r="K36" s="37" t="inlineStr">
        <is>
          <t>МТК</t>
        </is>
      </c>
      <c r="L36" s="36" t="n">
        <v>120</v>
      </c>
      <c r="M36" s="67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3" t="n"/>
      <c r="O36" s="663" t="n"/>
      <c r="P36" s="663" t="n"/>
      <c r="Q36" s="629" t="n"/>
      <c r="R36" s="38" t="inlineStr"/>
      <c r="S36" s="38" t="inlineStr"/>
      <c r="T36" s="39" t="inlineStr">
        <is>
          <t>кг</t>
        </is>
      </c>
      <c r="U36" s="664" t="n">
        <v>0</v>
      </c>
      <c r="V36" s="665">
        <f>IFERROR(IF(U36="",0,CEILING((U36/$H36),1)*$H36),"")</f>
        <v/>
      </c>
      <c r="W36" s="40">
        <f>IFERROR(IF(V36=0,"",ROUNDUP(V36/H36,0)*0.00502),"")</f>
        <v/>
      </c>
      <c r="X36" s="66" t="inlineStr"/>
      <c r="Y36" s="67" t="inlineStr"/>
      <c r="AC36" s="68" t="n"/>
      <c r="AZ36" s="78" t="inlineStr">
        <is>
          <t>СНК</t>
        </is>
      </c>
    </row>
    <row r="37">
      <c r="A37" s="318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6" t="n"/>
      <c r="M37" s="667" t="inlineStr">
        <is>
          <t>Итого</t>
        </is>
      </c>
      <c r="N37" s="637" t="n"/>
      <c r="O37" s="637" t="n"/>
      <c r="P37" s="637" t="n"/>
      <c r="Q37" s="637" t="n"/>
      <c r="R37" s="637" t="n"/>
      <c r="S37" s="638" t="n"/>
      <c r="T37" s="41" t="inlineStr">
        <is>
          <t>кор</t>
        </is>
      </c>
      <c r="U37" s="668">
        <f>IFERROR(U35/H35,"0")+IFERROR(U36/H36,"0")</f>
        <v/>
      </c>
      <c r="V37" s="668">
        <f>IFERROR(V35/H35,"0")+IFERROR(V36/H36,"0")</f>
        <v/>
      </c>
      <c r="W37" s="668">
        <f>IFERROR(IF(W35="",0,W35),"0")+IFERROR(IF(W36="",0,W36),"0")</f>
        <v/>
      </c>
      <c r="X37" s="669" t="n"/>
      <c r="Y37" s="66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6" t="n"/>
      <c r="M38" s="667" t="inlineStr">
        <is>
          <t>Итого</t>
        </is>
      </c>
      <c r="N38" s="637" t="n"/>
      <c r="O38" s="637" t="n"/>
      <c r="P38" s="637" t="n"/>
      <c r="Q38" s="637" t="n"/>
      <c r="R38" s="637" t="n"/>
      <c r="S38" s="638" t="n"/>
      <c r="T38" s="41" t="inlineStr">
        <is>
          <t>кг</t>
        </is>
      </c>
      <c r="U38" s="668">
        <f>IFERROR(SUM(U35:U36),"0")</f>
        <v/>
      </c>
      <c r="V38" s="668">
        <f>IFERROR(SUM(V35:V36),"0")</f>
        <v/>
      </c>
      <c r="W38" s="41" t="n"/>
      <c r="X38" s="669" t="n"/>
      <c r="Y38" s="669" t="n"/>
    </row>
    <row r="39" ht="14.25" customHeight="1">
      <c r="A39" s="326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6" t="n"/>
      <c r="Y39" s="326" t="n"/>
    </row>
    <row r="40" ht="80.25" customHeight="1">
      <c r="A40" s="61" t="inlineStr">
        <is>
          <t>SU001872</t>
        </is>
      </c>
      <c r="B40" s="61" t="inlineStr">
        <is>
          <t>P001933</t>
        </is>
      </c>
      <c r="C40" s="35" t="n">
        <v>4301160001</v>
      </c>
      <c r="D40" s="310" t="n">
        <v>4607091388282</v>
      </c>
      <c r="E40" s="629" t="n"/>
      <c r="F40" s="661" t="n">
        <v>0.3</v>
      </c>
      <c r="G40" s="36" t="n">
        <v>6</v>
      </c>
      <c r="H40" s="661" t="n">
        <v>1.8</v>
      </c>
      <c r="I40" s="661" t="n">
        <v>2.084</v>
      </c>
      <c r="J40" s="36" t="n">
        <v>156</v>
      </c>
      <c r="K40" s="37" t="inlineStr">
        <is>
          <t>АК</t>
        </is>
      </c>
      <c r="L40" s="36" t="n">
        <v>30</v>
      </c>
      <c r="M40" s="6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3" t="n"/>
      <c r="O40" s="663" t="n"/>
      <c r="P40" s="663" t="n"/>
      <c r="Q40" s="629" t="n"/>
      <c r="R40" s="38" t="inlineStr"/>
      <c r="S40" s="38" t="inlineStr"/>
      <c r="T40" s="39" t="inlineStr">
        <is>
          <t>кг</t>
        </is>
      </c>
      <c r="U40" s="664" t="n">
        <v>0</v>
      </c>
      <c r="V40" s="665">
        <f>IFERROR(IF(U40="",0,CEILING((U40/$H40),1)*$H40),"")</f>
        <v/>
      </c>
      <c r="W40" s="40">
        <f>IFERROR(IF(V40=0,"",ROUNDUP(V40/H40,0)*0.00753),"")</f>
        <v/>
      </c>
      <c r="X40" s="66" t="inlineStr">
        <is>
          <t>Предзаказ по четвергам до 12:00 на отгрузку со вторника следующей недели</t>
        </is>
      </c>
      <c r="Y40" s="67" t="inlineStr"/>
      <c r="AC40" s="68" t="n"/>
      <c r="AZ40" s="79" t="inlineStr">
        <is>
          <t>КИ</t>
        </is>
      </c>
    </row>
    <row r="41">
      <c r="A41" s="318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6" t="n"/>
      <c r="M41" s="667" t="inlineStr">
        <is>
          <t>Итого</t>
        </is>
      </c>
      <c r="N41" s="637" t="n"/>
      <c r="O41" s="637" t="n"/>
      <c r="P41" s="637" t="n"/>
      <c r="Q41" s="637" t="n"/>
      <c r="R41" s="637" t="n"/>
      <c r="S41" s="638" t="n"/>
      <c r="T41" s="41" t="inlineStr">
        <is>
          <t>кор</t>
        </is>
      </c>
      <c r="U41" s="668">
        <f>IFERROR(U40/H40,"0")</f>
        <v/>
      </c>
      <c r="V41" s="668">
        <f>IFERROR(V40/H40,"0")</f>
        <v/>
      </c>
      <c r="W41" s="668">
        <f>IFERROR(IF(W40="",0,W40),"0")</f>
        <v/>
      </c>
      <c r="X41" s="669" t="n"/>
      <c r="Y41" s="66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6" t="n"/>
      <c r="M42" s="667" t="inlineStr">
        <is>
          <t>Итого</t>
        </is>
      </c>
      <c r="N42" s="637" t="n"/>
      <c r="O42" s="637" t="n"/>
      <c r="P42" s="637" t="n"/>
      <c r="Q42" s="637" t="n"/>
      <c r="R42" s="637" t="n"/>
      <c r="S42" s="638" t="n"/>
      <c r="T42" s="41" t="inlineStr">
        <is>
          <t>кг</t>
        </is>
      </c>
      <c r="U42" s="668">
        <f>IFERROR(SUM(U40:U40),"0")</f>
        <v/>
      </c>
      <c r="V42" s="668">
        <f>IFERROR(SUM(V40:V40),"0")</f>
        <v/>
      </c>
      <c r="W42" s="41" t="n"/>
      <c r="X42" s="669" t="n"/>
      <c r="Y42" s="669" t="n"/>
    </row>
    <row r="43" ht="27.75" customHeight="1">
      <c r="A43" s="331" t="inlineStr">
        <is>
          <t>Вязанка</t>
        </is>
      </c>
      <c r="B43" s="660" t="n"/>
      <c r="C43" s="660" t="n"/>
      <c r="D43" s="660" t="n"/>
      <c r="E43" s="660" t="n"/>
      <c r="F43" s="660" t="n"/>
      <c r="G43" s="660" t="n"/>
      <c r="H43" s="660" t="n"/>
      <c r="I43" s="660" t="n"/>
      <c r="J43" s="660" t="n"/>
      <c r="K43" s="660" t="n"/>
      <c r="L43" s="660" t="n"/>
      <c r="M43" s="660" t="n"/>
      <c r="N43" s="660" t="n"/>
      <c r="O43" s="660" t="n"/>
      <c r="P43" s="660" t="n"/>
      <c r="Q43" s="660" t="n"/>
      <c r="R43" s="660" t="n"/>
      <c r="S43" s="660" t="n"/>
      <c r="T43" s="660" t="n"/>
      <c r="U43" s="660" t="n"/>
      <c r="V43" s="660" t="n"/>
      <c r="W43" s="660" t="n"/>
      <c r="X43" s="53" t="n"/>
      <c r="Y43" s="53" t="n"/>
    </row>
    <row r="44" ht="16.5" customHeight="1">
      <c r="A44" s="325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5" t="n"/>
      <c r="Y44" s="325" t="n"/>
    </row>
    <row r="45" ht="14.25" customHeight="1">
      <c r="A45" s="326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6" t="n"/>
      <c r="Y45" s="326" t="n"/>
    </row>
    <row r="46" ht="27" customHeight="1">
      <c r="A46" s="61" t="inlineStr">
        <is>
          <t>SU002828</t>
        </is>
      </c>
      <c r="B46" s="61" t="inlineStr">
        <is>
          <t>P003234</t>
        </is>
      </c>
      <c r="C46" s="35" t="n">
        <v>4301020234</v>
      </c>
      <c r="D46" s="310" t="n">
        <v>4680115881440</v>
      </c>
      <c r="E46" s="629" t="n"/>
      <c r="F46" s="661" t="n">
        <v>1.35</v>
      </c>
      <c r="G46" s="36" t="n">
        <v>8</v>
      </c>
      <c r="H46" s="661" t="n">
        <v>10.8</v>
      </c>
      <c r="I46" s="661" t="n">
        <v>11.28</v>
      </c>
      <c r="J46" s="36" t="n">
        <v>56</v>
      </c>
      <c r="K46" s="37" t="inlineStr">
        <is>
          <t>СК1</t>
        </is>
      </c>
      <c r="L46" s="36" t="n">
        <v>50</v>
      </c>
      <c r="M46" s="679">
        <f>HYPERLINK("https://abi.ru/products/Охлажденные/Вязанка/Столичная/Ветчины/P003234/","Ветчины «Филейская» Весовые Вектор ТМ «Вязанка»")</f>
        <v/>
      </c>
      <c r="N46" s="663" t="n"/>
      <c r="O46" s="663" t="n"/>
      <c r="P46" s="663" t="n"/>
      <c r="Q46" s="629" t="n"/>
      <c r="R46" s="38" t="inlineStr"/>
      <c r="S46" s="38" t="inlineStr"/>
      <c r="T46" s="39" t="inlineStr">
        <is>
          <t>кг</t>
        </is>
      </c>
      <c r="U46" s="664" t="n">
        <v>100</v>
      </c>
      <c r="V46" s="665">
        <f>IFERROR(IF(U46="",0,CEILING((U46/$H46),1)*$H46),"")</f>
        <v/>
      </c>
      <c r="W46" s="40">
        <f>IFERROR(IF(V46=0,"",ROUNDUP(V46/H46,0)*0.02175),"")</f>
        <v/>
      </c>
      <c r="X46" s="66" t="inlineStr"/>
      <c r="Y46" s="67" t="inlineStr"/>
      <c r="AC46" s="68" t="n"/>
      <c r="AZ46" s="80" t="inlineStr">
        <is>
          <t>КИ</t>
        </is>
      </c>
    </row>
    <row r="47" ht="27" customHeight="1">
      <c r="A47" s="61" t="inlineStr">
        <is>
          <t>SU002814</t>
        </is>
      </c>
      <c r="B47" s="61" t="inlineStr">
        <is>
          <t>P003226</t>
        </is>
      </c>
      <c r="C47" s="35" t="n">
        <v>4301020232</v>
      </c>
      <c r="D47" s="310" t="n">
        <v>4680115881433</v>
      </c>
      <c r="E47" s="629" t="n"/>
      <c r="F47" s="661" t="n">
        <v>0.45</v>
      </c>
      <c r="G47" s="36" t="n">
        <v>6</v>
      </c>
      <c r="H47" s="661" t="n">
        <v>2.7</v>
      </c>
      <c r="I47" s="661" t="n">
        <v>2.9</v>
      </c>
      <c r="J47" s="36" t="n">
        <v>156</v>
      </c>
      <c r="K47" s="37" t="inlineStr">
        <is>
          <t>СК1</t>
        </is>
      </c>
      <c r="L47" s="36" t="n">
        <v>50</v>
      </c>
      <c r="M47" s="680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3" t="n"/>
      <c r="O47" s="663" t="n"/>
      <c r="P47" s="663" t="n"/>
      <c r="Q47" s="629" t="n"/>
      <c r="R47" s="38" t="inlineStr"/>
      <c r="S47" s="38" t="inlineStr"/>
      <c r="T47" s="39" t="inlineStr">
        <is>
          <t>кг</t>
        </is>
      </c>
      <c r="U47" s="664" t="n">
        <v>0</v>
      </c>
      <c r="V47" s="665">
        <f>IFERROR(IF(U47="",0,CEILING((U47/$H47),1)*$H47),"")</f>
        <v/>
      </c>
      <c r="W47" s="40">
        <f>IFERROR(IF(V47=0,"",ROUNDUP(V47/H47,0)*0.00753),"")</f>
        <v/>
      </c>
      <c r="X47" s="66" t="inlineStr"/>
      <c r="Y47" s="67" t="inlineStr"/>
      <c r="AC47" s="68" t="n"/>
      <c r="AZ47" s="81" t="inlineStr">
        <is>
          <t>КИ</t>
        </is>
      </c>
    </row>
    <row r="48">
      <c r="A48" s="318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6" t="n"/>
      <c r="M48" s="667" t="inlineStr">
        <is>
          <t>Итого</t>
        </is>
      </c>
      <c r="N48" s="637" t="n"/>
      <c r="O48" s="637" t="n"/>
      <c r="P48" s="637" t="n"/>
      <c r="Q48" s="637" t="n"/>
      <c r="R48" s="637" t="n"/>
      <c r="S48" s="638" t="n"/>
      <c r="T48" s="41" t="inlineStr">
        <is>
          <t>кор</t>
        </is>
      </c>
      <c r="U48" s="668">
        <f>IFERROR(U46/H46,"0")+IFERROR(U47/H47,"0")</f>
        <v/>
      </c>
      <c r="V48" s="668">
        <f>IFERROR(V46/H46,"0")+IFERROR(V47/H47,"0")</f>
        <v/>
      </c>
      <c r="W48" s="668">
        <f>IFERROR(IF(W46="",0,W46),"0")+IFERROR(IF(W47="",0,W47),"0")</f>
        <v/>
      </c>
      <c r="X48" s="669" t="n"/>
      <c r="Y48" s="669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6" t="n"/>
      <c r="M49" s="667" t="inlineStr">
        <is>
          <t>Итого</t>
        </is>
      </c>
      <c r="N49" s="637" t="n"/>
      <c r="O49" s="637" t="n"/>
      <c r="P49" s="637" t="n"/>
      <c r="Q49" s="637" t="n"/>
      <c r="R49" s="637" t="n"/>
      <c r="S49" s="638" t="n"/>
      <c r="T49" s="41" t="inlineStr">
        <is>
          <t>кг</t>
        </is>
      </c>
      <c r="U49" s="668">
        <f>IFERROR(SUM(U46:U47),"0")</f>
        <v/>
      </c>
      <c r="V49" s="668">
        <f>IFERROR(SUM(V46:V47),"0")</f>
        <v/>
      </c>
      <c r="W49" s="41" t="n"/>
      <c r="X49" s="669" t="n"/>
      <c r="Y49" s="669" t="n"/>
    </row>
    <row r="50" ht="16.5" customHeight="1">
      <c r="A50" s="325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5" t="n"/>
      <c r="Y50" s="325" t="n"/>
    </row>
    <row r="51" ht="14.25" customHeight="1">
      <c r="A51" s="326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6" t="n"/>
      <c r="Y51" s="326" t="n"/>
    </row>
    <row r="52" ht="27" customHeight="1">
      <c r="A52" s="61" t="inlineStr">
        <is>
          <t>SU002829</t>
        </is>
      </c>
      <c r="B52" s="61" t="inlineStr">
        <is>
          <t>P003235</t>
        </is>
      </c>
      <c r="C52" s="35" t="n">
        <v>4301011452</v>
      </c>
      <c r="D52" s="310" t="n">
        <v>4680115881426</v>
      </c>
      <c r="E52" s="629" t="n"/>
      <c r="F52" s="661" t="n">
        <v>1.35</v>
      </c>
      <c r="G52" s="36" t="n">
        <v>8</v>
      </c>
      <c r="H52" s="661" t="n">
        <v>10.8</v>
      </c>
      <c r="I52" s="661" t="n">
        <v>11.28</v>
      </c>
      <c r="J52" s="36" t="n">
        <v>56</v>
      </c>
      <c r="K52" s="37" t="inlineStr">
        <is>
          <t>СК1</t>
        </is>
      </c>
      <c r="L52" s="36" t="n">
        <v>50</v>
      </c>
      <c r="M52" s="68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3" t="n"/>
      <c r="O52" s="663" t="n"/>
      <c r="P52" s="663" t="n"/>
      <c r="Q52" s="629" t="n"/>
      <c r="R52" s="38" t="inlineStr"/>
      <c r="S52" s="38" t="inlineStr"/>
      <c r="T52" s="39" t="inlineStr">
        <is>
          <t>кг</t>
        </is>
      </c>
      <c r="U52" s="664" t="n">
        <v>600</v>
      </c>
      <c r="V52" s="665">
        <f>IFERROR(IF(U52="",0,CEILING((U52/$H52),1)*$H52),"")</f>
        <v/>
      </c>
      <c r="W52" s="40">
        <f>IFERROR(IF(V52=0,"",ROUNDUP(V52/H52,0)*0.02175),"")</f>
        <v/>
      </c>
      <c r="X52" s="66" t="inlineStr"/>
      <c r="Y52" s="67" t="inlineStr"/>
      <c r="AC52" s="68" t="n"/>
      <c r="AZ52" s="82" t="inlineStr">
        <is>
          <t>КИ</t>
        </is>
      </c>
    </row>
    <row r="53" ht="27" customHeight="1">
      <c r="A53" s="61" t="inlineStr">
        <is>
          <t>SU002815</t>
        </is>
      </c>
      <c r="B53" s="61" t="inlineStr">
        <is>
          <t>P003227</t>
        </is>
      </c>
      <c r="C53" s="35" t="n">
        <v>4301011437</v>
      </c>
      <c r="D53" s="310" t="n">
        <v>4680115881419</v>
      </c>
      <c r="E53" s="629" t="n"/>
      <c r="F53" s="661" t="n">
        <v>0.45</v>
      </c>
      <c r="G53" s="36" t="n">
        <v>10</v>
      </c>
      <c r="H53" s="661" t="n">
        <v>4.5</v>
      </c>
      <c r="I53" s="661" t="n">
        <v>4.74</v>
      </c>
      <c r="J53" s="36" t="n">
        <v>120</v>
      </c>
      <c r="K53" s="37" t="inlineStr">
        <is>
          <t>СК1</t>
        </is>
      </c>
      <c r="L53" s="36" t="n">
        <v>50</v>
      </c>
      <c r="M53" s="6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3" t="n"/>
      <c r="O53" s="663" t="n"/>
      <c r="P53" s="663" t="n"/>
      <c r="Q53" s="629" t="n"/>
      <c r="R53" s="38" t="inlineStr"/>
      <c r="S53" s="38" t="inlineStr"/>
      <c r="T53" s="39" t="inlineStr">
        <is>
          <t>кг</t>
        </is>
      </c>
      <c r="U53" s="664" t="n">
        <v>0</v>
      </c>
      <c r="V53" s="665">
        <f>IFERROR(IF(U53="",0,CEILING((U53/$H53),1)*$H53),"")</f>
        <v/>
      </c>
      <c r="W53" s="40">
        <f>IFERROR(IF(V53=0,"",ROUNDUP(V53/H53,0)*0.00937),"")</f>
        <v/>
      </c>
      <c r="X53" s="66" t="inlineStr"/>
      <c r="Y53" s="67" t="inlineStr"/>
      <c r="AC53" s="68" t="n"/>
      <c r="AZ53" s="83" t="inlineStr">
        <is>
          <t>КИ</t>
        </is>
      </c>
    </row>
    <row r="54" ht="27" customHeight="1">
      <c r="A54" s="61" t="inlineStr">
        <is>
          <t>SU002831</t>
        </is>
      </c>
      <c r="B54" s="61" t="inlineStr">
        <is>
          <t>P003243</t>
        </is>
      </c>
      <c r="C54" s="35" t="n">
        <v>4301011458</v>
      </c>
      <c r="D54" s="310" t="n">
        <v>4680115881525</v>
      </c>
      <c r="E54" s="629" t="n"/>
      <c r="F54" s="661" t="n">
        <v>0.4</v>
      </c>
      <c r="G54" s="36" t="n">
        <v>10</v>
      </c>
      <c r="H54" s="661" t="n">
        <v>4</v>
      </c>
      <c r="I54" s="661" t="n">
        <v>4.24</v>
      </c>
      <c r="J54" s="36" t="n">
        <v>120</v>
      </c>
      <c r="K54" s="37" t="inlineStr">
        <is>
          <t>СК1</t>
        </is>
      </c>
      <c r="L54" s="36" t="n">
        <v>50</v>
      </c>
      <c r="M54" s="683" t="inlineStr">
        <is>
          <t>Колбаса вареная Филейская ТМ Вязанка ТС Классическая полиамид ф/в 0,4 кг</t>
        </is>
      </c>
      <c r="N54" s="663" t="n"/>
      <c r="O54" s="663" t="n"/>
      <c r="P54" s="663" t="n"/>
      <c r="Q54" s="629" t="n"/>
      <c r="R54" s="38" t="inlineStr"/>
      <c r="S54" s="38" t="inlineStr"/>
      <c r="T54" s="39" t="inlineStr">
        <is>
          <t>кг</t>
        </is>
      </c>
      <c r="U54" s="664" t="n">
        <v>0</v>
      </c>
      <c r="V54" s="665">
        <f>IFERROR(IF(U54="",0,CEILING((U54/$H54),1)*$H54),"")</f>
        <v/>
      </c>
      <c r="W54" s="40">
        <f>IFERROR(IF(V54=0,"",ROUNDUP(V54/H54,0)*0.00937),"")</f>
        <v/>
      </c>
      <c r="X54" s="66" t="inlineStr"/>
      <c r="Y54" s="67" t="inlineStr"/>
      <c r="AC54" s="68" t="n"/>
      <c r="AZ54" s="84" t="inlineStr">
        <is>
          <t>КИ</t>
        </is>
      </c>
    </row>
    <row r="55">
      <c r="A55" s="318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6" t="n"/>
      <c r="M55" s="667" t="inlineStr">
        <is>
          <t>Итого</t>
        </is>
      </c>
      <c r="N55" s="637" t="n"/>
      <c r="O55" s="637" t="n"/>
      <c r="P55" s="637" t="n"/>
      <c r="Q55" s="637" t="n"/>
      <c r="R55" s="637" t="n"/>
      <c r="S55" s="638" t="n"/>
      <c r="T55" s="41" t="inlineStr">
        <is>
          <t>кор</t>
        </is>
      </c>
      <c r="U55" s="668">
        <f>IFERROR(U52/H52,"0")+IFERROR(U53/H53,"0")+IFERROR(U54/H54,"0")</f>
        <v/>
      </c>
      <c r="V55" s="668">
        <f>IFERROR(V52/H52,"0")+IFERROR(V53/H53,"0")+IFERROR(V54/H54,"0")</f>
        <v/>
      </c>
      <c r="W55" s="668">
        <f>IFERROR(IF(W52="",0,W52),"0")+IFERROR(IF(W53="",0,W53),"0")+IFERROR(IF(W54="",0,W54),"0")</f>
        <v/>
      </c>
      <c r="X55" s="669" t="n"/>
      <c r="Y55" s="669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6" t="n"/>
      <c r="M56" s="667" t="inlineStr">
        <is>
          <t>Итого</t>
        </is>
      </c>
      <c r="N56" s="637" t="n"/>
      <c r="O56" s="637" t="n"/>
      <c r="P56" s="637" t="n"/>
      <c r="Q56" s="637" t="n"/>
      <c r="R56" s="637" t="n"/>
      <c r="S56" s="638" t="n"/>
      <c r="T56" s="41" t="inlineStr">
        <is>
          <t>кг</t>
        </is>
      </c>
      <c r="U56" s="668">
        <f>IFERROR(SUM(U52:U54),"0")</f>
        <v/>
      </c>
      <c r="V56" s="668">
        <f>IFERROR(SUM(V52:V54),"0")</f>
        <v/>
      </c>
      <c r="W56" s="41" t="n"/>
      <c r="X56" s="669" t="n"/>
      <c r="Y56" s="669" t="n"/>
    </row>
    <row r="57" ht="16.5" customHeight="1">
      <c r="A57" s="325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5" t="n"/>
      <c r="Y57" s="325" t="n"/>
    </row>
    <row r="58" ht="14.25" customHeight="1">
      <c r="A58" s="326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6" t="n"/>
      <c r="Y58" s="326" t="n"/>
    </row>
    <row r="59" ht="27" customHeight="1">
      <c r="A59" s="61" t="inlineStr">
        <is>
          <t>SU000124</t>
        </is>
      </c>
      <c r="B59" s="61" t="inlineStr">
        <is>
          <t>P003690</t>
        </is>
      </c>
      <c r="C59" s="35" t="n">
        <v>4301011623</v>
      </c>
      <c r="D59" s="310" t="n">
        <v>4607091382945</v>
      </c>
      <c r="E59" s="629" t="n"/>
      <c r="F59" s="661" t="n">
        <v>1.4</v>
      </c>
      <c r="G59" s="36" t="n">
        <v>8</v>
      </c>
      <c r="H59" s="661" t="n">
        <v>11.2</v>
      </c>
      <c r="I59" s="661" t="n">
        <v>11.68</v>
      </c>
      <c r="J59" s="36" t="n">
        <v>56</v>
      </c>
      <c r="K59" s="37" t="inlineStr">
        <is>
          <t>СК1</t>
        </is>
      </c>
      <c r="L59" s="36" t="n">
        <v>50</v>
      </c>
      <c r="M59" s="684" t="inlineStr">
        <is>
          <t>Вареные колбасы «Вязанка со шпиком» Весовые Вектор УВВ ТМ «Вязанка»</t>
        </is>
      </c>
      <c r="N59" s="663" t="n"/>
      <c r="O59" s="663" t="n"/>
      <c r="P59" s="663" t="n"/>
      <c r="Q59" s="629" t="n"/>
      <c r="R59" s="38" t="inlineStr"/>
      <c r="S59" s="38" t="inlineStr"/>
      <c r="T59" s="39" t="inlineStr">
        <is>
          <t>кг</t>
        </is>
      </c>
      <c r="U59" s="664" t="n">
        <v>0</v>
      </c>
      <c r="V59" s="665">
        <f>IFERROR(IF(U59="",0,CEILING((U59/$H59),1)*$H59),"")</f>
        <v/>
      </c>
      <c r="W59" s="40">
        <f>IFERROR(IF(V59=0,"",ROUNDUP(V59/H59,0)*0.02175),"")</f>
        <v/>
      </c>
      <c r="X59" s="66" t="inlineStr"/>
      <c r="Y59" s="67" t="inlineStr"/>
      <c r="AC59" s="68" t="n"/>
      <c r="AZ59" s="85" t="inlineStr">
        <is>
          <t>КИ</t>
        </is>
      </c>
    </row>
    <row r="60" ht="27" customHeight="1">
      <c r="A60" s="61" t="inlineStr">
        <is>
          <t>SU000722</t>
        </is>
      </c>
      <c r="B60" s="61" t="inlineStr">
        <is>
          <t>P003011</t>
        </is>
      </c>
      <c r="C60" s="35" t="n">
        <v>4301011380</v>
      </c>
      <c r="D60" s="310" t="n">
        <v>4607091385670</v>
      </c>
      <c r="E60" s="629" t="n"/>
      <c r="F60" s="661" t="n">
        <v>1.35</v>
      </c>
      <c r="G60" s="36" t="n">
        <v>8</v>
      </c>
      <c r="H60" s="661" t="n">
        <v>10.8</v>
      </c>
      <c r="I60" s="661" t="n">
        <v>11.28</v>
      </c>
      <c r="J60" s="36" t="n">
        <v>56</v>
      </c>
      <c r="K60" s="37" t="inlineStr">
        <is>
          <t>СК1</t>
        </is>
      </c>
      <c r="L60" s="36" t="n">
        <v>50</v>
      </c>
      <c r="M60" s="6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3" t="n"/>
      <c r="O60" s="663" t="n"/>
      <c r="P60" s="663" t="n"/>
      <c r="Q60" s="629" t="n"/>
      <c r="R60" s="38" t="inlineStr"/>
      <c r="S60" s="38" t="inlineStr"/>
      <c r="T60" s="39" t="inlineStr">
        <is>
          <t>кг</t>
        </is>
      </c>
      <c r="U60" s="664" t="n">
        <v>0</v>
      </c>
      <c r="V60" s="665">
        <f>IFERROR(IF(U60="",0,CEILING((U60/$H60),1)*$H60),"")</f>
        <v/>
      </c>
      <c r="W60" s="40">
        <f>IFERROR(IF(V60=0,"",ROUNDUP(V60/H60,0)*0.02175),"")</f>
        <v/>
      </c>
      <c r="X60" s="66" t="inlineStr"/>
      <c r="Y60" s="67" t="inlineStr"/>
      <c r="AC60" s="68" t="n"/>
      <c r="AZ60" s="86" t="inlineStr">
        <is>
          <t>КИ</t>
        </is>
      </c>
    </row>
    <row r="61" ht="27" customHeight="1">
      <c r="A61" s="61" t="inlineStr">
        <is>
          <t>SU002830</t>
        </is>
      </c>
      <c r="B61" s="61" t="inlineStr">
        <is>
          <t>P003239</t>
        </is>
      </c>
      <c r="C61" s="35" t="n">
        <v>4301011468</v>
      </c>
      <c r="D61" s="310" t="n">
        <v>4680115881327</v>
      </c>
      <c r="E61" s="629" t="n"/>
      <c r="F61" s="661" t="n">
        <v>1.35</v>
      </c>
      <c r="G61" s="36" t="n">
        <v>8</v>
      </c>
      <c r="H61" s="661" t="n">
        <v>10.8</v>
      </c>
      <c r="I61" s="661" t="n">
        <v>11.28</v>
      </c>
      <c r="J61" s="36" t="n">
        <v>56</v>
      </c>
      <c r="K61" s="37" t="inlineStr">
        <is>
          <t>СК4</t>
        </is>
      </c>
      <c r="L61" s="36" t="n">
        <v>50</v>
      </c>
      <c r="M61" s="686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3" t="n"/>
      <c r="O61" s="663" t="n"/>
      <c r="P61" s="663" t="n"/>
      <c r="Q61" s="629" t="n"/>
      <c r="R61" s="38" t="inlineStr"/>
      <c r="S61" s="38" t="inlineStr"/>
      <c r="T61" s="39" t="inlineStr">
        <is>
          <t>кг</t>
        </is>
      </c>
      <c r="U61" s="664" t="n">
        <v>0</v>
      </c>
      <c r="V61" s="665">
        <f>IFERROR(IF(U61="",0,CEILING((U61/$H61),1)*$H61),"")</f>
        <v/>
      </c>
      <c r="W61" s="40">
        <f>IFERROR(IF(V61=0,"",ROUNDUP(V61/H61,0)*0.02175),"")</f>
        <v/>
      </c>
      <c r="X61" s="66" t="inlineStr"/>
      <c r="Y61" s="67" t="inlineStr"/>
      <c r="AC61" s="68" t="n"/>
      <c r="AZ61" s="87" t="inlineStr">
        <is>
          <t>КИ</t>
        </is>
      </c>
    </row>
    <row r="62" ht="16.5" customHeight="1">
      <c r="A62" s="61" t="inlineStr">
        <is>
          <t>SU002928</t>
        </is>
      </c>
      <c r="B62" s="61" t="inlineStr">
        <is>
          <t>P003357</t>
        </is>
      </c>
      <c r="C62" s="35" t="n">
        <v>4301011514</v>
      </c>
      <c r="D62" s="310" t="n">
        <v>4680115882133</v>
      </c>
      <c r="E62" s="629" t="n"/>
      <c r="F62" s="661" t="n">
        <v>1.35</v>
      </c>
      <c r="G62" s="36" t="n">
        <v>8</v>
      </c>
      <c r="H62" s="661" t="n">
        <v>10.8</v>
      </c>
      <c r="I62" s="661" t="n">
        <v>11.28</v>
      </c>
      <c r="J62" s="36" t="n">
        <v>56</v>
      </c>
      <c r="K62" s="37" t="inlineStr">
        <is>
          <t>СК1</t>
        </is>
      </c>
      <c r="L62" s="36" t="n">
        <v>50</v>
      </c>
      <c r="M62" s="687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3" t="n"/>
      <c r="O62" s="663" t="n"/>
      <c r="P62" s="663" t="n"/>
      <c r="Q62" s="629" t="n"/>
      <c r="R62" s="38" t="inlineStr"/>
      <c r="S62" s="38" t="inlineStr"/>
      <c r="T62" s="39" t="inlineStr">
        <is>
          <t>кг</t>
        </is>
      </c>
      <c r="U62" s="664" t="n">
        <v>0</v>
      </c>
      <c r="V62" s="665">
        <f>IFERROR(IF(U62="",0,CEILING((U62/$H62),1)*$H62),"")</f>
        <v/>
      </c>
      <c r="W62" s="40">
        <f>IFERROR(IF(V62=0,"",ROUNDUP(V62/H62,0)*0.02175),"")</f>
        <v/>
      </c>
      <c r="X62" s="66" t="inlineStr"/>
      <c r="Y62" s="67" t="inlineStr"/>
      <c r="AC62" s="68" t="n"/>
      <c r="AZ62" s="88" t="inlineStr">
        <is>
          <t>КИ</t>
        </is>
      </c>
    </row>
    <row r="63" ht="27" customHeight="1">
      <c r="A63" s="61" t="inlineStr">
        <is>
          <t>SU000125</t>
        </is>
      </c>
      <c r="B63" s="61" t="inlineStr">
        <is>
          <t>P002479</t>
        </is>
      </c>
      <c r="C63" s="35" t="n">
        <v>4301011192</v>
      </c>
      <c r="D63" s="310" t="n">
        <v>4607091382952</v>
      </c>
      <c r="E63" s="629" t="n"/>
      <c r="F63" s="661" t="n">
        <v>0.5</v>
      </c>
      <c r="G63" s="36" t="n">
        <v>6</v>
      </c>
      <c r="H63" s="661" t="n">
        <v>3</v>
      </c>
      <c r="I63" s="661" t="n">
        <v>3.2</v>
      </c>
      <c r="J63" s="36" t="n">
        <v>156</v>
      </c>
      <c r="K63" s="37" t="inlineStr">
        <is>
          <t>СК1</t>
        </is>
      </c>
      <c r="L63" s="36" t="n">
        <v>50</v>
      </c>
      <c r="M63" s="6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3" t="n"/>
      <c r="O63" s="663" t="n"/>
      <c r="P63" s="663" t="n"/>
      <c r="Q63" s="629" t="n"/>
      <c r="R63" s="38" t="inlineStr"/>
      <c r="S63" s="38" t="inlineStr"/>
      <c r="T63" s="39" t="inlineStr">
        <is>
          <t>кг</t>
        </is>
      </c>
      <c r="U63" s="664" t="n">
        <v>0</v>
      </c>
      <c r="V63" s="665">
        <f>IFERROR(IF(U63="",0,CEILING((U63/$H63),1)*$H63),"")</f>
        <v/>
      </c>
      <c r="W63" s="40">
        <f>IFERROR(IF(V63=0,"",ROUNDUP(V63/H63,0)*0.00753),"")</f>
        <v/>
      </c>
      <c r="X63" s="66" t="inlineStr"/>
      <c r="Y63" s="67" t="inlineStr"/>
      <c r="AC63" s="68" t="n"/>
      <c r="AZ63" s="89" t="inlineStr">
        <is>
          <t>КИ</t>
        </is>
      </c>
    </row>
    <row r="64" ht="27" customHeight="1">
      <c r="A64" s="61" t="inlineStr">
        <is>
          <t>SU001485</t>
        </is>
      </c>
      <c r="B64" s="61" t="inlineStr">
        <is>
          <t>P003008</t>
        </is>
      </c>
      <c r="C64" s="35" t="n">
        <v>4301011382</v>
      </c>
      <c r="D64" s="310" t="n">
        <v>4607091385687</v>
      </c>
      <c r="E64" s="629" t="n"/>
      <c r="F64" s="661" t="n">
        <v>0.4</v>
      </c>
      <c r="G64" s="36" t="n">
        <v>10</v>
      </c>
      <c r="H64" s="661" t="n">
        <v>4</v>
      </c>
      <c r="I64" s="661" t="n">
        <v>4.24</v>
      </c>
      <c r="J64" s="36" t="n">
        <v>120</v>
      </c>
      <c r="K64" s="37" t="inlineStr">
        <is>
          <t>СК3</t>
        </is>
      </c>
      <c r="L64" s="36" t="n">
        <v>50</v>
      </c>
      <c r="M64" s="68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3" t="n"/>
      <c r="O64" s="663" t="n"/>
      <c r="P64" s="663" t="n"/>
      <c r="Q64" s="629" t="n"/>
      <c r="R64" s="38" t="inlineStr"/>
      <c r="S64" s="38" t="inlineStr"/>
      <c r="T64" s="39" t="inlineStr">
        <is>
          <t>кг</t>
        </is>
      </c>
      <c r="U64" s="664" t="n">
        <v>0</v>
      </c>
      <c r="V64" s="665">
        <f>IFERROR(IF(U64="",0,CEILING((U64/$H64),1)*$H64),"")</f>
        <v/>
      </c>
      <c r="W64" s="40">
        <f>IFERROR(IF(V64=0,"",ROUNDUP(V64/H64,0)*0.00937),"")</f>
        <v/>
      </c>
      <c r="X64" s="66" t="inlineStr"/>
      <c r="Y64" s="67" t="inlineStr"/>
      <c r="AC64" s="68" t="n"/>
      <c r="AZ64" s="90" t="inlineStr">
        <is>
          <t>КИ</t>
        </is>
      </c>
    </row>
    <row r="65" ht="27" customHeight="1">
      <c r="A65" s="61" t="inlineStr">
        <is>
          <t>SU002986</t>
        </is>
      </c>
      <c r="B65" s="61" t="inlineStr">
        <is>
          <t>P003429</t>
        </is>
      </c>
      <c r="C65" s="35" t="n">
        <v>4301011565</v>
      </c>
      <c r="D65" s="310" t="n">
        <v>4680115882539</v>
      </c>
      <c r="E65" s="629" t="n"/>
      <c r="F65" s="661" t="n">
        <v>0.37</v>
      </c>
      <c r="G65" s="36" t="n">
        <v>10</v>
      </c>
      <c r="H65" s="661" t="n">
        <v>3.7</v>
      </c>
      <c r="I65" s="661" t="n">
        <v>3.94</v>
      </c>
      <c r="J65" s="36" t="n">
        <v>120</v>
      </c>
      <c r="K65" s="37" t="inlineStr">
        <is>
          <t>СК3</t>
        </is>
      </c>
      <c r="L65" s="36" t="n">
        <v>50</v>
      </c>
      <c r="M65" s="69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3" t="n"/>
      <c r="O65" s="663" t="n"/>
      <c r="P65" s="663" t="n"/>
      <c r="Q65" s="629" t="n"/>
      <c r="R65" s="38" t="inlineStr"/>
      <c r="S65" s="38" t="inlineStr"/>
      <c r="T65" s="39" t="inlineStr">
        <is>
          <t>кг</t>
        </is>
      </c>
      <c r="U65" s="664" t="n">
        <v>0</v>
      </c>
      <c r="V65" s="665">
        <f>IFERROR(IF(U65="",0,CEILING((U65/$H65),1)*$H65),"")</f>
        <v/>
      </c>
      <c r="W65" s="40">
        <f>IFERROR(IF(V65=0,"",ROUNDUP(V65/H65,0)*0.00937),"")</f>
        <v/>
      </c>
      <c r="X65" s="66" t="inlineStr"/>
      <c r="Y65" s="67" t="inlineStr"/>
      <c r="AC65" s="68" t="n"/>
      <c r="AZ65" s="91" t="inlineStr">
        <is>
          <t>КИ</t>
        </is>
      </c>
    </row>
    <row r="66" ht="27" customHeight="1">
      <c r="A66" s="61" t="inlineStr">
        <is>
          <t>SU002312</t>
        </is>
      </c>
      <c r="B66" s="61" t="inlineStr">
        <is>
          <t>P002577</t>
        </is>
      </c>
      <c r="C66" s="35" t="n">
        <v>4301011344</v>
      </c>
      <c r="D66" s="310" t="n">
        <v>4607091384604</v>
      </c>
      <c r="E66" s="629" t="n"/>
      <c r="F66" s="661" t="n">
        <v>0.4</v>
      </c>
      <c r="G66" s="36" t="n">
        <v>10</v>
      </c>
      <c r="H66" s="661" t="n">
        <v>4</v>
      </c>
      <c r="I66" s="661" t="n">
        <v>4.24</v>
      </c>
      <c r="J66" s="36" t="n">
        <v>120</v>
      </c>
      <c r="K66" s="37" t="inlineStr">
        <is>
          <t>СК1</t>
        </is>
      </c>
      <c r="L66" s="36" t="n">
        <v>50</v>
      </c>
      <c r="M66" s="6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3" t="n"/>
      <c r="O66" s="663" t="n"/>
      <c r="P66" s="663" t="n"/>
      <c r="Q66" s="629" t="n"/>
      <c r="R66" s="38" t="inlineStr"/>
      <c r="S66" s="38" t="inlineStr"/>
      <c r="T66" s="39" t="inlineStr">
        <is>
          <t>кг</t>
        </is>
      </c>
      <c r="U66" s="664" t="n">
        <v>0</v>
      </c>
      <c r="V66" s="665">
        <f>IFERROR(IF(U66="",0,CEILING((U66/$H66),1)*$H66),"")</f>
        <v/>
      </c>
      <c r="W66" s="40">
        <f>IFERROR(IF(V66=0,"",ROUNDUP(V66/H66,0)*0.00937),"")</f>
        <v/>
      </c>
      <c r="X66" s="66" t="inlineStr"/>
      <c r="Y66" s="67" t="inlineStr"/>
      <c r="AC66" s="68" t="n"/>
      <c r="AZ66" s="92" t="inlineStr">
        <is>
          <t>КИ</t>
        </is>
      </c>
    </row>
    <row r="67" ht="27" customHeight="1">
      <c r="A67" s="61" t="inlineStr">
        <is>
          <t>SU002674</t>
        </is>
      </c>
      <c r="B67" s="61" t="inlineStr">
        <is>
          <t>P003045</t>
        </is>
      </c>
      <c r="C67" s="35" t="n">
        <v>4301011386</v>
      </c>
      <c r="D67" s="310" t="n">
        <v>4680115880283</v>
      </c>
      <c r="E67" s="629" t="n"/>
      <c r="F67" s="661" t="n">
        <v>0.6</v>
      </c>
      <c r="G67" s="36" t="n">
        <v>8</v>
      </c>
      <c r="H67" s="661" t="n">
        <v>4.8</v>
      </c>
      <c r="I67" s="661" t="n">
        <v>5.04</v>
      </c>
      <c r="J67" s="36" t="n">
        <v>120</v>
      </c>
      <c r="K67" s="37" t="inlineStr">
        <is>
          <t>СК1</t>
        </is>
      </c>
      <c r="L67" s="36" t="n">
        <v>45</v>
      </c>
      <c r="M67" s="6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3" t="n"/>
      <c r="O67" s="663" t="n"/>
      <c r="P67" s="663" t="n"/>
      <c r="Q67" s="629" t="n"/>
      <c r="R67" s="38" t="inlineStr"/>
      <c r="S67" s="38" t="inlineStr"/>
      <c r="T67" s="39" t="inlineStr">
        <is>
          <t>кг</t>
        </is>
      </c>
      <c r="U67" s="664" t="n">
        <v>0</v>
      </c>
      <c r="V67" s="665">
        <f>IFERROR(IF(U67="",0,CEILING((U67/$H67),1)*$H67),"")</f>
        <v/>
      </c>
      <c r="W67" s="40">
        <f>IFERROR(IF(V67=0,"",ROUNDUP(V67/H67,0)*0.00937),"")</f>
        <v/>
      </c>
      <c r="X67" s="66" t="inlineStr"/>
      <c r="Y67" s="67" t="inlineStr"/>
      <c r="AC67" s="68" t="n"/>
      <c r="AZ67" s="93" t="inlineStr">
        <is>
          <t>КИ</t>
        </is>
      </c>
    </row>
    <row r="68" ht="16.5" customHeight="1">
      <c r="A68" s="61" t="inlineStr">
        <is>
          <t>SU002832</t>
        </is>
      </c>
      <c r="B68" s="61" t="inlineStr">
        <is>
          <t>P003245</t>
        </is>
      </c>
      <c r="C68" s="35" t="n">
        <v>4301011476</v>
      </c>
      <c r="D68" s="310" t="n">
        <v>4680115881518</v>
      </c>
      <c r="E68" s="629" t="n"/>
      <c r="F68" s="661" t="n">
        <v>0.4</v>
      </c>
      <c r="G68" s="36" t="n">
        <v>10</v>
      </c>
      <c r="H68" s="661" t="n">
        <v>4</v>
      </c>
      <c r="I68" s="661" t="n">
        <v>4.24</v>
      </c>
      <c r="J68" s="36" t="n">
        <v>120</v>
      </c>
      <c r="K68" s="37" t="inlineStr">
        <is>
          <t>СК3</t>
        </is>
      </c>
      <c r="L68" s="36" t="n">
        <v>50</v>
      </c>
      <c r="M68" s="69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3" t="n"/>
      <c r="O68" s="663" t="n"/>
      <c r="P68" s="663" t="n"/>
      <c r="Q68" s="629" t="n"/>
      <c r="R68" s="38" t="inlineStr"/>
      <c r="S68" s="38" t="inlineStr"/>
      <c r="T68" s="39" t="inlineStr">
        <is>
          <t>кг</t>
        </is>
      </c>
      <c r="U68" s="664" t="n">
        <v>0</v>
      </c>
      <c r="V68" s="665">
        <f>IFERROR(IF(U68="",0,CEILING((U68/$H68),1)*$H68),"")</f>
        <v/>
      </c>
      <c r="W68" s="40">
        <f>IFERROR(IF(V68=0,"",ROUNDUP(V68/H68,0)*0.00937),"")</f>
        <v/>
      </c>
      <c r="X68" s="66" t="inlineStr"/>
      <c r="Y68" s="67" t="inlineStr"/>
      <c r="AC68" s="68" t="n"/>
      <c r="AZ68" s="94" t="inlineStr">
        <is>
          <t>КИ</t>
        </is>
      </c>
    </row>
    <row r="69" ht="27" customHeight="1">
      <c r="A69" s="61" t="inlineStr">
        <is>
          <t>SU002816</t>
        </is>
      </c>
      <c r="B69" s="61" t="inlineStr">
        <is>
          <t>P003228</t>
        </is>
      </c>
      <c r="C69" s="35" t="n">
        <v>4301011443</v>
      </c>
      <c r="D69" s="310" t="n">
        <v>4680115881303</v>
      </c>
      <c r="E69" s="629" t="n"/>
      <c r="F69" s="661" t="n">
        <v>0.45</v>
      </c>
      <c r="G69" s="36" t="n">
        <v>10</v>
      </c>
      <c r="H69" s="661" t="n">
        <v>4.5</v>
      </c>
      <c r="I69" s="661" t="n">
        <v>4.71</v>
      </c>
      <c r="J69" s="36" t="n">
        <v>120</v>
      </c>
      <c r="K69" s="37" t="inlineStr">
        <is>
          <t>СК4</t>
        </is>
      </c>
      <c r="L69" s="36" t="n">
        <v>50</v>
      </c>
      <c r="M69" s="69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3" t="n"/>
      <c r="O69" s="663" t="n"/>
      <c r="P69" s="663" t="n"/>
      <c r="Q69" s="629" t="n"/>
      <c r="R69" s="38" t="inlineStr"/>
      <c r="S69" s="38" t="inlineStr"/>
      <c r="T69" s="39" t="inlineStr">
        <is>
          <t>кг</t>
        </is>
      </c>
      <c r="U69" s="664" t="n">
        <v>0</v>
      </c>
      <c r="V69" s="665">
        <f>IFERROR(IF(U69="",0,CEILING((U69/$H69),1)*$H69),"")</f>
        <v/>
      </c>
      <c r="W69" s="40">
        <f>IFERROR(IF(V69=0,"",ROUNDUP(V69/H69,0)*0.00937),"")</f>
        <v/>
      </c>
      <c r="X69" s="66" t="inlineStr"/>
      <c r="Y69" s="67" t="inlineStr"/>
      <c r="AC69" s="68" t="n"/>
      <c r="AZ69" s="95" t="inlineStr">
        <is>
          <t>КИ</t>
        </is>
      </c>
    </row>
    <row r="70" ht="27" customHeight="1">
      <c r="A70" s="61" t="inlineStr">
        <is>
          <t>SU002733</t>
        </is>
      </c>
      <c r="B70" s="61" t="inlineStr">
        <is>
          <t>P003102</t>
        </is>
      </c>
      <c r="C70" s="35" t="n">
        <v>4301011417</v>
      </c>
      <c r="D70" s="310" t="n">
        <v>4680115880269</v>
      </c>
      <c r="E70" s="629" t="n"/>
      <c r="F70" s="661" t="n">
        <v>0.375</v>
      </c>
      <c r="G70" s="36" t="n">
        <v>10</v>
      </c>
      <c r="H70" s="661" t="n">
        <v>3.75</v>
      </c>
      <c r="I70" s="661" t="n">
        <v>3.99</v>
      </c>
      <c r="J70" s="36" t="n">
        <v>120</v>
      </c>
      <c r="K70" s="37" t="inlineStr">
        <is>
          <t>СК3</t>
        </is>
      </c>
      <c r="L70" s="36" t="n">
        <v>50</v>
      </c>
      <c r="M70" s="69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3" t="n"/>
      <c r="O70" s="663" t="n"/>
      <c r="P70" s="663" t="n"/>
      <c r="Q70" s="629" t="n"/>
      <c r="R70" s="38" t="inlineStr"/>
      <c r="S70" s="38" t="inlineStr"/>
      <c r="T70" s="39" t="inlineStr">
        <is>
          <t>кг</t>
        </is>
      </c>
      <c r="U70" s="664" t="n">
        <v>0</v>
      </c>
      <c r="V70" s="665">
        <f>IFERROR(IF(U70="",0,CEILING((U70/$H70),1)*$H70),"")</f>
        <v/>
      </c>
      <c r="W70" s="40">
        <f>IFERROR(IF(V70=0,"",ROUNDUP(V70/H70,0)*0.00937),"")</f>
        <v/>
      </c>
      <c r="X70" s="66" t="inlineStr"/>
      <c r="Y70" s="67" t="inlineStr"/>
      <c r="AC70" s="68" t="n"/>
      <c r="AZ70" s="96" t="inlineStr">
        <is>
          <t>КИ</t>
        </is>
      </c>
    </row>
    <row r="71" ht="16.5" customHeight="1">
      <c r="A71" s="61" t="inlineStr">
        <is>
          <t>SU002734</t>
        </is>
      </c>
      <c r="B71" s="61" t="inlineStr">
        <is>
          <t>P003103</t>
        </is>
      </c>
      <c r="C71" s="35" t="n">
        <v>4301011415</v>
      </c>
      <c r="D71" s="310" t="n">
        <v>4680115880429</v>
      </c>
      <c r="E71" s="629" t="n"/>
      <c r="F71" s="661" t="n">
        <v>0.45</v>
      </c>
      <c r="G71" s="36" t="n">
        <v>10</v>
      </c>
      <c r="H71" s="661" t="n">
        <v>4.5</v>
      </c>
      <c r="I71" s="661" t="n">
        <v>4.74</v>
      </c>
      <c r="J71" s="36" t="n">
        <v>120</v>
      </c>
      <c r="K71" s="37" t="inlineStr">
        <is>
          <t>СК3</t>
        </is>
      </c>
      <c r="L71" s="36" t="n">
        <v>50</v>
      </c>
      <c r="M71" s="69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3" t="n"/>
      <c r="O71" s="663" t="n"/>
      <c r="P71" s="663" t="n"/>
      <c r="Q71" s="629" t="n"/>
      <c r="R71" s="38" t="inlineStr"/>
      <c r="S71" s="38" t="inlineStr"/>
      <c r="T71" s="39" t="inlineStr">
        <is>
          <t>кг</t>
        </is>
      </c>
      <c r="U71" s="664" t="n">
        <v>0</v>
      </c>
      <c r="V71" s="665">
        <f>IFERROR(IF(U71="",0,CEILING((U71/$H71),1)*$H71),"")</f>
        <v/>
      </c>
      <c r="W71" s="40">
        <f>IFERROR(IF(V71=0,"",ROUNDUP(V71/H71,0)*0.00937),"")</f>
        <v/>
      </c>
      <c r="X71" s="66" t="inlineStr"/>
      <c r="Y71" s="67" t="inlineStr"/>
      <c r="AC71" s="68" t="n"/>
      <c r="AZ71" s="97" t="inlineStr">
        <is>
          <t>КИ</t>
        </is>
      </c>
    </row>
    <row r="72" ht="16.5" customHeight="1">
      <c r="A72" s="61" t="inlineStr">
        <is>
          <t>SU002827</t>
        </is>
      </c>
      <c r="B72" s="61" t="inlineStr">
        <is>
          <t>P003233</t>
        </is>
      </c>
      <c r="C72" s="35" t="n">
        <v>4301011462</v>
      </c>
      <c r="D72" s="310" t="n">
        <v>4680115881457</v>
      </c>
      <c r="E72" s="629" t="n"/>
      <c r="F72" s="661" t="n">
        <v>0.75</v>
      </c>
      <c r="G72" s="36" t="n">
        <v>6</v>
      </c>
      <c r="H72" s="661" t="n">
        <v>4.5</v>
      </c>
      <c r="I72" s="661" t="n">
        <v>4.74</v>
      </c>
      <c r="J72" s="36" t="n">
        <v>120</v>
      </c>
      <c r="K72" s="37" t="inlineStr">
        <is>
          <t>СК3</t>
        </is>
      </c>
      <c r="L72" s="36" t="n">
        <v>50</v>
      </c>
      <c r="M72" s="69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3" t="n"/>
      <c r="O72" s="663" t="n"/>
      <c r="P72" s="663" t="n"/>
      <c r="Q72" s="629" t="n"/>
      <c r="R72" s="38" t="inlineStr"/>
      <c r="S72" s="38" t="inlineStr"/>
      <c r="T72" s="39" t="inlineStr">
        <is>
          <t>кг</t>
        </is>
      </c>
      <c r="U72" s="664" t="n">
        <v>0</v>
      </c>
      <c r="V72" s="665">
        <f>IFERROR(IF(U72="",0,CEILING((U72/$H72),1)*$H72),"")</f>
        <v/>
      </c>
      <c r="W72" s="40">
        <f>IFERROR(IF(V72=0,"",ROUNDUP(V72/H72,0)*0.00937),"")</f>
        <v/>
      </c>
      <c r="X72" s="66" t="inlineStr"/>
      <c r="Y72" s="67" t="inlineStr"/>
      <c r="AC72" s="68" t="n"/>
      <c r="AZ72" s="98" t="inlineStr">
        <is>
          <t>КИ</t>
        </is>
      </c>
    </row>
    <row r="73">
      <c r="A73" s="31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6" t="n"/>
      <c r="M73" s="667" t="inlineStr">
        <is>
          <t>Итого</t>
        </is>
      </c>
      <c r="N73" s="637" t="n"/>
      <c r="O73" s="637" t="n"/>
      <c r="P73" s="637" t="n"/>
      <c r="Q73" s="637" t="n"/>
      <c r="R73" s="637" t="n"/>
      <c r="S73" s="638" t="n"/>
      <c r="T73" s="41" t="inlineStr">
        <is>
          <t>кор</t>
        </is>
      </c>
      <c r="U73" s="668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68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68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69" t="n"/>
      <c r="Y73" s="6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6" t="n"/>
      <c r="M74" s="667" t="inlineStr">
        <is>
          <t>Итого</t>
        </is>
      </c>
      <c r="N74" s="637" t="n"/>
      <c r="O74" s="637" t="n"/>
      <c r="P74" s="637" t="n"/>
      <c r="Q74" s="637" t="n"/>
      <c r="R74" s="637" t="n"/>
      <c r="S74" s="638" t="n"/>
      <c r="T74" s="41" t="inlineStr">
        <is>
          <t>кг</t>
        </is>
      </c>
      <c r="U74" s="668">
        <f>IFERROR(SUM(U59:U72),"0")</f>
        <v/>
      </c>
      <c r="V74" s="668">
        <f>IFERROR(SUM(V59:V72),"0")</f>
        <v/>
      </c>
      <c r="W74" s="41" t="n"/>
      <c r="X74" s="669" t="n"/>
      <c r="Y74" s="669" t="n"/>
    </row>
    <row r="75" ht="14.25" customHeight="1">
      <c r="A75" s="326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6" t="n"/>
      <c r="Y75" s="326" t="n"/>
    </row>
    <row r="76" ht="27" customHeight="1">
      <c r="A76" s="61" t="inlineStr">
        <is>
          <t>SU002488</t>
        </is>
      </c>
      <c r="B76" s="61" t="inlineStr">
        <is>
          <t>P002800</t>
        </is>
      </c>
      <c r="C76" s="35" t="n">
        <v>4301020189</v>
      </c>
      <c r="D76" s="310" t="n">
        <v>4607091384789</v>
      </c>
      <c r="E76" s="629" t="n"/>
      <c r="F76" s="661" t="n">
        <v>1</v>
      </c>
      <c r="G76" s="36" t="n">
        <v>6</v>
      </c>
      <c r="H76" s="661" t="n">
        <v>6</v>
      </c>
      <c r="I76" s="661" t="n">
        <v>6.36</v>
      </c>
      <c r="J76" s="36" t="n">
        <v>104</v>
      </c>
      <c r="K76" s="37" t="inlineStr">
        <is>
          <t>СК1</t>
        </is>
      </c>
      <c r="L76" s="36" t="n">
        <v>45</v>
      </c>
      <c r="M76" s="698" t="inlineStr">
        <is>
          <t>Ветчины Запекуша с сочным окороком Вязанка Весовые П/а Вязанка</t>
        </is>
      </c>
      <c r="N76" s="663" t="n"/>
      <c r="O76" s="663" t="n"/>
      <c r="P76" s="663" t="n"/>
      <c r="Q76" s="629" t="n"/>
      <c r="R76" s="38" t="inlineStr"/>
      <c r="S76" s="38" t="inlineStr"/>
      <c r="T76" s="39" t="inlineStr">
        <is>
          <t>кг</t>
        </is>
      </c>
      <c r="U76" s="664" t="n">
        <v>0</v>
      </c>
      <c r="V76" s="665">
        <f>IFERROR(IF(U76="",0,CEILING((U76/$H76),1)*$H76),"")</f>
        <v/>
      </c>
      <c r="W76" s="40">
        <f>IFERROR(IF(V76=0,"",ROUNDUP(V76/H76,0)*0.01196),"")</f>
        <v/>
      </c>
      <c r="X76" s="66" t="inlineStr"/>
      <c r="Y76" s="67" t="inlineStr"/>
      <c r="AC76" s="68" t="n"/>
      <c r="AZ76" s="99" t="inlineStr">
        <is>
          <t>КИ</t>
        </is>
      </c>
    </row>
    <row r="77" ht="16.5" customHeight="1">
      <c r="A77" s="61" t="inlineStr">
        <is>
          <t>SU002833</t>
        </is>
      </c>
      <c r="B77" s="61" t="inlineStr">
        <is>
          <t>P003236</t>
        </is>
      </c>
      <c r="C77" s="35" t="n">
        <v>4301020235</v>
      </c>
      <c r="D77" s="310" t="n">
        <v>4680115881488</v>
      </c>
      <c r="E77" s="629" t="n"/>
      <c r="F77" s="661" t="n">
        <v>1.35</v>
      </c>
      <c r="G77" s="36" t="n">
        <v>8</v>
      </c>
      <c r="H77" s="661" t="n">
        <v>10.8</v>
      </c>
      <c r="I77" s="661" t="n">
        <v>11.28</v>
      </c>
      <c r="J77" s="36" t="n">
        <v>48</v>
      </c>
      <c r="K77" s="37" t="inlineStr">
        <is>
          <t>СК1</t>
        </is>
      </c>
      <c r="L77" s="36" t="n">
        <v>50</v>
      </c>
      <c r="M77" s="699">
        <f>HYPERLINK("https://abi.ru/products/Охлажденные/Вязанка/Вязанка/Ветчины/P003236/","Ветчины Сливушка с индейкой Вязанка вес П/а Вязанка")</f>
        <v/>
      </c>
      <c r="N77" s="663" t="n"/>
      <c r="O77" s="663" t="n"/>
      <c r="P77" s="663" t="n"/>
      <c r="Q77" s="629" t="n"/>
      <c r="R77" s="38" t="inlineStr"/>
      <c r="S77" s="38" t="inlineStr"/>
      <c r="T77" s="39" t="inlineStr">
        <is>
          <t>кг</t>
        </is>
      </c>
      <c r="U77" s="664" t="n">
        <v>0</v>
      </c>
      <c r="V77" s="665">
        <f>IFERROR(IF(U77="",0,CEILING((U77/$H77),1)*$H77),"")</f>
        <v/>
      </c>
      <c r="W77" s="40">
        <f>IFERROR(IF(V77=0,"",ROUNDUP(V77/H77,0)*0.02175),"")</f>
        <v/>
      </c>
      <c r="X77" s="66" t="inlineStr"/>
      <c r="Y77" s="67" t="inlineStr"/>
      <c r="AC77" s="68" t="n"/>
      <c r="AZ77" s="100" t="inlineStr">
        <is>
          <t>КИ</t>
        </is>
      </c>
    </row>
    <row r="78" ht="27" customHeight="1">
      <c r="A78" s="61" t="inlineStr">
        <is>
          <t>SU002313</t>
        </is>
      </c>
      <c r="B78" s="61" t="inlineStr">
        <is>
          <t>P002583</t>
        </is>
      </c>
      <c r="C78" s="35" t="n">
        <v>4301020183</v>
      </c>
      <c r="D78" s="310" t="n">
        <v>4607091384765</v>
      </c>
      <c r="E78" s="629" t="n"/>
      <c r="F78" s="661" t="n">
        <v>0.42</v>
      </c>
      <c r="G78" s="36" t="n">
        <v>6</v>
      </c>
      <c r="H78" s="661" t="n">
        <v>2.52</v>
      </c>
      <c r="I78" s="661" t="n">
        <v>2.72</v>
      </c>
      <c r="J78" s="36" t="n">
        <v>156</v>
      </c>
      <c r="K78" s="37" t="inlineStr">
        <is>
          <t>СК1</t>
        </is>
      </c>
      <c r="L78" s="36" t="n">
        <v>45</v>
      </c>
      <c r="M78" s="700" t="inlineStr">
        <is>
          <t>Ветчины Запекуша с сочным окороком Вязанка Фикс.вес 0,42 п/а Вязанка</t>
        </is>
      </c>
      <c r="N78" s="663" t="n"/>
      <c r="O78" s="663" t="n"/>
      <c r="P78" s="663" t="n"/>
      <c r="Q78" s="629" t="n"/>
      <c r="R78" s="38" t="inlineStr"/>
      <c r="S78" s="38" t="inlineStr"/>
      <c r="T78" s="39" t="inlineStr">
        <is>
          <t>кг</t>
        </is>
      </c>
      <c r="U78" s="664" t="n">
        <v>0</v>
      </c>
      <c r="V78" s="665">
        <f>IFERROR(IF(U78="",0,CEILING((U78/$H78),1)*$H78),"")</f>
        <v/>
      </c>
      <c r="W78" s="40">
        <f>IFERROR(IF(V78=0,"",ROUNDUP(V78/H78,0)*0.00753),"")</f>
        <v/>
      </c>
      <c r="X78" s="66" t="inlineStr"/>
      <c r="Y78" s="67" t="inlineStr"/>
      <c r="AC78" s="68" t="n"/>
      <c r="AZ78" s="101" t="inlineStr">
        <is>
          <t>КИ</t>
        </is>
      </c>
    </row>
    <row r="79" ht="27" customHeight="1">
      <c r="A79" s="61" t="inlineStr">
        <is>
          <t>SU003037</t>
        </is>
      </c>
      <c r="B79" s="61" t="inlineStr">
        <is>
          <t>P003575</t>
        </is>
      </c>
      <c r="C79" s="35" t="n">
        <v>4301020258</v>
      </c>
      <c r="D79" s="310" t="n">
        <v>4680115882775</v>
      </c>
      <c r="E79" s="629" t="n"/>
      <c r="F79" s="661" t="n">
        <v>0.3</v>
      </c>
      <c r="G79" s="36" t="n">
        <v>8</v>
      </c>
      <c r="H79" s="661" t="n">
        <v>2.4</v>
      </c>
      <c r="I79" s="661" t="n">
        <v>2.5</v>
      </c>
      <c r="J79" s="36" t="n">
        <v>234</v>
      </c>
      <c r="K79" s="37" t="inlineStr">
        <is>
          <t>СК3</t>
        </is>
      </c>
      <c r="L79" s="36" t="n">
        <v>50</v>
      </c>
      <c r="M79" s="701" t="inlineStr">
        <is>
          <t>Ветчины «Сливушка с индейкой» Фикс.вес 0,3 П/а ТМ «Вязанка»</t>
        </is>
      </c>
      <c r="N79" s="663" t="n"/>
      <c r="O79" s="663" t="n"/>
      <c r="P79" s="663" t="n"/>
      <c r="Q79" s="629" t="n"/>
      <c r="R79" s="38" t="inlineStr"/>
      <c r="S79" s="38" t="inlineStr"/>
      <c r="T79" s="39" t="inlineStr">
        <is>
          <t>кг</t>
        </is>
      </c>
      <c r="U79" s="664" t="n">
        <v>0</v>
      </c>
      <c r="V79" s="665">
        <f>IFERROR(IF(U79="",0,CEILING((U79/$H79),1)*$H79),"")</f>
        <v/>
      </c>
      <c r="W79" s="40">
        <f>IFERROR(IF(V79=0,"",ROUNDUP(V79/H79,0)*0.00502),"")</f>
        <v/>
      </c>
      <c r="X79" s="66" t="inlineStr"/>
      <c r="Y79" s="67" t="inlineStr"/>
      <c r="AC79" s="68" t="n"/>
      <c r="AZ79" s="102" t="inlineStr">
        <is>
          <t>КИ</t>
        </is>
      </c>
    </row>
    <row r="80" ht="27" customHeight="1">
      <c r="A80" s="61" t="inlineStr">
        <is>
          <t>SU002735</t>
        </is>
      </c>
      <c r="B80" s="61" t="inlineStr">
        <is>
          <t>P003107</t>
        </is>
      </c>
      <c r="C80" s="35" t="n">
        <v>4301020217</v>
      </c>
      <c r="D80" s="310" t="n">
        <v>4680115880658</v>
      </c>
      <c r="E80" s="629" t="n"/>
      <c r="F80" s="661" t="n">
        <v>0.4</v>
      </c>
      <c r="G80" s="36" t="n">
        <v>6</v>
      </c>
      <c r="H80" s="661" t="n">
        <v>2.4</v>
      </c>
      <c r="I80" s="661" t="n">
        <v>2.6</v>
      </c>
      <c r="J80" s="36" t="n">
        <v>156</v>
      </c>
      <c r="K80" s="37" t="inlineStr">
        <is>
          <t>СК1</t>
        </is>
      </c>
      <c r="L80" s="36" t="n">
        <v>50</v>
      </c>
      <c r="M80" s="70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3" t="n"/>
      <c r="O80" s="663" t="n"/>
      <c r="P80" s="663" t="n"/>
      <c r="Q80" s="629" t="n"/>
      <c r="R80" s="38" t="inlineStr"/>
      <c r="S80" s="38" t="inlineStr"/>
      <c r="T80" s="39" t="inlineStr">
        <is>
          <t>кг</t>
        </is>
      </c>
      <c r="U80" s="664" t="n">
        <v>0</v>
      </c>
      <c r="V80" s="665">
        <f>IFERROR(IF(U80="",0,CEILING((U80/$H80),1)*$H80),"")</f>
        <v/>
      </c>
      <c r="W80" s="40">
        <f>IFERROR(IF(V80=0,"",ROUNDUP(V80/H80,0)*0.00753),"")</f>
        <v/>
      </c>
      <c r="X80" s="66" t="inlineStr"/>
      <c r="Y80" s="67" t="inlineStr"/>
      <c r="AC80" s="68" t="n"/>
      <c r="AZ80" s="103" t="inlineStr">
        <is>
          <t>КИ</t>
        </is>
      </c>
    </row>
    <row r="81" ht="27" customHeight="1">
      <c r="A81" s="61" t="inlineStr">
        <is>
          <t>SU000082</t>
        </is>
      </c>
      <c r="B81" s="61" t="inlineStr">
        <is>
          <t>P003164</t>
        </is>
      </c>
      <c r="C81" s="35" t="n">
        <v>4301020223</v>
      </c>
      <c r="D81" s="310" t="n">
        <v>4607091381962</v>
      </c>
      <c r="E81" s="629" t="n"/>
      <c r="F81" s="661" t="n">
        <v>0.5</v>
      </c>
      <c r="G81" s="36" t="n">
        <v>6</v>
      </c>
      <c r="H81" s="661" t="n">
        <v>3</v>
      </c>
      <c r="I81" s="661" t="n">
        <v>3.2</v>
      </c>
      <c r="J81" s="36" t="n">
        <v>156</v>
      </c>
      <c r="K81" s="37" t="inlineStr">
        <is>
          <t>СК1</t>
        </is>
      </c>
      <c r="L81" s="36" t="n">
        <v>50</v>
      </c>
      <c r="M81" s="703">
        <f>HYPERLINK("https://abi.ru/products/Охлажденные/Вязанка/Вязанка/Ветчины/P003164/","Ветчины Столичная Вязанка Фикс.вес 0,5 Вектор Вязанка")</f>
        <v/>
      </c>
      <c r="N81" s="663" t="n"/>
      <c r="O81" s="663" t="n"/>
      <c r="P81" s="663" t="n"/>
      <c r="Q81" s="629" t="n"/>
      <c r="R81" s="38" t="inlineStr"/>
      <c r="S81" s="38" t="inlineStr"/>
      <c r="T81" s="39" t="inlineStr">
        <is>
          <t>кг</t>
        </is>
      </c>
      <c r="U81" s="664" t="n">
        <v>0</v>
      </c>
      <c r="V81" s="665">
        <f>IFERROR(IF(U81="",0,CEILING((U81/$H81),1)*$H81),"")</f>
        <v/>
      </c>
      <c r="W81" s="40">
        <f>IFERROR(IF(V81=0,"",ROUNDUP(V81/H81,0)*0.00753),"")</f>
        <v/>
      </c>
      <c r="X81" s="66" t="inlineStr"/>
      <c r="Y81" s="67" t="inlineStr"/>
      <c r="AC81" s="68" t="n"/>
      <c r="AZ81" s="104" t="inlineStr">
        <is>
          <t>КИ</t>
        </is>
      </c>
    </row>
    <row r="82">
      <c r="A82" s="318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6" t="n"/>
      <c r="M82" s="667" t="inlineStr">
        <is>
          <t>Итого</t>
        </is>
      </c>
      <c r="N82" s="637" t="n"/>
      <c r="O82" s="637" t="n"/>
      <c r="P82" s="637" t="n"/>
      <c r="Q82" s="637" t="n"/>
      <c r="R82" s="637" t="n"/>
      <c r="S82" s="638" t="n"/>
      <c r="T82" s="41" t="inlineStr">
        <is>
          <t>кор</t>
        </is>
      </c>
      <c r="U82" s="668">
        <f>IFERROR(U76/H76,"0")+IFERROR(U77/H77,"0")+IFERROR(U78/H78,"0")+IFERROR(U79/H79,"0")+IFERROR(U80/H80,"0")+IFERROR(U81/H81,"0")</f>
        <v/>
      </c>
      <c r="V82" s="668">
        <f>IFERROR(V76/H76,"0")+IFERROR(V77/H77,"0")+IFERROR(V78/H78,"0")+IFERROR(V79/H79,"0")+IFERROR(V80/H80,"0")+IFERROR(V81/H81,"0")</f>
        <v/>
      </c>
      <c r="W82" s="668">
        <f>IFERROR(IF(W76="",0,W76),"0")+IFERROR(IF(W77="",0,W77),"0")+IFERROR(IF(W78="",0,W78),"0")+IFERROR(IF(W79="",0,W79),"0")+IFERROR(IF(W80="",0,W80),"0")+IFERROR(IF(W81="",0,W81),"0")</f>
        <v/>
      </c>
      <c r="X82" s="669" t="n"/>
      <c r="Y82" s="669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6" t="n"/>
      <c r="M83" s="667" t="inlineStr">
        <is>
          <t>Итого</t>
        </is>
      </c>
      <c r="N83" s="637" t="n"/>
      <c r="O83" s="637" t="n"/>
      <c r="P83" s="637" t="n"/>
      <c r="Q83" s="637" t="n"/>
      <c r="R83" s="637" t="n"/>
      <c r="S83" s="638" t="n"/>
      <c r="T83" s="41" t="inlineStr">
        <is>
          <t>кг</t>
        </is>
      </c>
      <c r="U83" s="668">
        <f>IFERROR(SUM(U76:U81),"0")</f>
        <v/>
      </c>
      <c r="V83" s="668">
        <f>IFERROR(SUM(V76:V81),"0")</f>
        <v/>
      </c>
      <c r="W83" s="41" t="n"/>
      <c r="X83" s="669" t="n"/>
      <c r="Y83" s="669" t="n"/>
    </row>
    <row r="84" ht="14.25" customHeight="1">
      <c r="A84" s="326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6" t="n"/>
      <c r="Y84" s="326" t="n"/>
    </row>
    <row r="85" ht="16.5" customHeight="1">
      <c r="A85" s="61" t="inlineStr">
        <is>
          <t>SU000064</t>
        </is>
      </c>
      <c r="B85" s="61" t="inlineStr">
        <is>
          <t>P001841</t>
        </is>
      </c>
      <c r="C85" s="35" t="n">
        <v>4301030895</v>
      </c>
      <c r="D85" s="310" t="n">
        <v>4607091387667</v>
      </c>
      <c r="E85" s="629" t="n"/>
      <c r="F85" s="661" t="n">
        <v>0.9</v>
      </c>
      <c r="G85" s="36" t="n">
        <v>10</v>
      </c>
      <c r="H85" s="661" t="n">
        <v>9</v>
      </c>
      <c r="I85" s="661" t="n">
        <v>9.630000000000001</v>
      </c>
      <c r="J85" s="36" t="n">
        <v>56</v>
      </c>
      <c r="K85" s="37" t="inlineStr">
        <is>
          <t>СК1</t>
        </is>
      </c>
      <c r="L85" s="36" t="n">
        <v>40</v>
      </c>
      <c r="M85" s="70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3" t="n"/>
      <c r="O85" s="663" t="n"/>
      <c r="P85" s="663" t="n"/>
      <c r="Q85" s="629" t="n"/>
      <c r="R85" s="38" t="inlineStr"/>
      <c r="S85" s="38" t="inlineStr"/>
      <c r="T85" s="39" t="inlineStr">
        <is>
          <t>кг</t>
        </is>
      </c>
      <c r="U85" s="664" t="n">
        <v>0</v>
      </c>
      <c r="V85" s="665">
        <f>IFERROR(IF(U85="",0,CEILING((U85/$H85),1)*$H85),"")</f>
        <v/>
      </c>
      <c r="W85" s="40">
        <f>IFERROR(IF(V85=0,"",ROUNDUP(V85/H85,0)*0.02175),"")</f>
        <v/>
      </c>
      <c r="X85" s="66" t="inlineStr"/>
      <c r="Y85" s="67" t="inlineStr"/>
      <c r="AC85" s="68" t="n"/>
      <c r="AZ85" s="105" t="inlineStr">
        <is>
          <t>КИ</t>
        </is>
      </c>
    </row>
    <row r="86" ht="27" customHeight="1">
      <c r="A86" s="61" t="inlineStr">
        <is>
          <t>SU000664</t>
        </is>
      </c>
      <c r="B86" s="61" t="inlineStr">
        <is>
          <t>P002177</t>
        </is>
      </c>
      <c r="C86" s="35" t="n">
        <v>4301030961</v>
      </c>
      <c r="D86" s="310" t="n">
        <v>4607091387636</v>
      </c>
      <c r="E86" s="629" t="n"/>
      <c r="F86" s="661" t="n">
        <v>0.7</v>
      </c>
      <c r="G86" s="36" t="n">
        <v>6</v>
      </c>
      <c r="H86" s="661" t="n">
        <v>4.2</v>
      </c>
      <c r="I86" s="661" t="n">
        <v>4.5</v>
      </c>
      <c r="J86" s="36" t="n">
        <v>120</v>
      </c>
      <c r="K86" s="37" t="inlineStr">
        <is>
          <t>СК2</t>
        </is>
      </c>
      <c r="L86" s="36" t="n">
        <v>40</v>
      </c>
      <c r="M86" s="70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3" t="n"/>
      <c r="O86" s="663" t="n"/>
      <c r="P86" s="663" t="n"/>
      <c r="Q86" s="629" t="n"/>
      <c r="R86" s="38" t="inlineStr"/>
      <c r="S86" s="38" t="inlineStr"/>
      <c r="T86" s="39" t="inlineStr">
        <is>
          <t>кг</t>
        </is>
      </c>
      <c r="U86" s="664" t="n">
        <v>0</v>
      </c>
      <c r="V86" s="665">
        <f>IFERROR(IF(U86="",0,CEILING((U86/$H86),1)*$H86),"")</f>
        <v/>
      </c>
      <c r="W86" s="40">
        <f>IFERROR(IF(V86=0,"",ROUNDUP(V86/H86,0)*0.00937),"")</f>
        <v/>
      </c>
      <c r="X86" s="66" t="inlineStr"/>
      <c r="Y86" s="67" t="inlineStr"/>
      <c r="AC86" s="68" t="n"/>
      <c r="AZ86" s="106" t="inlineStr">
        <is>
          <t>КИ</t>
        </is>
      </c>
    </row>
    <row r="87" ht="27" customHeight="1">
      <c r="A87" s="61" t="inlineStr">
        <is>
          <t>SU002308</t>
        </is>
      </c>
      <c r="B87" s="61" t="inlineStr">
        <is>
          <t>P002572</t>
        </is>
      </c>
      <c r="C87" s="35" t="n">
        <v>4301031078</v>
      </c>
      <c r="D87" s="310" t="n">
        <v>4607091384727</v>
      </c>
      <c r="E87" s="629" t="n"/>
      <c r="F87" s="661" t="n">
        <v>0.8</v>
      </c>
      <c r="G87" s="36" t="n">
        <v>6</v>
      </c>
      <c r="H87" s="661" t="n">
        <v>4.8</v>
      </c>
      <c r="I87" s="661" t="n">
        <v>5.16</v>
      </c>
      <c r="J87" s="36" t="n">
        <v>104</v>
      </c>
      <c r="K87" s="37" t="inlineStr">
        <is>
          <t>СК2</t>
        </is>
      </c>
      <c r="L87" s="36" t="n">
        <v>45</v>
      </c>
      <c r="M87" s="70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3" t="n"/>
      <c r="O87" s="663" t="n"/>
      <c r="P87" s="663" t="n"/>
      <c r="Q87" s="629" t="n"/>
      <c r="R87" s="38" t="inlineStr"/>
      <c r="S87" s="38" t="inlineStr"/>
      <c r="T87" s="39" t="inlineStr">
        <is>
          <t>кг</t>
        </is>
      </c>
      <c r="U87" s="664" t="n">
        <v>0</v>
      </c>
      <c r="V87" s="665">
        <f>IFERROR(IF(U87="",0,CEILING((U87/$H87),1)*$H87),"")</f>
        <v/>
      </c>
      <c r="W87" s="40">
        <f>IFERROR(IF(V87=0,"",ROUNDUP(V87/H87,0)*0.01196),"")</f>
        <v/>
      </c>
      <c r="X87" s="66" t="inlineStr"/>
      <c r="Y87" s="67" t="inlineStr"/>
      <c r="AC87" s="68" t="n"/>
      <c r="AZ87" s="107" t="inlineStr">
        <is>
          <t>КИ</t>
        </is>
      </c>
    </row>
    <row r="88" ht="27" customHeight="1">
      <c r="A88" s="61" t="inlineStr">
        <is>
          <t>SU002310</t>
        </is>
      </c>
      <c r="B88" s="61" t="inlineStr">
        <is>
          <t>P002574</t>
        </is>
      </c>
      <c r="C88" s="35" t="n">
        <v>4301031080</v>
      </c>
      <c r="D88" s="310" t="n">
        <v>4607091386745</v>
      </c>
      <c r="E88" s="629" t="n"/>
      <c r="F88" s="661" t="n">
        <v>0.8</v>
      </c>
      <c r="G88" s="36" t="n">
        <v>6</v>
      </c>
      <c r="H88" s="661" t="n">
        <v>4.8</v>
      </c>
      <c r="I88" s="661" t="n">
        <v>5.16</v>
      </c>
      <c r="J88" s="36" t="n">
        <v>104</v>
      </c>
      <c r="K88" s="37" t="inlineStr">
        <is>
          <t>СК2</t>
        </is>
      </c>
      <c r="L88" s="36" t="n">
        <v>45</v>
      </c>
      <c r="M88" s="70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3" t="n"/>
      <c r="O88" s="663" t="n"/>
      <c r="P88" s="663" t="n"/>
      <c r="Q88" s="629" t="n"/>
      <c r="R88" s="38" t="inlineStr"/>
      <c r="S88" s="38" t="inlineStr"/>
      <c r="T88" s="39" t="inlineStr">
        <is>
          <t>кг</t>
        </is>
      </c>
      <c r="U88" s="664" t="n">
        <v>0</v>
      </c>
      <c r="V88" s="665">
        <f>IFERROR(IF(U88="",0,CEILING((U88/$H88),1)*$H88),"")</f>
        <v/>
      </c>
      <c r="W88" s="40">
        <f>IFERROR(IF(V88=0,"",ROUNDUP(V88/H88,0)*0.01196),"")</f>
        <v/>
      </c>
      <c r="X88" s="66" t="inlineStr"/>
      <c r="Y88" s="67" t="inlineStr"/>
      <c r="AC88" s="68" t="n"/>
      <c r="AZ88" s="108" t="inlineStr">
        <is>
          <t>КИ</t>
        </is>
      </c>
    </row>
    <row r="89" ht="16.5" customHeight="1">
      <c r="A89" s="61" t="inlineStr">
        <is>
          <t>SU000097</t>
        </is>
      </c>
      <c r="B89" s="61" t="inlineStr">
        <is>
          <t>P002179</t>
        </is>
      </c>
      <c r="C89" s="35" t="n">
        <v>4301030963</v>
      </c>
      <c r="D89" s="310" t="n">
        <v>4607091382426</v>
      </c>
      <c r="E89" s="629" t="n"/>
      <c r="F89" s="661" t="n">
        <v>0.9</v>
      </c>
      <c r="G89" s="36" t="n">
        <v>10</v>
      </c>
      <c r="H89" s="661" t="n">
        <v>9</v>
      </c>
      <c r="I89" s="661" t="n">
        <v>9.630000000000001</v>
      </c>
      <c r="J89" s="36" t="n">
        <v>56</v>
      </c>
      <c r="K89" s="37" t="inlineStr">
        <is>
          <t>СК2</t>
        </is>
      </c>
      <c r="L89" s="36" t="n">
        <v>40</v>
      </c>
      <c r="M89" s="7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3" t="n"/>
      <c r="O89" s="663" t="n"/>
      <c r="P89" s="663" t="n"/>
      <c r="Q89" s="629" t="n"/>
      <c r="R89" s="38" t="inlineStr"/>
      <c r="S89" s="38" t="inlineStr"/>
      <c r="T89" s="39" t="inlineStr">
        <is>
          <t>кг</t>
        </is>
      </c>
      <c r="U89" s="664" t="n">
        <v>0</v>
      </c>
      <c r="V89" s="665">
        <f>IFERROR(IF(U89="",0,CEILING((U89/$H89),1)*$H89),"")</f>
        <v/>
      </c>
      <c r="W89" s="40">
        <f>IFERROR(IF(V89=0,"",ROUNDUP(V89/H89,0)*0.02175),"")</f>
        <v/>
      </c>
      <c r="X89" s="66" t="inlineStr"/>
      <c r="Y89" s="67" t="inlineStr"/>
      <c r="AC89" s="68" t="n"/>
      <c r="AZ89" s="109" t="inlineStr">
        <is>
          <t>КИ</t>
        </is>
      </c>
    </row>
    <row r="90" ht="27" customHeight="1">
      <c r="A90" s="61" t="inlineStr">
        <is>
          <t>SU000665</t>
        </is>
      </c>
      <c r="B90" s="61" t="inlineStr">
        <is>
          <t>P002178</t>
        </is>
      </c>
      <c r="C90" s="35" t="n">
        <v>4301030962</v>
      </c>
      <c r="D90" s="310" t="n">
        <v>4607091386547</v>
      </c>
      <c r="E90" s="629" t="n"/>
      <c r="F90" s="661" t="n">
        <v>0.35</v>
      </c>
      <c r="G90" s="36" t="n">
        <v>8</v>
      </c>
      <c r="H90" s="661" t="n">
        <v>2.8</v>
      </c>
      <c r="I90" s="661" t="n">
        <v>2.94</v>
      </c>
      <c r="J90" s="36" t="n">
        <v>234</v>
      </c>
      <c r="K90" s="37" t="inlineStr">
        <is>
          <t>СК2</t>
        </is>
      </c>
      <c r="L90" s="36" t="n">
        <v>40</v>
      </c>
      <c r="M90" s="7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3" t="n"/>
      <c r="O90" s="663" t="n"/>
      <c r="P90" s="663" t="n"/>
      <c r="Q90" s="629" t="n"/>
      <c r="R90" s="38" t="inlineStr"/>
      <c r="S90" s="38" t="inlineStr"/>
      <c r="T90" s="39" t="inlineStr">
        <is>
          <t>кг</t>
        </is>
      </c>
      <c r="U90" s="664" t="n">
        <v>0</v>
      </c>
      <c r="V90" s="665">
        <f>IFERROR(IF(U90="",0,CEILING((U90/$H90),1)*$H90),"")</f>
        <v/>
      </c>
      <c r="W90" s="40">
        <f>IFERROR(IF(V90=0,"",ROUNDUP(V90/H90,0)*0.00502),"")</f>
        <v/>
      </c>
      <c r="X90" s="66" t="inlineStr"/>
      <c r="Y90" s="67" t="inlineStr"/>
      <c r="AC90" s="68" t="n"/>
      <c r="AZ90" s="110" t="inlineStr">
        <is>
          <t>КИ</t>
        </is>
      </c>
    </row>
    <row r="91" ht="27" customHeight="1">
      <c r="A91" s="61" t="inlineStr">
        <is>
          <t>SU002307</t>
        </is>
      </c>
      <c r="B91" s="61" t="inlineStr">
        <is>
          <t>P002571</t>
        </is>
      </c>
      <c r="C91" s="35" t="n">
        <v>4301031077</v>
      </c>
      <c r="D91" s="310" t="n">
        <v>4607091384703</v>
      </c>
      <c r="E91" s="629" t="n"/>
      <c r="F91" s="661" t="n">
        <v>0.35</v>
      </c>
      <c r="G91" s="36" t="n">
        <v>6</v>
      </c>
      <c r="H91" s="661" t="n">
        <v>2.1</v>
      </c>
      <c r="I91" s="661" t="n">
        <v>2.2</v>
      </c>
      <c r="J91" s="36" t="n">
        <v>234</v>
      </c>
      <c r="K91" s="37" t="inlineStr">
        <is>
          <t>СК2</t>
        </is>
      </c>
      <c r="L91" s="36" t="n">
        <v>45</v>
      </c>
      <c r="M91" s="71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3" t="n"/>
      <c r="O91" s="663" t="n"/>
      <c r="P91" s="663" t="n"/>
      <c r="Q91" s="629" t="n"/>
      <c r="R91" s="38" t="inlineStr"/>
      <c r="S91" s="38" t="inlineStr"/>
      <c r="T91" s="39" t="inlineStr">
        <is>
          <t>кг</t>
        </is>
      </c>
      <c r="U91" s="664" t="n">
        <v>0</v>
      </c>
      <c r="V91" s="665">
        <f>IFERROR(IF(U91="",0,CEILING((U91/$H91),1)*$H91),"")</f>
        <v/>
      </c>
      <c r="W91" s="40">
        <f>IFERROR(IF(V91=0,"",ROUNDUP(V91/H91,0)*0.00502),"")</f>
        <v/>
      </c>
      <c r="X91" s="66" t="inlineStr"/>
      <c r="Y91" s="67" t="inlineStr"/>
      <c r="AC91" s="68" t="n"/>
      <c r="AZ91" s="111" t="inlineStr">
        <is>
          <t>КИ</t>
        </is>
      </c>
    </row>
    <row r="92" ht="27" customHeight="1">
      <c r="A92" s="61" t="inlineStr">
        <is>
          <t>SU002309</t>
        </is>
      </c>
      <c r="B92" s="61" t="inlineStr">
        <is>
          <t>P002573</t>
        </is>
      </c>
      <c r="C92" s="35" t="n">
        <v>4301031079</v>
      </c>
      <c r="D92" s="310" t="n">
        <v>4607091384734</v>
      </c>
      <c r="E92" s="629" t="n"/>
      <c r="F92" s="661" t="n">
        <v>0.35</v>
      </c>
      <c r="G92" s="36" t="n">
        <v>6</v>
      </c>
      <c r="H92" s="661" t="n">
        <v>2.1</v>
      </c>
      <c r="I92" s="661" t="n">
        <v>2.2</v>
      </c>
      <c r="J92" s="36" t="n">
        <v>234</v>
      </c>
      <c r="K92" s="37" t="inlineStr">
        <is>
          <t>СК2</t>
        </is>
      </c>
      <c r="L92" s="36" t="n">
        <v>45</v>
      </c>
      <c r="M92" s="71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3" t="n"/>
      <c r="O92" s="663" t="n"/>
      <c r="P92" s="663" t="n"/>
      <c r="Q92" s="629" t="n"/>
      <c r="R92" s="38" t="inlineStr"/>
      <c r="S92" s="38" t="inlineStr"/>
      <c r="T92" s="39" t="inlineStr">
        <is>
          <t>кг</t>
        </is>
      </c>
      <c r="U92" s="664" t="n">
        <v>0</v>
      </c>
      <c r="V92" s="665">
        <f>IFERROR(IF(U92="",0,CEILING((U92/$H92),1)*$H92),"")</f>
        <v/>
      </c>
      <c r="W92" s="40">
        <f>IFERROR(IF(V92=0,"",ROUNDUP(V92/H92,0)*0.00502),"")</f>
        <v/>
      </c>
      <c r="X92" s="66" t="inlineStr"/>
      <c r="Y92" s="67" t="inlineStr"/>
      <c r="AC92" s="68" t="n"/>
      <c r="AZ92" s="112" t="inlineStr">
        <is>
          <t>КИ</t>
        </is>
      </c>
    </row>
    <row r="93" ht="27" customHeight="1">
      <c r="A93" s="61" t="inlineStr">
        <is>
          <t>SU001605</t>
        </is>
      </c>
      <c r="B93" s="61" t="inlineStr">
        <is>
          <t>P002180</t>
        </is>
      </c>
      <c r="C93" s="35" t="n">
        <v>4301030964</v>
      </c>
      <c r="D93" s="310" t="n">
        <v>4607091382464</v>
      </c>
      <c r="E93" s="629" t="n"/>
      <c r="F93" s="661" t="n">
        <v>0.35</v>
      </c>
      <c r="G93" s="36" t="n">
        <v>8</v>
      </c>
      <c r="H93" s="661" t="n">
        <v>2.8</v>
      </c>
      <c r="I93" s="661" t="n">
        <v>2.964</v>
      </c>
      <c r="J93" s="36" t="n">
        <v>234</v>
      </c>
      <c r="K93" s="37" t="inlineStr">
        <is>
          <t>СК2</t>
        </is>
      </c>
      <c r="L93" s="36" t="n">
        <v>40</v>
      </c>
      <c r="M93" s="7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3" t="n"/>
      <c r="O93" s="663" t="n"/>
      <c r="P93" s="663" t="n"/>
      <c r="Q93" s="629" t="n"/>
      <c r="R93" s="38" t="inlineStr"/>
      <c r="S93" s="38" t="inlineStr"/>
      <c r="T93" s="39" t="inlineStr">
        <is>
          <t>кг</t>
        </is>
      </c>
      <c r="U93" s="664" t="n">
        <v>0</v>
      </c>
      <c r="V93" s="665">
        <f>IFERROR(IF(U93="",0,CEILING((U93/$H93),1)*$H93),"")</f>
        <v/>
      </c>
      <c r="W93" s="40">
        <f>IFERROR(IF(V93=0,"",ROUNDUP(V93/H93,0)*0.00502),"")</f>
        <v/>
      </c>
      <c r="X93" s="66" t="inlineStr"/>
      <c r="Y93" s="67" t="inlineStr"/>
      <c r="AC93" s="68" t="n"/>
      <c r="AZ93" s="113" t="inlineStr">
        <is>
          <t>КИ</t>
        </is>
      </c>
    </row>
    <row r="94">
      <c r="A94" s="318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6" t="n"/>
      <c r="M94" s="667" t="inlineStr">
        <is>
          <t>Итого</t>
        </is>
      </c>
      <c r="N94" s="637" t="n"/>
      <c r="O94" s="637" t="n"/>
      <c r="P94" s="637" t="n"/>
      <c r="Q94" s="637" t="n"/>
      <c r="R94" s="637" t="n"/>
      <c r="S94" s="638" t="n"/>
      <c r="T94" s="41" t="inlineStr">
        <is>
          <t>кор</t>
        </is>
      </c>
      <c r="U94" s="668">
        <f>IFERROR(U85/H85,"0")+IFERROR(U86/H86,"0")+IFERROR(U87/H87,"0")+IFERROR(U88/H88,"0")+IFERROR(U89/H89,"0")+IFERROR(U90/H90,"0")+IFERROR(U91/H91,"0")+IFERROR(U92/H92,"0")+IFERROR(U93/H93,"0")</f>
        <v/>
      </c>
      <c r="V94" s="668">
        <f>IFERROR(V85/H85,"0")+IFERROR(V86/H86,"0")+IFERROR(V87/H87,"0")+IFERROR(V88/H88,"0")+IFERROR(V89/H89,"0")+IFERROR(V90/H90,"0")+IFERROR(V91/H91,"0")+IFERROR(V92/H92,"0")+IFERROR(V93/H93,"0")</f>
        <v/>
      </c>
      <c r="W94" s="668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69" t="n"/>
      <c r="Y94" s="669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6" t="n"/>
      <c r="M95" s="667" t="inlineStr">
        <is>
          <t>Итого</t>
        </is>
      </c>
      <c r="N95" s="637" t="n"/>
      <c r="O95" s="637" t="n"/>
      <c r="P95" s="637" t="n"/>
      <c r="Q95" s="637" t="n"/>
      <c r="R95" s="637" t="n"/>
      <c r="S95" s="638" t="n"/>
      <c r="T95" s="41" t="inlineStr">
        <is>
          <t>кг</t>
        </is>
      </c>
      <c r="U95" s="668">
        <f>IFERROR(SUM(U85:U93),"0")</f>
        <v/>
      </c>
      <c r="V95" s="668">
        <f>IFERROR(SUM(V85:V93),"0")</f>
        <v/>
      </c>
      <c r="W95" s="41" t="n"/>
      <c r="X95" s="669" t="n"/>
      <c r="Y95" s="669" t="n"/>
    </row>
    <row r="96" ht="14.25" customHeight="1">
      <c r="A96" s="326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6" t="n"/>
      <c r="Y96" s="326" t="n"/>
    </row>
    <row r="97" ht="27" customHeight="1">
      <c r="A97" s="61" t="inlineStr">
        <is>
          <t>SU001523</t>
        </is>
      </c>
      <c r="B97" s="61" t="inlineStr">
        <is>
          <t>P003328</t>
        </is>
      </c>
      <c r="C97" s="35" t="n">
        <v>4301051437</v>
      </c>
      <c r="D97" s="310" t="n">
        <v>4607091386967</v>
      </c>
      <c r="E97" s="629" t="n"/>
      <c r="F97" s="661" t="n">
        <v>1.35</v>
      </c>
      <c r="G97" s="36" t="n">
        <v>6</v>
      </c>
      <c r="H97" s="661" t="n">
        <v>8.1</v>
      </c>
      <c r="I97" s="661" t="n">
        <v>8.664</v>
      </c>
      <c r="J97" s="36" t="n">
        <v>56</v>
      </c>
      <c r="K97" s="37" t="inlineStr">
        <is>
          <t>СК3</t>
        </is>
      </c>
      <c r="L97" s="36" t="n">
        <v>45</v>
      </c>
      <c r="M97" s="713" t="inlineStr">
        <is>
          <t>Сосиски Молокуши (Вязанка Молочные) Вязанка Весовые П/а мгс Вязанка</t>
        </is>
      </c>
      <c r="N97" s="663" t="n"/>
      <c r="O97" s="663" t="n"/>
      <c r="P97" s="663" t="n"/>
      <c r="Q97" s="629" t="n"/>
      <c r="R97" s="38" t="inlineStr"/>
      <c r="S97" s="38" t="inlineStr"/>
      <c r="T97" s="39" t="inlineStr">
        <is>
          <t>кг</t>
        </is>
      </c>
      <c r="U97" s="664" t="n">
        <v>0</v>
      </c>
      <c r="V97" s="665">
        <f>IFERROR(IF(U97="",0,CEILING((U97/$H97),1)*$H97),"")</f>
        <v/>
      </c>
      <c r="W97" s="40">
        <f>IFERROR(IF(V97=0,"",ROUNDUP(V97/H97,0)*0.02175),"")</f>
        <v/>
      </c>
      <c r="X97" s="66" t="inlineStr"/>
      <c r="Y97" s="67" t="inlineStr"/>
      <c r="AC97" s="68" t="n"/>
      <c r="AZ97" s="114" t="inlineStr">
        <is>
          <t>КИ</t>
        </is>
      </c>
    </row>
    <row r="98" ht="27" customHeight="1">
      <c r="A98" s="61" t="inlineStr">
        <is>
          <t>SU001523</t>
        </is>
      </c>
      <c r="B98" s="61" t="inlineStr">
        <is>
          <t>P003691</t>
        </is>
      </c>
      <c r="C98" s="35" t="n">
        <v>4301051543</v>
      </c>
      <c r="D98" s="310" t="n">
        <v>4607091386967</v>
      </c>
      <c r="E98" s="629" t="n"/>
      <c r="F98" s="661" t="n">
        <v>1.4</v>
      </c>
      <c r="G98" s="36" t="n">
        <v>6</v>
      </c>
      <c r="H98" s="661" t="n">
        <v>8.4</v>
      </c>
      <c r="I98" s="661" t="n">
        <v>8.964</v>
      </c>
      <c r="J98" s="36" t="n">
        <v>56</v>
      </c>
      <c r="K98" s="37" t="inlineStr">
        <is>
          <t>СК2</t>
        </is>
      </c>
      <c r="L98" s="36" t="n">
        <v>45</v>
      </c>
      <c r="M98" s="714" t="inlineStr">
        <is>
          <t>Сосиски «Молокуши (Вязанка Молочные)» Весовые П/а мгс УВВ ТМ «Вязанка»</t>
        </is>
      </c>
      <c r="N98" s="663" t="n"/>
      <c r="O98" s="663" t="n"/>
      <c r="P98" s="663" t="n"/>
      <c r="Q98" s="629" t="n"/>
      <c r="R98" s="38" t="inlineStr"/>
      <c r="S98" s="38" t="inlineStr"/>
      <c r="T98" s="39" t="inlineStr">
        <is>
          <t>кг</t>
        </is>
      </c>
      <c r="U98" s="664" t="n">
        <v>0</v>
      </c>
      <c r="V98" s="665">
        <f>IFERROR(IF(U98="",0,CEILING((U98/$H98),1)*$H98),"")</f>
        <v/>
      </c>
      <c r="W98" s="40">
        <f>IFERROR(IF(V98=0,"",ROUNDUP(V98/H98,0)*0.02175),"")</f>
        <v/>
      </c>
      <c r="X98" s="66" t="inlineStr"/>
      <c r="Y98" s="67" t="inlineStr"/>
      <c r="AC98" s="68" t="n"/>
      <c r="AZ98" s="115" t="inlineStr">
        <is>
          <t>КИ</t>
        </is>
      </c>
    </row>
    <row r="99" ht="16.5" customHeight="1">
      <c r="A99" s="61" t="inlineStr">
        <is>
          <t>SU001351</t>
        </is>
      </c>
      <c r="B99" s="61" t="inlineStr">
        <is>
          <t>P003025</t>
        </is>
      </c>
      <c r="C99" s="35" t="n">
        <v>4301051311</v>
      </c>
      <c r="D99" s="310" t="n">
        <v>4607091385304</v>
      </c>
      <c r="E99" s="629" t="n"/>
      <c r="F99" s="661" t="n">
        <v>1.35</v>
      </c>
      <c r="G99" s="36" t="n">
        <v>6</v>
      </c>
      <c r="H99" s="661" t="n">
        <v>8.1</v>
      </c>
      <c r="I99" s="661" t="n">
        <v>8.664</v>
      </c>
      <c r="J99" s="36" t="n">
        <v>56</v>
      </c>
      <c r="K99" s="37" t="inlineStr">
        <is>
          <t>СК2</t>
        </is>
      </c>
      <c r="L99" s="36" t="n">
        <v>40</v>
      </c>
      <c r="M99" s="715">
        <f>HYPERLINK("https://abi.ru/products/Охлажденные/Вязанка/Вязанка/Сосиски/P003025/","Сосиски Рубленые Вязанка Весовые п/а мгс Вязанка")</f>
        <v/>
      </c>
      <c r="N99" s="663" t="n"/>
      <c r="O99" s="663" t="n"/>
      <c r="P99" s="663" t="n"/>
      <c r="Q99" s="629" t="n"/>
      <c r="R99" s="38" t="inlineStr"/>
      <c r="S99" s="38" t="inlineStr"/>
      <c r="T99" s="39" t="inlineStr">
        <is>
          <t>кг</t>
        </is>
      </c>
      <c r="U99" s="664" t="n">
        <v>0</v>
      </c>
      <c r="V99" s="665">
        <f>IFERROR(IF(U99="",0,CEILING((U99/$H99),1)*$H99),"")</f>
        <v/>
      </c>
      <c r="W99" s="40">
        <f>IFERROR(IF(V99=0,"",ROUNDUP(V99/H99,0)*0.02175),"")</f>
        <v/>
      </c>
      <c r="X99" s="66" t="inlineStr"/>
      <c r="Y99" s="67" t="inlineStr"/>
      <c r="AC99" s="68" t="n"/>
      <c r="AZ99" s="116" t="inlineStr">
        <is>
          <t>КИ</t>
        </is>
      </c>
    </row>
    <row r="100" ht="16.5" customHeight="1">
      <c r="A100" s="61" t="inlineStr">
        <is>
          <t>SU001527</t>
        </is>
      </c>
      <c r="B100" s="61" t="inlineStr">
        <is>
          <t>P002217</t>
        </is>
      </c>
      <c r="C100" s="35" t="n">
        <v>4301051306</v>
      </c>
      <c r="D100" s="310" t="n">
        <v>4607091386264</v>
      </c>
      <c r="E100" s="629" t="n"/>
      <c r="F100" s="661" t="n">
        <v>0.5</v>
      </c>
      <c r="G100" s="36" t="n">
        <v>6</v>
      </c>
      <c r="H100" s="661" t="n">
        <v>3</v>
      </c>
      <c r="I100" s="661" t="n">
        <v>3.278</v>
      </c>
      <c r="J100" s="36" t="n">
        <v>156</v>
      </c>
      <c r="K100" s="37" t="inlineStr">
        <is>
          <t>СК2</t>
        </is>
      </c>
      <c r="L100" s="36" t="n">
        <v>31</v>
      </c>
      <c r="M100" s="716">
        <f>HYPERLINK("https://abi.ru/products/Охлажденные/Вязанка/Вязанка/Сосиски/P002217/","Сосиски Венские Вязанка Фикс.вес 0,5 NDX мгс Вязанка")</f>
        <v/>
      </c>
      <c r="N100" s="663" t="n"/>
      <c r="O100" s="663" t="n"/>
      <c r="P100" s="663" t="n"/>
      <c r="Q100" s="629" t="n"/>
      <c r="R100" s="38" t="inlineStr"/>
      <c r="S100" s="38" t="inlineStr"/>
      <c r="T100" s="39" t="inlineStr">
        <is>
          <t>кг</t>
        </is>
      </c>
      <c r="U100" s="664" t="n">
        <v>0</v>
      </c>
      <c r="V100" s="665">
        <f>IFERROR(IF(U100="",0,CEILING((U100/$H100),1)*$H100),"")</f>
        <v/>
      </c>
      <c r="W100" s="40">
        <f>IFERROR(IF(V100=0,"",ROUNDUP(V100/H100,0)*0.00753),"")</f>
        <v/>
      </c>
      <c r="X100" s="66" t="inlineStr"/>
      <c r="Y100" s="67" t="inlineStr"/>
      <c r="AC100" s="68" t="n"/>
      <c r="AZ100" s="117" t="inlineStr">
        <is>
          <t>КИ</t>
        </is>
      </c>
    </row>
    <row r="101" ht="27" customHeight="1">
      <c r="A101" s="61" t="inlineStr">
        <is>
          <t>SU001718</t>
        </is>
      </c>
      <c r="B101" s="61" t="inlineStr">
        <is>
          <t>P003327</t>
        </is>
      </c>
      <c r="C101" s="35" t="n">
        <v>4301051436</v>
      </c>
      <c r="D101" s="310" t="n">
        <v>4607091385731</v>
      </c>
      <c r="E101" s="629" t="n"/>
      <c r="F101" s="661" t="n">
        <v>0.45</v>
      </c>
      <c r="G101" s="36" t="n">
        <v>6</v>
      </c>
      <c r="H101" s="661" t="n">
        <v>2.7</v>
      </c>
      <c r="I101" s="661" t="n">
        <v>2.972</v>
      </c>
      <c r="J101" s="36" t="n">
        <v>156</v>
      </c>
      <c r="K101" s="37" t="inlineStr">
        <is>
          <t>СК3</t>
        </is>
      </c>
      <c r="L101" s="36" t="n">
        <v>45</v>
      </c>
      <c r="M101" s="717" t="inlineStr">
        <is>
          <t>Сосиски Молокуши (Вязанка Молочные) Вязанка Фикс.вес 0,45 П/а мгс Вязанка</t>
        </is>
      </c>
      <c r="N101" s="663" t="n"/>
      <c r="O101" s="663" t="n"/>
      <c r="P101" s="663" t="n"/>
      <c r="Q101" s="629" t="n"/>
      <c r="R101" s="38" t="inlineStr"/>
      <c r="S101" s="38" t="inlineStr"/>
      <c r="T101" s="39" t="inlineStr">
        <is>
          <t>кг</t>
        </is>
      </c>
      <c r="U101" s="664" t="n"/>
      <c r="V101" s="665">
        <f>IFERROR(IF(U101="",0,CEILING((U101/$H101),1)*$H101),"")</f>
        <v/>
      </c>
      <c r="W101" s="40">
        <f>IFERROR(IF(V101=0,"",ROUNDUP(V101/H101,0)*0.00753),"")</f>
        <v/>
      </c>
      <c r="X101" s="66" t="inlineStr"/>
      <c r="Y101" s="67" t="inlineStr"/>
      <c r="AC101" s="68" t="n"/>
      <c r="AZ101" s="118" t="inlineStr">
        <is>
          <t>КИ</t>
        </is>
      </c>
    </row>
    <row r="102" ht="27" customHeight="1">
      <c r="A102" s="61" t="inlineStr">
        <is>
          <t>SU002658</t>
        </is>
      </c>
      <c r="B102" s="61" t="inlineStr">
        <is>
          <t>P003326</t>
        </is>
      </c>
      <c r="C102" s="35" t="n">
        <v>4301051439</v>
      </c>
      <c r="D102" s="310" t="n">
        <v>4680115880214</v>
      </c>
      <c r="E102" s="629" t="n"/>
      <c r="F102" s="661" t="n">
        <v>0.45</v>
      </c>
      <c r="G102" s="36" t="n">
        <v>6</v>
      </c>
      <c r="H102" s="661" t="n">
        <v>2.7</v>
      </c>
      <c r="I102" s="661" t="n">
        <v>2.988</v>
      </c>
      <c r="J102" s="36" t="n">
        <v>120</v>
      </c>
      <c r="K102" s="37" t="inlineStr">
        <is>
          <t>СК3</t>
        </is>
      </c>
      <c r="L102" s="36" t="n">
        <v>45</v>
      </c>
      <c r="M102" s="718" t="inlineStr">
        <is>
          <t>Сосиски Молокуши миникушай Вязанка Ф/в 0,45 амилюкс мгс Вязанка</t>
        </is>
      </c>
      <c r="N102" s="663" t="n"/>
      <c r="O102" s="663" t="n"/>
      <c r="P102" s="663" t="n"/>
      <c r="Q102" s="629" t="n"/>
      <c r="R102" s="38" t="inlineStr"/>
      <c r="S102" s="38" t="inlineStr"/>
      <c r="T102" s="39" t="inlineStr">
        <is>
          <t>кг</t>
        </is>
      </c>
      <c r="U102" s="664" t="n">
        <v>0</v>
      </c>
      <c r="V102" s="665">
        <f>IFERROR(IF(U102="",0,CEILING((U102/$H102),1)*$H102),"")</f>
        <v/>
      </c>
      <c r="W102" s="40">
        <f>IFERROR(IF(V102=0,"",ROUNDUP(V102/H102,0)*0.00937),"")</f>
        <v/>
      </c>
      <c r="X102" s="66" t="inlineStr"/>
      <c r="Y102" s="67" t="inlineStr"/>
      <c r="AC102" s="68" t="n"/>
      <c r="AZ102" s="119" t="inlineStr">
        <is>
          <t>КИ</t>
        </is>
      </c>
    </row>
    <row r="103" ht="27" customHeight="1">
      <c r="A103" s="61" t="inlineStr">
        <is>
          <t>SU002769</t>
        </is>
      </c>
      <c r="B103" s="61" t="inlineStr">
        <is>
          <t>P003324</t>
        </is>
      </c>
      <c r="C103" s="35" t="n">
        <v>4301051438</v>
      </c>
      <c r="D103" s="310" t="n">
        <v>4680115880894</v>
      </c>
      <c r="E103" s="629" t="n"/>
      <c r="F103" s="661" t="n">
        <v>0.33</v>
      </c>
      <c r="G103" s="36" t="n">
        <v>6</v>
      </c>
      <c r="H103" s="661" t="n">
        <v>1.98</v>
      </c>
      <c r="I103" s="661" t="n">
        <v>2.258</v>
      </c>
      <c r="J103" s="36" t="n">
        <v>156</v>
      </c>
      <c r="K103" s="37" t="inlineStr">
        <is>
          <t>СК3</t>
        </is>
      </c>
      <c r="L103" s="36" t="n">
        <v>45</v>
      </c>
      <c r="M103" s="719" t="inlineStr">
        <is>
          <t>Сосиски Молокуши Миникушай Вязанка фикс.вес 0,33 п/а Вязанка</t>
        </is>
      </c>
      <c r="N103" s="663" t="n"/>
      <c r="O103" s="663" t="n"/>
      <c r="P103" s="663" t="n"/>
      <c r="Q103" s="629" t="n"/>
      <c r="R103" s="38" t="inlineStr"/>
      <c r="S103" s="38" t="inlineStr"/>
      <c r="T103" s="39" t="inlineStr">
        <is>
          <t>кг</t>
        </is>
      </c>
      <c r="U103" s="664" t="n">
        <v>0</v>
      </c>
      <c r="V103" s="665">
        <f>IFERROR(IF(U103="",0,CEILING((U103/$H103),1)*$H103),"")</f>
        <v/>
      </c>
      <c r="W103" s="40">
        <f>IFERROR(IF(V103=0,"",ROUNDUP(V103/H103,0)*0.00753),"")</f>
        <v/>
      </c>
      <c r="X103" s="66" t="inlineStr"/>
      <c r="Y103" s="67" t="inlineStr"/>
      <c r="AC103" s="68" t="n"/>
      <c r="AZ103" s="120" t="inlineStr">
        <is>
          <t>КИ</t>
        </is>
      </c>
    </row>
    <row r="104" ht="16.5" customHeight="1">
      <c r="A104" s="61" t="inlineStr">
        <is>
          <t>SU001354</t>
        </is>
      </c>
      <c r="B104" s="61" t="inlineStr">
        <is>
          <t>P003030</t>
        </is>
      </c>
      <c r="C104" s="35" t="n">
        <v>4301051313</v>
      </c>
      <c r="D104" s="310" t="n">
        <v>4607091385427</v>
      </c>
      <c r="E104" s="629" t="n"/>
      <c r="F104" s="661" t="n">
        <v>0.5</v>
      </c>
      <c r="G104" s="36" t="n">
        <v>6</v>
      </c>
      <c r="H104" s="661" t="n">
        <v>3</v>
      </c>
      <c r="I104" s="661" t="n">
        <v>3.272</v>
      </c>
      <c r="J104" s="36" t="n">
        <v>156</v>
      </c>
      <c r="K104" s="37" t="inlineStr">
        <is>
          <t>СК2</t>
        </is>
      </c>
      <c r="L104" s="36" t="n">
        <v>40</v>
      </c>
      <c r="M104" s="720">
        <f>HYPERLINK("https://abi.ru/products/Охлажденные/Вязанка/Вязанка/Сосиски/P003030/","Сосиски Рубленые Вязанка Фикс.вес 0,5 п/а мгс Вязанка")</f>
        <v/>
      </c>
      <c r="N104" s="663" t="n"/>
      <c r="O104" s="663" t="n"/>
      <c r="P104" s="663" t="n"/>
      <c r="Q104" s="629" t="n"/>
      <c r="R104" s="38" t="inlineStr"/>
      <c r="S104" s="38" t="inlineStr"/>
      <c r="T104" s="39" t="inlineStr">
        <is>
          <t>кг</t>
        </is>
      </c>
      <c r="U104" s="664" t="n"/>
      <c r="V104" s="665">
        <f>IFERROR(IF(U104="",0,CEILING((U104/$H104),1)*$H104),"")</f>
        <v/>
      </c>
      <c r="W104" s="40">
        <f>IFERROR(IF(V104=0,"",ROUNDUP(V104/H104,0)*0.00753),"")</f>
        <v/>
      </c>
      <c r="X104" s="66" t="inlineStr"/>
      <c r="Y104" s="67" t="inlineStr"/>
      <c r="AC104" s="68" t="n"/>
      <c r="AZ104" s="121" t="inlineStr">
        <is>
          <t>КИ</t>
        </is>
      </c>
    </row>
    <row r="105" ht="16.5" customHeight="1">
      <c r="A105" s="61" t="inlineStr">
        <is>
          <t>SU002996</t>
        </is>
      </c>
      <c r="B105" s="61" t="inlineStr">
        <is>
          <t>P003464</t>
        </is>
      </c>
      <c r="C105" s="35" t="n">
        <v>4301051480</v>
      </c>
      <c r="D105" s="310" t="n">
        <v>4680115882645</v>
      </c>
      <c r="E105" s="629" t="n"/>
      <c r="F105" s="661" t="n">
        <v>0.3</v>
      </c>
      <c r="G105" s="36" t="n">
        <v>6</v>
      </c>
      <c r="H105" s="661" t="n">
        <v>1.8</v>
      </c>
      <c r="I105" s="661" t="n">
        <v>2.66</v>
      </c>
      <c r="J105" s="36" t="n">
        <v>156</v>
      </c>
      <c r="K105" s="37" t="inlineStr">
        <is>
          <t>СК2</t>
        </is>
      </c>
      <c r="L105" s="36" t="n">
        <v>40</v>
      </c>
      <c r="M105" s="721" t="inlineStr">
        <is>
          <t>Сосиски «Сливушки с сыром» ф/в 0,3 п/а ТМ «Вязанка»</t>
        </is>
      </c>
      <c r="N105" s="663" t="n"/>
      <c r="O105" s="663" t="n"/>
      <c r="P105" s="663" t="n"/>
      <c r="Q105" s="629" t="n"/>
      <c r="R105" s="38" t="inlineStr"/>
      <c r="S105" s="38" t="inlineStr"/>
      <c r="T105" s="39" t="inlineStr">
        <is>
          <t>кг</t>
        </is>
      </c>
      <c r="U105" s="664" t="n">
        <v>0</v>
      </c>
      <c r="V105" s="665">
        <f>IFERROR(IF(U105="",0,CEILING((U105/$H105),1)*$H105),"")</f>
        <v/>
      </c>
      <c r="W105" s="40">
        <f>IFERROR(IF(V105=0,"",ROUNDUP(V105/H105,0)*0.00753),"")</f>
        <v/>
      </c>
      <c r="X105" s="66" t="inlineStr"/>
      <c r="Y105" s="67" t="inlineStr"/>
      <c r="AC105" s="68" t="n"/>
      <c r="AZ105" s="122" t="inlineStr">
        <is>
          <t>КИ</t>
        </is>
      </c>
    </row>
    <row r="106">
      <c r="A106" s="318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6" t="n"/>
      <c r="M106" s="667" t="inlineStr">
        <is>
          <t>Итого</t>
        </is>
      </c>
      <c r="N106" s="637" t="n"/>
      <c r="O106" s="637" t="n"/>
      <c r="P106" s="637" t="n"/>
      <c r="Q106" s="637" t="n"/>
      <c r="R106" s="637" t="n"/>
      <c r="S106" s="638" t="n"/>
      <c r="T106" s="41" t="inlineStr">
        <is>
          <t>кор</t>
        </is>
      </c>
      <c r="U106" s="668">
        <f>IFERROR(U97/H97,"0")+IFERROR(U98/H98,"0")+IFERROR(U99/H99,"0")+IFERROR(U100/H100,"0")+IFERROR(U101/H101,"0")+IFERROR(U102/H102,"0")+IFERROR(U103/H103,"0")+IFERROR(U104/H104,"0")+IFERROR(U105/H105,"0")</f>
        <v/>
      </c>
      <c r="V106" s="668">
        <f>IFERROR(V97/H97,"0")+IFERROR(V98/H98,"0")+IFERROR(V99/H99,"0")+IFERROR(V100/H100,"0")+IFERROR(V101/H101,"0")+IFERROR(V102/H102,"0")+IFERROR(V103/H103,"0")+IFERROR(V104/H104,"0")+IFERROR(V105/H105,"0")</f>
        <v/>
      </c>
      <c r="W106" s="668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69" t="n"/>
      <c r="Y106" s="669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6" t="n"/>
      <c r="M107" s="667" t="inlineStr">
        <is>
          <t>Итого</t>
        </is>
      </c>
      <c r="N107" s="637" t="n"/>
      <c r="O107" s="637" t="n"/>
      <c r="P107" s="637" t="n"/>
      <c r="Q107" s="637" t="n"/>
      <c r="R107" s="637" t="n"/>
      <c r="S107" s="638" t="n"/>
      <c r="T107" s="41" t="inlineStr">
        <is>
          <t>кг</t>
        </is>
      </c>
      <c r="U107" s="668">
        <f>IFERROR(SUM(U97:U105),"0")</f>
        <v/>
      </c>
      <c r="V107" s="668">
        <f>IFERROR(SUM(V97:V105),"0")</f>
        <v/>
      </c>
      <c r="W107" s="41" t="n"/>
      <c r="X107" s="669" t="n"/>
      <c r="Y107" s="669" t="n"/>
    </row>
    <row r="108" ht="14.25" customHeight="1">
      <c r="A108" s="326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6" t="n"/>
      <c r="Y108" s="326" t="n"/>
    </row>
    <row r="109" ht="27" customHeight="1">
      <c r="A109" s="61" t="inlineStr">
        <is>
          <t>SU002071</t>
        </is>
      </c>
      <c r="B109" s="61" t="inlineStr">
        <is>
          <t>P002233</t>
        </is>
      </c>
      <c r="C109" s="35" t="n">
        <v>4301060296</v>
      </c>
      <c r="D109" s="310" t="n">
        <v>4607091383065</v>
      </c>
      <c r="E109" s="629" t="n"/>
      <c r="F109" s="661" t="n">
        <v>0.83</v>
      </c>
      <c r="G109" s="36" t="n">
        <v>4</v>
      </c>
      <c r="H109" s="661" t="n">
        <v>3.32</v>
      </c>
      <c r="I109" s="661" t="n">
        <v>3.582</v>
      </c>
      <c r="J109" s="36" t="n">
        <v>120</v>
      </c>
      <c r="K109" s="37" t="inlineStr">
        <is>
          <t>СК2</t>
        </is>
      </c>
      <c r="L109" s="36" t="n">
        <v>30</v>
      </c>
      <c r="M109" s="72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3" t="n"/>
      <c r="O109" s="663" t="n"/>
      <c r="P109" s="663" t="n"/>
      <c r="Q109" s="629" t="n"/>
      <c r="R109" s="38" t="inlineStr"/>
      <c r="S109" s="38" t="inlineStr"/>
      <c r="T109" s="39" t="inlineStr">
        <is>
          <t>кг</t>
        </is>
      </c>
      <c r="U109" s="664" t="n">
        <v>0</v>
      </c>
      <c r="V109" s="665">
        <f>IFERROR(IF(U109="",0,CEILING((U109/$H109),1)*$H109),"")</f>
        <v/>
      </c>
      <c r="W109" s="40">
        <f>IFERROR(IF(V109=0,"",ROUNDUP(V109/H109,0)*0.00937),"")</f>
        <v/>
      </c>
      <c r="X109" s="66" t="inlineStr"/>
      <c r="Y109" s="67" t="inlineStr"/>
      <c r="AC109" s="68" t="n"/>
      <c r="AZ109" s="123" t="inlineStr">
        <is>
          <t>КИ</t>
        </is>
      </c>
    </row>
    <row r="110" ht="27" customHeight="1">
      <c r="A110" s="61" t="inlineStr">
        <is>
          <t>SU002835</t>
        </is>
      </c>
      <c r="B110" s="61" t="inlineStr">
        <is>
          <t>P003237</t>
        </is>
      </c>
      <c r="C110" s="35" t="n">
        <v>4301060350</v>
      </c>
      <c r="D110" s="310" t="n">
        <v>4680115881532</v>
      </c>
      <c r="E110" s="629" t="n"/>
      <c r="F110" s="661" t="n">
        <v>1.35</v>
      </c>
      <c r="G110" s="36" t="n">
        <v>6</v>
      </c>
      <c r="H110" s="661" t="n">
        <v>8.1</v>
      </c>
      <c r="I110" s="661" t="n">
        <v>8.58</v>
      </c>
      <c r="J110" s="36" t="n">
        <v>56</v>
      </c>
      <c r="K110" s="37" t="inlineStr">
        <is>
          <t>СК3</t>
        </is>
      </c>
      <c r="L110" s="36" t="n">
        <v>30</v>
      </c>
      <c r="M110" s="723">
        <f>HYPERLINK("https://abi.ru/products/Охлажденные/Вязанка/Вязанка/Сардельки/P003237/","Сардельки «Филейские» Весовые NDX мгс ТМ «Вязанка»")</f>
        <v/>
      </c>
      <c r="N110" s="663" t="n"/>
      <c r="O110" s="663" t="n"/>
      <c r="P110" s="663" t="n"/>
      <c r="Q110" s="629" t="n"/>
      <c r="R110" s="38" t="inlineStr"/>
      <c r="S110" s="38" t="inlineStr"/>
      <c r="T110" s="39" t="inlineStr">
        <is>
          <t>кг</t>
        </is>
      </c>
      <c r="U110" s="664" t="n">
        <v>0</v>
      </c>
      <c r="V110" s="665">
        <f>IFERROR(IF(U110="",0,CEILING((U110/$H110),1)*$H110),"")</f>
        <v/>
      </c>
      <c r="W110" s="40">
        <f>IFERROR(IF(V110=0,"",ROUNDUP(V110/H110,0)*0.02175),"")</f>
        <v/>
      </c>
      <c r="X110" s="66" t="inlineStr"/>
      <c r="Y110" s="67" t="inlineStr"/>
      <c r="AC110" s="68" t="n"/>
      <c r="AZ110" s="124" t="inlineStr">
        <is>
          <t>КИ</t>
        </is>
      </c>
    </row>
    <row r="111" ht="27" customHeight="1">
      <c r="A111" s="61" t="inlineStr">
        <is>
          <t>SU002997</t>
        </is>
      </c>
      <c r="B111" s="61" t="inlineStr">
        <is>
          <t>P003465</t>
        </is>
      </c>
      <c r="C111" s="35" t="n">
        <v>4301060356</v>
      </c>
      <c r="D111" s="310" t="n">
        <v>4680115882652</v>
      </c>
      <c r="E111" s="629" t="n"/>
      <c r="F111" s="661" t="n">
        <v>0.33</v>
      </c>
      <c r="G111" s="36" t="n">
        <v>6</v>
      </c>
      <c r="H111" s="661" t="n">
        <v>1.98</v>
      </c>
      <c r="I111" s="661" t="n">
        <v>2.84</v>
      </c>
      <c r="J111" s="36" t="n">
        <v>156</v>
      </c>
      <c r="K111" s="37" t="inlineStr">
        <is>
          <t>СК2</t>
        </is>
      </c>
      <c r="L111" s="36" t="n">
        <v>40</v>
      </c>
      <c r="M111" s="724" t="inlineStr">
        <is>
          <t>Сардельки «Сливушки с сыром #минидельки» ф/в 0,33 айпил ТМ «Вязанка»</t>
        </is>
      </c>
      <c r="N111" s="663" t="n"/>
      <c r="O111" s="663" t="n"/>
      <c r="P111" s="663" t="n"/>
      <c r="Q111" s="629" t="n"/>
      <c r="R111" s="38" t="inlineStr"/>
      <c r="S111" s="38" t="inlineStr"/>
      <c r="T111" s="39" t="inlineStr">
        <is>
          <t>кг</t>
        </is>
      </c>
      <c r="U111" s="664" t="n">
        <v>0</v>
      </c>
      <c r="V111" s="665">
        <f>IFERROR(IF(U111="",0,CEILING((U111/$H111),1)*$H111),"")</f>
        <v/>
      </c>
      <c r="W111" s="40">
        <f>IFERROR(IF(V111=0,"",ROUNDUP(V111/H111,0)*0.00753),"")</f>
        <v/>
      </c>
      <c r="X111" s="66" t="inlineStr"/>
      <c r="Y111" s="67" t="inlineStr"/>
      <c r="AC111" s="68" t="n"/>
      <c r="AZ111" s="125" t="inlineStr">
        <is>
          <t>КИ</t>
        </is>
      </c>
    </row>
    <row r="112" ht="16.5" customHeight="1">
      <c r="A112" s="61" t="inlineStr">
        <is>
          <t>SU002367</t>
        </is>
      </c>
      <c r="B112" s="61" t="inlineStr">
        <is>
          <t>P002644</t>
        </is>
      </c>
      <c r="C112" s="35" t="n">
        <v>4301060309</v>
      </c>
      <c r="D112" s="310" t="n">
        <v>4680115880238</v>
      </c>
      <c r="E112" s="629" t="n"/>
      <c r="F112" s="661" t="n">
        <v>0.33</v>
      </c>
      <c r="G112" s="36" t="n">
        <v>6</v>
      </c>
      <c r="H112" s="661" t="n">
        <v>1.98</v>
      </c>
      <c r="I112" s="661" t="n">
        <v>2.258</v>
      </c>
      <c r="J112" s="36" t="n">
        <v>156</v>
      </c>
      <c r="K112" s="37" t="inlineStr">
        <is>
          <t>СК2</t>
        </is>
      </c>
      <c r="L112" s="36" t="n">
        <v>40</v>
      </c>
      <c r="M112" s="72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3" t="n"/>
      <c r="O112" s="663" t="n"/>
      <c r="P112" s="663" t="n"/>
      <c r="Q112" s="629" t="n"/>
      <c r="R112" s="38" t="inlineStr"/>
      <c r="S112" s="38" t="inlineStr"/>
      <c r="T112" s="39" t="inlineStr">
        <is>
          <t>кг</t>
        </is>
      </c>
      <c r="U112" s="664" t="n">
        <v>0</v>
      </c>
      <c r="V112" s="665">
        <f>IFERROR(IF(U112="",0,CEILING((U112/$H112),1)*$H112),"")</f>
        <v/>
      </c>
      <c r="W112" s="40">
        <f>IFERROR(IF(V112=0,"",ROUNDUP(V112/H112,0)*0.00753),"")</f>
        <v/>
      </c>
      <c r="X112" s="66" t="inlineStr"/>
      <c r="Y112" s="67" t="inlineStr"/>
      <c r="AC112" s="68" t="n"/>
      <c r="AZ112" s="126" t="inlineStr">
        <is>
          <t>КИ</t>
        </is>
      </c>
    </row>
    <row r="113" ht="27" customHeight="1">
      <c r="A113" s="61" t="inlineStr">
        <is>
          <t>SU002834</t>
        </is>
      </c>
      <c r="B113" s="61" t="inlineStr">
        <is>
          <t>P003238</t>
        </is>
      </c>
      <c r="C113" s="35" t="n">
        <v>4301060351</v>
      </c>
      <c r="D113" s="310" t="n">
        <v>4680115881464</v>
      </c>
      <c r="E113" s="629" t="n"/>
      <c r="F113" s="661" t="n">
        <v>0.4</v>
      </c>
      <c r="G113" s="36" t="n">
        <v>6</v>
      </c>
      <c r="H113" s="661" t="n">
        <v>2.4</v>
      </c>
      <c r="I113" s="661" t="n">
        <v>2.6</v>
      </c>
      <c r="J113" s="36" t="n">
        <v>156</v>
      </c>
      <c r="K113" s="37" t="inlineStr">
        <is>
          <t>СК3</t>
        </is>
      </c>
      <c r="L113" s="36" t="n">
        <v>30</v>
      </c>
      <c r="M113" s="726" t="inlineStr">
        <is>
          <t>Сардельки «Филейские» Фикс.вес 0,4 NDX мгс ТМ «Вязанка»</t>
        </is>
      </c>
      <c r="N113" s="663" t="n"/>
      <c r="O113" s="663" t="n"/>
      <c r="P113" s="663" t="n"/>
      <c r="Q113" s="629" t="n"/>
      <c r="R113" s="38" t="inlineStr"/>
      <c r="S113" s="38" t="inlineStr"/>
      <c r="T113" s="39" t="inlineStr">
        <is>
          <t>кг</t>
        </is>
      </c>
      <c r="U113" s="664" t="n">
        <v>0</v>
      </c>
      <c r="V113" s="665">
        <f>IFERROR(IF(U113="",0,CEILING((U113/$H113),1)*$H113),"")</f>
        <v/>
      </c>
      <c r="W113" s="40">
        <f>IFERROR(IF(V113=0,"",ROUNDUP(V113/H113,0)*0.00753),"")</f>
        <v/>
      </c>
      <c r="X113" s="66" t="inlineStr"/>
      <c r="Y113" s="67" t="inlineStr"/>
      <c r="AC113" s="68" t="n"/>
      <c r="AZ113" s="127" t="inlineStr">
        <is>
          <t>КИ</t>
        </is>
      </c>
    </row>
    <row r="114">
      <c r="A114" s="318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6" t="n"/>
      <c r="M114" s="667" t="inlineStr">
        <is>
          <t>Итого</t>
        </is>
      </c>
      <c r="N114" s="637" t="n"/>
      <c r="O114" s="637" t="n"/>
      <c r="P114" s="637" t="n"/>
      <c r="Q114" s="637" t="n"/>
      <c r="R114" s="637" t="n"/>
      <c r="S114" s="638" t="n"/>
      <c r="T114" s="41" t="inlineStr">
        <is>
          <t>кор</t>
        </is>
      </c>
      <c r="U114" s="668">
        <f>IFERROR(U109/H109,"0")+IFERROR(U110/H110,"0")+IFERROR(U111/H111,"0")+IFERROR(U112/H112,"0")+IFERROR(U113/H113,"0")</f>
        <v/>
      </c>
      <c r="V114" s="668">
        <f>IFERROR(V109/H109,"0")+IFERROR(V110/H110,"0")+IFERROR(V111/H111,"0")+IFERROR(V112/H112,"0")+IFERROR(V113/H113,"0")</f>
        <v/>
      </c>
      <c r="W114" s="668">
        <f>IFERROR(IF(W109="",0,W109),"0")+IFERROR(IF(W110="",0,W110),"0")+IFERROR(IF(W111="",0,W111),"0")+IFERROR(IF(W112="",0,W112),"0")+IFERROR(IF(W113="",0,W113),"0")</f>
        <v/>
      </c>
      <c r="X114" s="669" t="n"/>
      <c r="Y114" s="669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6" t="n"/>
      <c r="M115" s="667" t="inlineStr">
        <is>
          <t>Итого</t>
        </is>
      </c>
      <c r="N115" s="637" t="n"/>
      <c r="O115" s="637" t="n"/>
      <c r="P115" s="637" t="n"/>
      <c r="Q115" s="637" t="n"/>
      <c r="R115" s="637" t="n"/>
      <c r="S115" s="638" t="n"/>
      <c r="T115" s="41" t="inlineStr">
        <is>
          <t>кг</t>
        </is>
      </c>
      <c r="U115" s="668">
        <f>IFERROR(SUM(U109:U113),"0")</f>
        <v/>
      </c>
      <c r="V115" s="668">
        <f>IFERROR(SUM(V109:V113),"0")</f>
        <v/>
      </c>
      <c r="W115" s="41" t="n"/>
      <c r="X115" s="669" t="n"/>
      <c r="Y115" s="669" t="n"/>
    </row>
    <row r="116" ht="16.5" customHeight="1">
      <c r="A116" s="325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5" t="n"/>
      <c r="Y116" s="325" t="n"/>
    </row>
    <row r="117" ht="14.25" customHeight="1">
      <c r="A117" s="326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6" t="n"/>
      <c r="Y117" s="326" t="n"/>
    </row>
    <row r="118" ht="27" customHeight="1">
      <c r="A118" s="61" t="inlineStr">
        <is>
          <t>SU001721</t>
        </is>
      </c>
      <c r="B118" s="61" t="inlineStr">
        <is>
          <t>P003161</t>
        </is>
      </c>
      <c r="C118" s="35" t="n">
        <v>4301051360</v>
      </c>
      <c r="D118" s="310" t="n">
        <v>4607091385168</v>
      </c>
      <c r="E118" s="629" t="n"/>
      <c r="F118" s="661" t="n">
        <v>1.35</v>
      </c>
      <c r="G118" s="36" t="n">
        <v>6</v>
      </c>
      <c r="H118" s="661" t="n">
        <v>8.1</v>
      </c>
      <c r="I118" s="661" t="n">
        <v>8.657999999999999</v>
      </c>
      <c r="J118" s="36" t="n">
        <v>56</v>
      </c>
      <c r="K118" s="37" t="inlineStr">
        <is>
          <t>СК3</t>
        </is>
      </c>
      <c r="L118" s="36" t="n">
        <v>45</v>
      </c>
      <c r="M118" s="72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3" t="n"/>
      <c r="O118" s="663" t="n"/>
      <c r="P118" s="663" t="n"/>
      <c r="Q118" s="629" t="n"/>
      <c r="R118" s="38" t="inlineStr"/>
      <c r="S118" s="38" t="inlineStr"/>
      <c r="T118" s="39" t="inlineStr">
        <is>
          <t>кг</t>
        </is>
      </c>
      <c r="U118" s="664" t="n">
        <v>0</v>
      </c>
      <c r="V118" s="665">
        <f>IFERROR(IF(U118="",0,CEILING((U118/$H118),1)*$H118),"")</f>
        <v/>
      </c>
      <c r="W118" s="40">
        <f>IFERROR(IF(V118=0,"",ROUNDUP(V118/H118,0)*0.02175),"")</f>
        <v/>
      </c>
      <c r="X118" s="66" t="inlineStr"/>
      <c r="Y118" s="67" t="inlineStr"/>
      <c r="AC118" s="68" t="n"/>
      <c r="AZ118" s="128" t="inlineStr">
        <is>
          <t>КИ</t>
        </is>
      </c>
    </row>
    <row r="119" ht="16.5" customHeight="1">
      <c r="A119" s="61" t="inlineStr">
        <is>
          <t>SU002139</t>
        </is>
      </c>
      <c r="B119" s="61" t="inlineStr">
        <is>
          <t>P003162</t>
        </is>
      </c>
      <c r="C119" s="35" t="n">
        <v>4301051362</v>
      </c>
      <c r="D119" s="310" t="n">
        <v>4607091383256</v>
      </c>
      <c r="E119" s="629" t="n"/>
      <c r="F119" s="661" t="n">
        <v>0.33</v>
      </c>
      <c r="G119" s="36" t="n">
        <v>6</v>
      </c>
      <c r="H119" s="661" t="n">
        <v>1.98</v>
      </c>
      <c r="I119" s="661" t="n">
        <v>2.246</v>
      </c>
      <c r="J119" s="36" t="n">
        <v>156</v>
      </c>
      <c r="K119" s="37" t="inlineStr">
        <is>
          <t>СК3</t>
        </is>
      </c>
      <c r="L119" s="36" t="n">
        <v>45</v>
      </c>
      <c r="M119" s="728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3" t="n"/>
      <c r="O119" s="663" t="n"/>
      <c r="P119" s="663" t="n"/>
      <c r="Q119" s="629" t="n"/>
      <c r="R119" s="38" t="inlineStr"/>
      <c r="S119" s="38" t="inlineStr"/>
      <c r="T119" s="39" t="inlineStr">
        <is>
          <t>кг</t>
        </is>
      </c>
      <c r="U119" s="664" t="n">
        <v>0</v>
      </c>
      <c r="V119" s="665">
        <f>IFERROR(IF(U119="",0,CEILING((U119/$H119),1)*$H119),"")</f>
        <v/>
      </c>
      <c r="W119" s="40">
        <f>IFERROR(IF(V119=0,"",ROUNDUP(V119/H119,0)*0.00753),"")</f>
        <v/>
      </c>
      <c r="X119" s="66" t="inlineStr"/>
      <c r="Y119" s="67" t="inlineStr"/>
      <c r="AC119" s="68" t="n"/>
      <c r="AZ119" s="129" t="inlineStr">
        <is>
          <t>КИ</t>
        </is>
      </c>
    </row>
    <row r="120" ht="16.5" customHeight="1">
      <c r="A120" s="61" t="inlineStr">
        <is>
          <t>SU001720</t>
        </is>
      </c>
      <c r="B120" s="61" t="inlineStr">
        <is>
          <t>P003160</t>
        </is>
      </c>
      <c r="C120" s="35" t="n">
        <v>4301051358</v>
      </c>
      <c r="D120" s="310" t="n">
        <v>4607091385748</v>
      </c>
      <c r="E120" s="629" t="n"/>
      <c r="F120" s="661" t="n">
        <v>0.45</v>
      </c>
      <c r="G120" s="36" t="n">
        <v>6</v>
      </c>
      <c r="H120" s="661" t="n">
        <v>2.7</v>
      </c>
      <c r="I120" s="661" t="n">
        <v>2.972</v>
      </c>
      <c r="J120" s="36" t="n">
        <v>156</v>
      </c>
      <c r="K120" s="37" t="inlineStr">
        <is>
          <t>СК3</t>
        </is>
      </c>
      <c r="L120" s="36" t="n">
        <v>45</v>
      </c>
      <c r="M120" s="729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3" t="n"/>
      <c r="O120" s="663" t="n"/>
      <c r="P120" s="663" t="n"/>
      <c r="Q120" s="629" t="n"/>
      <c r="R120" s="38" t="inlineStr"/>
      <c r="S120" s="38" t="inlineStr"/>
      <c r="T120" s="39" t="inlineStr">
        <is>
          <t>кг</t>
        </is>
      </c>
      <c r="U120" s="664" t="n">
        <v>0</v>
      </c>
      <c r="V120" s="665">
        <f>IFERROR(IF(U120="",0,CEILING((U120/$H120),1)*$H120),"")</f>
        <v/>
      </c>
      <c r="W120" s="40">
        <f>IFERROR(IF(V120=0,"",ROUNDUP(V120/H120,0)*0.00753),"")</f>
        <v/>
      </c>
      <c r="X120" s="66" t="inlineStr"/>
      <c r="Y120" s="67" t="inlineStr"/>
      <c r="AC120" s="68" t="n"/>
      <c r="AZ120" s="130" t="inlineStr">
        <is>
          <t>КИ</t>
        </is>
      </c>
    </row>
    <row r="121" ht="16.5" customHeight="1">
      <c r="A121" s="61" t="inlineStr">
        <is>
          <t>SU002438</t>
        </is>
      </c>
      <c r="B121" s="61" t="inlineStr">
        <is>
          <t>P003163</t>
        </is>
      </c>
      <c r="C121" s="35" t="n">
        <v>4301051364</v>
      </c>
      <c r="D121" s="310" t="n">
        <v>4607091384581</v>
      </c>
      <c r="E121" s="629" t="n"/>
      <c r="F121" s="661" t="n">
        <v>0.67</v>
      </c>
      <c r="G121" s="36" t="n">
        <v>4</v>
      </c>
      <c r="H121" s="661" t="n">
        <v>2.68</v>
      </c>
      <c r="I121" s="661" t="n">
        <v>2.942</v>
      </c>
      <c r="J121" s="36" t="n">
        <v>120</v>
      </c>
      <c r="K121" s="37" t="inlineStr">
        <is>
          <t>СК3</t>
        </is>
      </c>
      <c r="L121" s="36" t="n">
        <v>45</v>
      </c>
      <c r="M121" s="730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3" t="n"/>
      <c r="O121" s="663" t="n"/>
      <c r="P121" s="663" t="n"/>
      <c r="Q121" s="629" t="n"/>
      <c r="R121" s="38" t="inlineStr"/>
      <c r="S121" s="38" t="inlineStr"/>
      <c r="T121" s="39" t="inlineStr">
        <is>
          <t>кг</t>
        </is>
      </c>
      <c r="U121" s="664" t="n">
        <v>0</v>
      </c>
      <c r="V121" s="665">
        <f>IFERROR(IF(U121="",0,CEILING((U121/$H121),1)*$H121),"")</f>
        <v/>
      </c>
      <c r="W121" s="40">
        <f>IFERROR(IF(V121=0,"",ROUNDUP(V121/H121,0)*0.00937),"")</f>
        <v/>
      </c>
      <c r="X121" s="66" t="inlineStr"/>
      <c r="Y121" s="67" t="inlineStr"/>
      <c r="AC121" s="68" t="n"/>
      <c r="AZ121" s="131" t="inlineStr">
        <is>
          <t>КИ</t>
        </is>
      </c>
    </row>
    <row r="122">
      <c r="A122" s="318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6" t="n"/>
      <c r="M122" s="667" t="inlineStr">
        <is>
          <t>Итого</t>
        </is>
      </c>
      <c r="N122" s="637" t="n"/>
      <c r="O122" s="637" t="n"/>
      <c r="P122" s="637" t="n"/>
      <c r="Q122" s="637" t="n"/>
      <c r="R122" s="637" t="n"/>
      <c r="S122" s="638" t="n"/>
      <c r="T122" s="41" t="inlineStr">
        <is>
          <t>кор</t>
        </is>
      </c>
      <c r="U122" s="668">
        <f>IFERROR(U118/H118,"0")+IFERROR(U119/H119,"0")+IFERROR(U120/H120,"0")+IFERROR(U121/H121,"0")</f>
        <v/>
      </c>
      <c r="V122" s="668">
        <f>IFERROR(V118/H118,"0")+IFERROR(V119/H119,"0")+IFERROR(V120/H120,"0")+IFERROR(V121/H121,"0")</f>
        <v/>
      </c>
      <c r="W122" s="668">
        <f>IFERROR(IF(W118="",0,W118),"0")+IFERROR(IF(W119="",0,W119),"0")+IFERROR(IF(W120="",0,W120),"0")+IFERROR(IF(W121="",0,W121),"0")</f>
        <v/>
      </c>
      <c r="X122" s="669" t="n"/>
      <c r="Y122" s="6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6" t="n"/>
      <c r="M123" s="667" t="inlineStr">
        <is>
          <t>Итого</t>
        </is>
      </c>
      <c r="N123" s="637" t="n"/>
      <c r="O123" s="637" t="n"/>
      <c r="P123" s="637" t="n"/>
      <c r="Q123" s="637" t="n"/>
      <c r="R123" s="637" t="n"/>
      <c r="S123" s="638" t="n"/>
      <c r="T123" s="41" t="inlineStr">
        <is>
          <t>кг</t>
        </is>
      </c>
      <c r="U123" s="668">
        <f>IFERROR(SUM(U118:U121),"0")</f>
        <v/>
      </c>
      <c r="V123" s="668">
        <f>IFERROR(SUM(V118:V121),"0")</f>
        <v/>
      </c>
      <c r="W123" s="41" t="n"/>
      <c r="X123" s="669" t="n"/>
      <c r="Y123" s="669" t="n"/>
    </row>
    <row r="124" ht="27.75" customHeight="1">
      <c r="A124" s="331" t="inlineStr">
        <is>
          <t>Стародворье</t>
        </is>
      </c>
      <c r="B124" s="660" t="n"/>
      <c r="C124" s="660" t="n"/>
      <c r="D124" s="660" t="n"/>
      <c r="E124" s="660" t="n"/>
      <c r="F124" s="660" t="n"/>
      <c r="G124" s="660" t="n"/>
      <c r="H124" s="660" t="n"/>
      <c r="I124" s="660" t="n"/>
      <c r="J124" s="660" t="n"/>
      <c r="K124" s="660" t="n"/>
      <c r="L124" s="660" t="n"/>
      <c r="M124" s="660" t="n"/>
      <c r="N124" s="660" t="n"/>
      <c r="O124" s="660" t="n"/>
      <c r="P124" s="660" t="n"/>
      <c r="Q124" s="660" t="n"/>
      <c r="R124" s="660" t="n"/>
      <c r="S124" s="660" t="n"/>
      <c r="T124" s="660" t="n"/>
      <c r="U124" s="660" t="n"/>
      <c r="V124" s="660" t="n"/>
      <c r="W124" s="660" t="n"/>
      <c r="X124" s="53" t="n"/>
      <c r="Y124" s="53" t="n"/>
    </row>
    <row r="125" ht="16.5" customHeight="1">
      <c r="A125" s="325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5" t="n"/>
      <c r="Y125" s="325" t="n"/>
    </row>
    <row r="126" ht="14.25" customHeight="1">
      <c r="A126" s="326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6" t="n"/>
      <c r="Y126" s="326" t="n"/>
    </row>
    <row r="127" ht="27" customHeight="1">
      <c r="A127" s="61" t="inlineStr">
        <is>
          <t>SU002201</t>
        </is>
      </c>
      <c r="B127" s="61" t="inlineStr">
        <is>
          <t>P002567</t>
        </is>
      </c>
      <c r="C127" s="35" t="n">
        <v>4301011223</v>
      </c>
      <c r="D127" s="310" t="n">
        <v>4607091383423</v>
      </c>
      <c r="E127" s="629" t="n"/>
      <c r="F127" s="661" t="n">
        <v>1.35</v>
      </c>
      <c r="G127" s="36" t="n">
        <v>8</v>
      </c>
      <c r="H127" s="661" t="n">
        <v>10.8</v>
      </c>
      <c r="I127" s="661" t="n">
        <v>11.376</v>
      </c>
      <c r="J127" s="36" t="n">
        <v>56</v>
      </c>
      <c r="K127" s="37" t="inlineStr">
        <is>
          <t>СК3</t>
        </is>
      </c>
      <c r="L127" s="36" t="n">
        <v>35</v>
      </c>
      <c r="M127" s="73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3" t="n"/>
      <c r="O127" s="663" t="n"/>
      <c r="P127" s="663" t="n"/>
      <c r="Q127" s="629" t="n"/>
      <c r="R127" s="38" t="inlineStr"/>
      <c r="S127" s="38" t="inlineStr"/>
      <c r="T127" s="39" t="inlineStr">
        <is>
          <t>кг</t>
        </is>
      </c>
      <c r="U127" s="664" t="n">
        <v>0</v>
      </c>
      <c r="V127" s="665">
        <f>IFERROR(IF(U127="",0,CEILING((U127/$H127),1)*$H127),"")</f>
        <v/>
      </c>
      <c r="W127" s="40">
        <f>IFERROR(IF(V127=0,"",ROUNDUP(V127/H127,0)*0.02175),"")</f>
        <v/>
      </c>
      <c r="X127" s="66" t="inlineStr"/>
      <c r="Y127" s="67" t="inlineStr"/>
      <c r="AC127" s="68" t="n"/>
      <c r="AZ127" s="132" t="inlineStr">
        <is>
          <t>КИ</t>
        </is>
      </c>
    </row>
    <row r="128" ht="27" customHeight="1">
      <c r="A128" s="61" t="inlineStr">
        <is>
          <t>SU002203</t>
        </is>
      </c>
      <c r="B128" s="61" t="inlineStr">
        <is>
          <t>P002568</t>
        </is>
      </c>
      <c r="C128" s="35" t="n">
        <v>4301011338</v>
      </c>
      <c r="D128" s="310" t="n">
        <v>4607091381405</v>
      </c>
      <c r="E128" s="629" t="n"/>
      <c r="F128" s="661" t="n">
        <v>1.35</v>
      </c>
      <c r="G128" s="36" t="n">
        <v>8</v>
      </c>
      <c r="H128" s="661" t="n">
        <v>10.8</v>
      </c>
      <c r="I128" s="661" t="n">
        <v>11.376</v>
      </c>
      <c r="J128" s="36" t="n">
        <v>56</v>
      </c>
      <c r="K128" s="37" t="inlineStr">
        <is>
          <t>СК2</t>
        </is>
      </c>
      <c r="L128" s="36" t="n">
        <v>35</v>
      </c>
      <c r="M128" s="73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3" t="n"/>
      <c r="O128" s="663" t="n"/>
      <c r="P128" s="663" t="n"/>
      <c r="Q128" s="629" t="n"/>
      <c r="R128" s="38" t="inlineStr"/>
      <c r="S128" s="38" t="inlineStr"/>
      <c r="T128" s="39" t="inlineStr">
        <is>
          <t>кг</t>
        </is>
      </c>
      <c r="U128" s="664" t="n">
        <v>0</v>
      </c>
      <c r="V128" s="665">
        <f>IFERROR(IF(U128="",0,CEILING((U128/$H128),1)*$H128),"")</f>
        <v/>
      </c>
      <c r="W128" s="40">
        <f>IFERROR(IF(V128=0,"",ROUNDUP(V128/H128,0)*0.02175),"")</f>
        <v/>
      </c>
      <c r="X128" s="66" t="inlineStr"/>
      <c r="Y128" s="67" t="inlineStr"/>
      <c r="AC128" s="68" t="n"/>
      <c r="AZ128" s="133" t="inlineStr">
        <is>
          <t>КИ</t>
        </is>
      </c>
    </row>
    <row r="129" ht="27" customHeight="1">
      <c r="A129" s="61" t="inlineStr">
        <is>
          <t>SU002216</t>
        </is>
      </c>
      <c r="B129" s="61" t="inlineStr">
        <is>
          <t>P002400</t>
        </is>
      </c>
      <c r="C129" s="35" t="n">
        <v>4301011333</v>
      </c>
      <c r="D129" s="310" t="n">
        <v>4607091386516</v>
      </c>
      <c r="E129" s="629" t="n"/>
      <c r="F129" s="661" t="n">
        <v>1.4</v>
      </c>
      <c r="G129" s="36" t="n">
        <v>8</v>
      </c>
      <c r="H129" s="661" t="n">
        <v>11.2</v>
      </c>
      <c r="I129" s="661" t="n">
        <v>11.776</v>
      </c>
      <c r="J129" s="36" t="n">
        <v>56</v>
      </c>
      <c r="K129" s="37" t="inlineStr">
        <is>
          <t>СК2</t>
        </is>
      </c>
      <c r="L129" s="36" t="n">
        <v>30</v>
      </c>
      <c r="M129" s="73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3" t="n"/>
      <c r="O129" s="663" t="n"/>
      <c r="P129" s="663" t="n"/>
      <c r="Q129" s="629" t="n"/>
      <c r="R129" s="38" t="inlineStr"/>
      <c r="S129" s="38" t="inlineStr"/>
      <c r="T129" s="39" t="inlineStr">
        <is>
          <t>кг</t>
        </is>
      </c>
      <c r="U129" s="664" t="n">
        <v>0</v>
      </c>
      <c r="V129" s="665">
        <f>IFERROR(IF(U129="",0,CEILING((U129/$H129),1)*$H129),"")</f>
        <v/>
      </c>
      <c r="W129" s="40">
        <f>IFERROR(IF(V129=0,"",ROUNDUP(V129/H129,0)*0.02175),"")</f>
        <v/>
      </c>
      <c r="X129" s="66" t="inlineStr"/>
      <c r="Y129" s="67" t="inlineStr"/>
      <c r="AC129" s="68" t="n"/>
      <c r="AZ129" s="134" t="inlineStr">
        <is>
          <t>КИ</t>
        </is>
      </c>
    </row>
    <row r="130">
      <c r="A130" s="318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6" t="n"/>
      <c r="M130" s="667" t="inlineStr">
        <is>
          <t>Итого</t>
        </is>
      </c>
      <c r="N130" s="637" t="n"/>
      <c r="O130" s="637" t="n"/>
      <c r="P130" s="637" t="n"/>
      <c r="Q130" s="637" t="n"/>
      <c r="R130" s="637" t="n"/>
      <c r="S130" s="638" t="n"/>
      <c r="T130" s="41" t="inlineStr">
        <is>
          <t>кор</t>
        </is>
      </c>
      <c r="U130" s="668">
        <f>IFERROR(U127/H127,"0")+IFERROR(U128/H128,"0")+IFERROR(U129/H129,"0")</f>
        <v/>
      </c>
      <c r="V130" s="668">
        <f>IFERROR(V127/H127,"0")+IFERROR(V128/H128,"0")+IFERROR(V129/H129,"0")</f>
        <v/>
      </c>
      <c r="W130" s="668">
        <f>IFERROR(IF(W127="",0,W127),"0")+IFERROR(IF(W128="",0,W128),"0")+IFERROR(IF(W129="",0,W129),"0")</f>
        <v/>
      </c>
      <c r="X130" s="669" t="n"/>
      <c r="Y130" s="669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6" t="n"/>
      <c r="M131" s="667" t="inlineStr">
        <is>
          <t>Итого</t>
        </is>
      </c>
      <c r="N131" s="637" t="n"/>
      <c r="O131" s="637" t="n"/>
      <c r="P131" s="637" t="n"/>
      <c r="Q131" s="637" t="n"/>
      <c r="R131" s="637" t="n"/>
      <c r="S131" s="638" t="n"/>
      <c r="T131" s="41" t="inlineStr">
        <is>
          <t>кг</t>
        </is>
      </c>
      <c r="U131" s="668">
        <f>IFERROR(SUM(U127:U129),"0")</f>
        <v/>
      </c>
      <c r="V131" s="668">
        <f>IFERROR(SUM(V127:V129),"0")</f>
        <v/>
      </c>
      <c r="W131" s="41" t="n"/>
      <c r="X131" s="669" t="n"/>
      <c r="Y131" s="669" t="n"/>
    </row>
    <row r="132" ht="16.5" customHeight="1">
      <c r="A132" s="325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5" t="n"/>
      <c r="Y132" s="325" t="n"/>
    </row>
    <row r="133" ht="14.25" customHeight="1">
      <c r="A133" s="326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6" t="n"/>
      <c r="Y133" s="326" t="n"/>
    </row>
    <row r="134" ht="27" customHeight="1">
      <c r="A134" s="61" t="inlineStr">
        <is>
          <t>SU002756</t>
        </is>
      </c>
      <c r="B134" s="61" t="inlineStr">
        <is>
          <t>P003179</t>
        </is>
      </c>
      <c r="C134" s="35" t="n">
        <v>4301031191</v>
      </c>
      <c r="D134" s="310" t="n">
        <v>4680115880993</v>
      </c>
      <c r="E134" s="629" t="n"/>
      <c r="F134" s="661" t="n">
        <v>0.7</v>
      </c>
      <c r="G134" s="36" t="n">
        <v>6</v>
      </c>
      <c r="H134" s="661" t="n">
        <v>4.2</v>
      </c>
      <c r="I134" s="661" t="n">
        <v>4.46</v>
      </c>
      <c r="J134" s="36" t="n">
        <v>156</v>
      </c>
      <c r="K134" s="37" t="inlineStr">
        <is>
          <t>СК2</t>
        </is>
      </c>
      <c r="L134" s="36" t="n">
        <v>40</v>
      </c>
      <c r="M134" s="73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3" t="n"/>
      <c r="O134" s="663" t="n"/>
      <c r="P134" s="663" t="n"/>
      <c r="Q134" s="629" t="n"/>
      <c r="R134" s="38" t="inlineStr"/>
      <c r="S134" s="38" t="inlineStr"/>
      <c r="T134" s="39" t="inlineStr">
        <is>
          <t>кг</t>
        </is>
      </c>
      <c r="U134" s="664" t="n">
        <v>0</v>
      </c>
      <c r="V134" s="665">
        <f>IFERROR(IF(U134="",0,CEILING((U134/$H134),1)*$H134),"")</f>
        <v/>
      </c>
      <c r="W134" s="40">
        <f>IFERROR(IF(V134=0,"",ROUNDUP(V134/H134,0)*0.00753),"")</f>
        <v/>
      </c>
      <c r="X134" s="66" t="inlineStr"/>
      <c r="Y134" s="67" t="inlineStr"/>
      <c r="AC134" s="68" t="n"/>
      <c r="AZ134" s="135" t="inlineStr">
        <is>
          <t>КИ</t>
        </is>
      </c>
    </row>
    <row r="135" ht="27" customHeight="1">
      <c r="A135" s="61" t="inlineStr">
        <is>
          <t>SU002876</t>
        </is>
      </c>
      <c r="B135" s="61" t="inlineStr">
        <is>
          <t>P003276</t>
        </is>
      </c>
      <c r="C135" s="35" t="n">
        <v>4301031204</v>
      </c>
      <c r="D135" s="310" t="n">
        <v>4680115881761</v>
      </c>
      <c r="E135" s="629" t="n"/>
      <c r="F135" s="661" t="n">
        <v>0.7</v>
      </c>
      <c r="G135" s="36" t="n">
        <v>6</v>
      </c>
      <c r="H135" s="661" t="n">
        <v>4.2</v>
      </c>
      <c r="I135" s="661" t="n">
        <v>4.46</v>
      </c>
      <c r="J135" s="36" t="n">
        <v>156</v>
      </c>
      <c r="K135" s="37" t="inlineStr">
        <is>
          <t>СК2</t>
        </is>
      </c>
      <c r="L135" s="36" t="n">
        <v>40</v>
      </c>
      <c r="M135" s="73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3" t="n"/>
      <c r="O135" s="663" t="n"/>
      <c r="P135" s="663" t="n"/>
      <c r="Q135" s="629" t="n"/>
      <c r="R135" s="38" t="inlineStr"/>
      <c r="S135" s="38" t="inlineStr"/>
      <c r="T135" s="39" t="inlineStr">
        <is>
          <t>кг</t>
        </is>
      </c>
      <c r="U135" s="664" t="n">
        <v>0</v>
      </c>
      <c r="V135" s="665">
        <f>IFERROR(IF(U135="",0,CEILING((U135/$H135),1)*$H135),"")</f>
        <v/>
      </c>
      <c r="W135" s="40">
        <f>IFERROR(IF(V135=0,"",ROUNDUP(V135/H135,0)*0.00753),"")</f>
        <v/>
      </c>
      <c r="X135" s="66" t="inlineStr"/>
      <c r="Y135" s="67" t="inlineStr"/>
      <c r="AC135" s="68" t="n"/>
      <c r="AZ135" s="136" t="inlineStr">
        <is>
          <t>КИ</t>
        </is>
      </c>
    </row>
    <row r="136" ht="27" customHeight="1">
      <c r="A136" s="61" t="inlineStr">
        <is>
          <t>SU002847</t>
        </is>
      </c>
      <c r="B136" s="61" t="inlineStr">
        <is>
          <t>P003259</t>
        </is>
      </c>
      <c r="C136" s="35" t="n">
        <v>4301031201</v>
      </c>
      <c r="D136" s="310" t="n">
        <v>4680115881563</v>
      </c>
      <c r="E136" s="629" t="n"/>
      <c r="F136" s="661" t="n">
        <v>0.7</v>
      </c>
      <c r="G136" s="36" t="n">
        <v>6</v>
      </c>
      <c r="H136" s="661" t="n">
        <v>4.2</v>
      </c>
      <c r="I136" s="661" t="n">
        <v>4.4</v>
      </c>
      <c r="J136" s="36" t="n">
        <v>156</v>
      </c>
      <c r="K136" s="37" t="inlineStr">
        <is>
          <t>СК2</t>
        </is>
      </c>
      <c r="L136" s="36" t="n">
        <v>40</v>
      </c>
      <c r="M136" s="73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3" t="n"/>
      <c r="O136" s="663" t="n"/>
      <c r="P136" s="663" t="n"/>
      <c r="Q136" s="629" t="n"/>
      <c r="R136" s="38" t="inlineStr"/>
      <c r="S136" s="38" t="inlineStr"/>
      <c r="T136" s="39" t="inlineStr">
        <is>
          <t>кг</t>
        </is>
      </c>
      <c r="U136" s="664" t="n">
        <v>0</v>
      </c>
      <c r="V136" s="665">
        <f>IFERROR(IF(U136="",0,CEILING((U136/$H136),1)*$H136),"")</f>
        <v/>
      </c>
      <c r="W136" s="40">
        <f>IFERROR(IF(V136=0,"",ROUNDUP(V136/H136,0)*0.00753),"")</f>
        <v/>
      </c>
      <c r="X136" s="66" t="inlineStr"/>
      <c r="Y136" s="67" t="inlineStr"/>
      <c r="AC136" s="68" t="n"/>
      <c r="AZ136" s="137" t="inlineStr">
        <is>
          <t>КИ</t>
        </is>
      </c>
    </row>
    <row r="137" ht="27" customHeight="1">
      <c r="A137" s="61" t="inlineStr">
        <is>
          <t>SU002660</t>
        </is>
      </c>
      <c r="B137" s="61" t="inlineStr">
        <is>
          <t>P003256</t>
        </is>
      </c>
      <c r="C137" s="35" t="n">
        <v>4301031199</v>
      </c>
      <c r="D137" s="310" t="n">
        <v>4680115880986</v>
      </c>
      <c r="E137" s="629" t="n"/>
      <c r="F137" s="661" t="n">
        <v>0.35</v>
      </c>
      <c r="G137" s="36" t="n">
        <v>6</v>
      </c>
      <c r="H137" s="661" t="n">
        <v>2.1</v>
      </c>
      <c r="I137" s="661" t="n">
        <v>2.23</v>
      </c>
      <c r="J137" s="36" t="n">
        <v>234</v>
      </c>
      <c r="K137" s="37" t="inlineStr">
        <is>
          <t>СК2</t>
        </is>
      </c>
      <c r="L137" s="36" t="n">
        <v>40</v>
      </c>
      <c r="M137" s="73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3" t="n"/>
      <c r="O137" s="663" t="n"/>
      <c r="P137" s="663" t="n"/>
      <c r="Q137" s="629" t="n"/>
      <c r="R137" s="38" t="inlineStr"/>
      <c r="S137" s="38" t="inlineStr"/>
      <c r="T137" s="39" t="inlineStr">
        <is>
          <t>кг</t>
        </is>
      </c>
      <c r="U137" s="664" t="n">
        <v>0</v>
      </c>
      <c r="V137" s="665">
        <f>IFERROR(IF(U137="",0,CEILING((U137/$H137),1)*$H137),"")</f>
        <v/>
      </c>
      <c r="W137" s="40">
        <f>IFERROR(IF(V137=0,"",ROUNDUP(V137/H137,0)*0.00502),"")</f>
        <v/>
      </c>
      <c r="X137" s="66" t="inlineStr"/>
      <c r="Y137" s="67" t="inlineStr"/>
      <c r="AC137" s="68" t="n"/>
      <c r="AZ137" s="138" t="inlineStr">
        <is>
          <t>КИ</t>
        </is>
      </c>
    </row>
    <row r="138" ht="27" customHeight="1">
      <c r="A138" s="61" t="inlineStr">
        <is>
          <t>SU002826</t>
        </is>
      </c>
      <c r="B138" s="61" t="inlineStr">
        <is>
          <t>P003178</t>
        </is>
      </c>
      <c r="C138" s="35" t="n">
        <v>4301031190</v>
      </c>
      <c r="D138" s="310" t="n">
        <v>4680115880207</v>
      </c>
      <c r="E138" s="629" t="n"/>
      <c r="F138" s="661" t="n">
        <v>0.4</v>
      </c>
      <c r="G138" s="36" t="n">
        <v>6</v>
      </c>
      <c r="H138" s="661" t="n">
        <v>2.4</v>
      </c>
      <c r="I138" s="661" t="n">
        <v>2.63</v>
      </c>
      <c r="J138" s="36" t="n">
        <v>156</v>
      </c>
      <c r="K138" s="37" t="inlineStr">
        <is>
          <t>СК2</t>
        </is>
      </c>
      <c r="L138" s="36" t="n">
        <v>40</v>
      </c>
      <c r="M138" s="73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3" t="n"/>
      <c r="O138" s="663" t="n"/>
      <c r="P138" s="663" t="n"/>
      <c r="Q138" s="629" t="n"/>
      <c r="R138" s="38" t="inlineStr"/>
      <c r="S138" s="38" t="inlineStr"/>
      <c r="T138" s="39" t="inlineStr">
        <is>
          <t>кг</t>
        </is>
      </c>
      <c r="U138" s="664" t="n">
        <v>0</v>
      </c>
      <c r="V138" s="665">
        <f>IFERROR(IF(U138="",0,CEILING((U138/$H138),1)*$H138),"")</f>
        <v/>
      </c>
      <c r="W138" s="40">
        <f>IFERROR(IF(V138=0,"",ROUNDUP(V138/H138,0)*0.00753),"")</f>
        <v/>
      </c>
      <c r="X138" s="66" t="inlineStr"/>
      <c r="Y138" s="67" t="inlineStr"/>
      <c r="AC138" s="68" t="n"/>
      <c r="AZ138" s="139" t="inlineStr">
        <is>
          <t>КИ</t>
        </is>
      </c>
    </row>
    <row r="139" ht="27" customHeight="1">
      <c r="A139" s="61" t="inlineStr">
        <is>
          <t>SU002877</t>
        </is>
      </c>
      <c r="B139" s="61" t="inlineStr">
        <is>
          <t>P003277</t>
        </is>
      </c>
      <c r="C139" s="35" t="n">
        <v>4301031205</v>
      </c>
      <c r="D139" s="310" t="n">
        <v>4680115881785</v>
      </c>
      <c r="E139" s="629" t="n"/>
      <c r="F139" s="661" t="n">
        <v>0.35</v>
      </c>
      <c r="G139" s="36" t="n">
        <v>6</v>
      </c>
      <c r="H139" s="661" t="n">
        <v>2.1</v>
      </c>
      <c r="I139" s="661" t="n">
        <v>2.23</v>
      </c>
      <c r="J139" s="36" t="n">
        <v>234</v>
      </c>
      <c r="K139" s="37" t="inlineStr">
        <is>
          <t>СК2</t>
        </is>
      </c>
      <c r="L139" s="36" t="n">
        <v>40</v>
      </c>
      <c r="M139" s="73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3" t="n"/>
      <c r="O139" s="663" t="n"/>
      <c r="P139" s="663" t="n"/>
      <c r="Q139" s="629" t="n"/>
      <c r="R139" s="38" t="inlineStr"/>
      <c r="S139" s="38" t="inlineStr"/>
      <c r="T139" s="39" t="inlineStr">
        <is>
          <t>кг</t>
        </is>
      </c>
      <c r="U139" s="664" t="n">
        <v>0</v>
      </c>
      <c r="V139" s="665">
        <f>IFERROR(IF(U139="",0,CEILING((U139/$H139),1)*$H139),"")</f>
        <v/>
      </c>
      <c r="W139" s="40">
        <f>IFERROR(IF(V139=0,"",ROUNDUP(V139/H139,0)*0.00502),"")</f>
        <v/>
      </c>
      <c r="X139" s="66" t="inlineStr"/>
      <c r="Y139" s="67" t="inlineStr"/>
      <c r="AC139" s="68" t="n"/>
      <c r="AZ139" s="140" t="inlineStr">
        <is>
          <t>КИ</t>
        </is>
      </c>
    </row>
    <row r="140" ht="27" customHeight="1">
      <c r="A140" s="61" t="inlineStr">
        <is>
          <t>SU002848</t>
        </is>
      </c>
      <c r="B140" s="61" t="inlineStr">
        <is>
          <t>P003260</t>
        </is>
      </c>
      <c r="C140" s="35" t="n">
        <v>4301031202</v>
      </c>
      <c r="D140" s="310" t="n">
        <v>4680115881679</v>
      </c>
      <c r="E140" s="629" t="n"/>
      <c r="F140" s="661" t="n">
        <v>0.35</v>
      </c>
      <c r="G140" s="36" t="n">
        <v>6</v>
      </c>
      <c r="H140" s="661" t="n">
        <v>2.1</v>
      </c>
      <c r="I140" s="661" t="n">
        <v>2.2</v>
      </c>
      <c r="J140" s="36" t="n">
        <v>234</v>
      </c>
      <c r="K140" s="37" t="inlineStr">
        <is>
          <t>СК2</t>
        </is>
      </c>
      <c r="L140" s="36" t="n">
        <v>40</v>
      </c>
      <c r="M140" s="74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3" t="n"/>
      <c r="O140" s="663" t="n"/>
      <c r="P140" s="663" t="n"/>
      <c r="Q140" s="629" t="n"/>
      <c r="R140" s="38" t="inlineStr"/>
      <c r="S140" s="38" t="inlineStr"/>
      <c r="T140" s="39" t="inlineStr">
        <is>
          <t>кг</t>
        </is>
      </c>
      <c r="U140" s="664" t="n">
        <v>0</v>
      </c>
      <c r="V140" s="665">
        <f>IFERROR(IF(U140="",0,CEILING((U140/$H140),1)*$H140),"")</f>
        <v/>
      </c>
      <c r="W140" s="40">
        <f>IFERROR(IF(V140=0,"",ROUNDUP(V140/H140,0)*0.00502),"")</f>
        <v/>
      </c>
      <c r="X140" s="66" t="inlineStr"/>
      <c r="Y140" s="67" t="inlineStr"/>
      <c r="AC140" s="68" t="n"/>
      <c r="AZ140" s="141" t="inlineStr">
        <is>
          <t>КИ</t>
        </is>
      </c>
    </row>
    <row r="141" ht="27" customHeight="1">
      <c r="A141" s="61" t="inlineStr">
        <is>
          <t>SU002659</t>
        </is>
      </c>
      <c r="B141" s="61" t="inlineStr">
        <is>
          <t>P003034</t>
        </is>
      </c>
      <c r="C141" s="35" t="n">
        <v>4301031158</v>
      </c>
      <c r="D141" s="310" t="n">
        <v>4680115880191</v>
      </c>
      <c r="E141" s="629" t="n"/>
      <c r="F141" s="661" t="n">
        <v>0.4</v>
      </c>
      <c r="G141" s="36" t="n">
        <v>6</v>
      </c>
      <c r="H141" s="661" t="n">
        <v>2.4</v>
      </c>
      <c r="I141" s="661" t="n">
        <v>2.6</v>
      </c>
      <c r="J141" s="36" t="n">
        <v>156</v>
      </c>
      <c r="K141" s="37" t="inlineStr">
        <is>
          <t>СК2</t>
        </is>
      </c>
      <c r="L141" s="36" t="n">
        <v>40</v>
      </c>
      <c r="M141" s="74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3" t="n"/>
      <c r="O141" s="663" t="n"/>
      <c r="P141" s="663" t="n"/>
      <c r="Q141" s="629" t="n"/>
      <c r="R141" s="38" t="inlineStr"/>
      <c r="S141" s="38" t="inlineStr"/>
      <c r="T141" s="39" t="inlineStr">
        <is>
          <t>кг</t>
        </is>
      </c>
      <c r="U141" s="664" t="n">
        <v>0</v>
      </c>
      <c r="V141" s="665">
        <f>IFERROR(IF(U141="",0,CEILING((U141/$H141),1)*$H141),"")</f>
        <v/>
      </c>
      <c r="W141" s="40">
        <f>IFERROR(IF(V141=0,"",ROUNDUP(V141/H141,0)*0.00753),"")</f>
        <v/>
      </c>
      <c r="X141" s="66" t="inlineStr"/>
      <c r="Y141" s="67" t="inlineStr"/>
      <c r="AC141" s="68" t="n"/>
      <c r="AZ141" s="142" t="inlineStr">
        <is>
          <t>КИ</t>
        </is>
      </c>
    </row>
    <row r="142">
      <c r="A142" s="318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6" t="n"/>
      <c r="M142" s="667" t="inlineStr">
        <is>
          <t>Итого</t>
        </is>
      </c>
      <c r="N142" s="637" t="n"/>
      <c r="O142" s="637" t="n"/>
      <c r="P142" s="637" t="n"/>
      <c r="Q142" s="637" t="n"/>
      <c r="R142" s="637" t="n"/>
      <c r="S142" s="638" t="n"/>
      <c r="T142" s="41" t="inlineStr">
        <is>
          <t>кор</t>
        </is>
      </c>
      <c r="U142" s="668">
        <f>IFERROR(U134/H134,"0")+IFERROR(U135/H135,"0")+IFERROR(U136/H136,"0")+IFERROR(U137/H137,"0")+IFERROR(U138/H138,"0")+IFERROR(U139/H139,"0")+IFERROR(U140/H140,"0")+IFERROR(U141/H141,"0")</f>
        <v/>
      </c>
      <c r="V142" s="668">
        <f>IFERROR(V134/H134,"0")+IFERROR(V135/H135,"0")+IFERROR(V136/H136,"0")+IFERROR(V137/H137,"0")+IFERROR(V138/H138,"0")+IFERROR(V139/H139,"0")+IFERROR(V140/H140,"0")+IFERROR(V141/H141,"0")</f>
        <v/>
      </c>
      <c r="W142" s="668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69" t="n"/>
      <c r="Y142" s="669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6" t="n"/>
      <c r="M143" s="667" t="inlineStr">
        <is>
          <t>Итого</t>
        </is>
      </c>
      <c r="N143" s="637" t="n"/>
      <c r="O143" s="637" t="n"/>
      <c r="P143" s="637" t="n"/>
      <c r="Q143" s="637" t="n"/>
      <c r="R143" s="637" t="n"/>
      <c r="S143" s="638" t="n"/>
      <c r="T143" s="41" t="inlineStr">
        <is>
          <t>кг</t>
        </is>
      </c>
      <c r="U143" s="668">
        <f>IFERROR(SUM(U134:U141),"0")</f>
        <v/>
      </c>
      <c r="V143" s="668">
        <f>IFERROR(SUM(V134:V141),"0")</f>
        <v/>
      </c>
      <c r="W143" s="41" t="n"/>
      <c r="X143" s="669" t="n"/>
      <c r="Y143" s="669" t="n"/>
    </row>
    <row r="144" ht="16.5" customHeight="1">
      <c r="A144" s="325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5" t="n"/>
      <c r="Y144" s="325" t="n"/>
    </row>
    <row r="145" ht="14.25" customHeight="1">
      <c r="A145" s="326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6" t="n"/>
      <c r="Y145" s="326" t="n"/>
    </row>
    <row r="146" ht="16.5" customHeight="1">
      <c r="A146" s="61" t="inlineStr">
        <is>
          <t>SU002824</t>
        </is>
      </c>
      <c r="B146" s="61" t="inlineStr">
        <is>
          <t>P003231</t>
        </is>
      </c>
      <c r="C146" s="35" t="n">
        <v>4301011450</v>
      </c>
      <c r="D146" s="310" t="n">
        <v>4680115881402</v>
      </c>
      <c r="E146" s="629" t="n"/>
      <c r="F146" s="661" t="n">
        <v>1.35</v>
      </c>
      <c r="G146" s="36" t="n">
        <v>8</v>
      </c>
      <c r="H146" s="661" t="n">
        <v>10.8</v>
      </c>
      <c r="I146" s="661" t="n">
        <v>11.28</v>
      </c>
      <c r="J146" s="36" t="n">
        <v>56</v>
      </c>
      <c r="K146" s="37" t="inlineStr">
        <is>
          <t>СК1</t>
        </is>
      </c>
      <c r="L146" s="36" t="n">
        <v>55</v>
      </c>
      <c r="M146" s="7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3" t="n"/>
      <c r="O146" s="663" t="n"/>
      <c r="P146" s="663" t="n"/>
      <c r="Q146" s="629" t="n"/>
      <c r="R146" s="38" t="inlineStr"/>
      <c r="S146" s="38" t="inlineStr"/>
      <c r="T146" s="39" t="inlineStr">
        <is>
          <t>кг</t>
        </is>
      </c>
      <c r="U146" s="664" t="n">
        <v>0</v>
      </c>
      <c r="V146" s="665">
        <f>IFERROR(IF(U146="",0,CEILING((U146/$H146),1)*$H146),"")</f>
        <v/>
      </c>
      <c r="W146" s="40">
        <f>IFERROR(IF(V146=0,"",ROUNDUP(V146/H146,0)*0.02175),"")</f>
        <v/>
      </c>
      <c r="X146" s="66" t="inlineStr"/>
      <c r="Y146" s="67" t="inlineStr"/>
      <c r="AC146" s="68" t="n"/>
      <c r="AZ146" s="143" t="inlineStr">
        <is>
          <t>КИ</t>
        </is>
      </c>
    </row>
    <row r="147" ht="27" customHeight="1">
      <c r="A147" s="61" t="inlineStr">
        <is>
          <t>SU002823</t>
        </is>
      </c>
      <c r="B147" s="61" t="inlineStr">
        <is>
          <t>P003230</t>
        </is>
      </c>
      <c r="C147" s="35" t="n">
        <v>4301011454</v>
      </c>
      <c r="D147" s="310" t="n">
        <v>4680115881396</v>
      </c>
      <c r="E147" s="629" t="n"/>
      <c r="F147" s="661" t="n">
        <v>0.45</v>
      </c>
      <c r="G147" s="36" t="n">
        <v>6</v>
      </c>
      <c r="H147" s="661" t="n">
        <v>2.7</v>
      </c>
      <c r="I147" s="661" t="n">
        <v>2.9</v>
      </c>
      <c r="J147" s="36" t="n">
        <v>156</v>
      </c>
      <c r="K147" s="37" t="inlineStr">
        <is>
          <t>СК2</t>
        </is>
      </c>
      <c r="L147" s="36" t="n">
        <v>55</v>
      </c>
      <c r="M147" s="74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3" t="n"/>
      <c r="O147" s="663" t="n"/>
      <c r="P147" s="663" t="n"/>
      <c r="Q147" s="629" t="n"/>
      <c r="R147" s="38" t="inlineStr"/>
      <c r="S147" s="38" t="inlineStr"/>
      <c r="T147" s="39" t="inlineStr">
        <is>
          <t>кг</t>
        </is>
      </c>
      <c r="U147" s="664" t="n">
        <v>0</v>
      </c>
      <c r="V147" s="665">
        <f>IFERROR(IF(U147="",0,CEILING((U147/$H147),1)*$H147),"")</f>
        <v/>
      </c>
      <c r="W147" s="40">
        <f>IFERROR(IF(V147=0,"",ROUNDUP(V147/H147,0)*0.00753),"")</f>
        <v/>
      </c>
      <c r="X147" s="66" t="inlineStr"/>
      <c r="Y147" s="67" t="inlineStr"/>
      <c r="AC147" s="68" t="n"/>
      <c r="AZ147" s="144" t="inlineStr">
        <is>
          <t>КИ</t>
        </is>
      </c>
    </row>
    <row r="148">
      <c r="A148" s="31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6" t="n"/>
      <c r="M148" s="667" t="inlineStr">
        <is>
          <t>Итого</t>
        </is>
      </c>
      <c r="N148" s="637" t="n"/>
      <c r="O148" s="637" t="n"/>
      <c r="P148" s="637" t="n"/>
      <c r="Q148" s="637" t="n"/>
      <c r="R148" s="637" t="n"/>
      <c r="S148" s="638" t="n"/>
      <c r="T148" s="41" t="inlineStr">
        <is>
          <t>кор</t>
        </is>
      </c>
      <c r="U148" s="668">
        <f>IFERROR(U146/H146,"0")+IFERROR(U147/H147,"0")</f>
        <v/>
      </c>
      <c r="V148" s="668">
        <f>IFERROR(V146/H146,"0")+IFERROR(V147/H147,"0")</f>
        <v/>
      </c>
      <c r="W148" s="668">
        <f>IFERROR(IF(W146="",0,W146),"0")+IFERROR(IF(W147="",0,W147),"0")</f>
        <v/>
      </c>
      <c r="X148" s="669" t="n"/>
      <c r="Y148" s="669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6" t="n"/>
      <c r="M149" s="667" t="inlineStr">
        <is>
          <t>Итого</t>
        </is>
      </c>
      <c r="N149" s="637" t="n"/>
      <c r="O149" s="637" t="n"/>
      <c r="P149" s="637" t="n"/>
      <c r="Q149" s="637" t="n"/>
      <c r="R149" s="637" t="n"/>
      <c r="S149" s="638" t="n"/>
      <c r="T149" s="41" t="inlineStr">
        <is>
          <t>кг</t>
        </is>
      </c>
      <c r="U149" s="668">
        <f>IFERROR(SUM(U146:U147),"0")</f>
        <v/>
      </c>
      <c r="V149" s="668">
        <f>IFERROR(SUM(V146:V147),"0")</f>
        <v/>
      </c>
      <c r="W149" s="41" t="n"/>
      <c r="X149" s="669" t="n"/>
      <c r="Y149" s="669" t="n"/>
    </row>
    <row r="150" ht="14.25" customHeight="1">
      <c r="A150" s="326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6" t="n"/>
      <c r="Y150" s="326" t="n"/>
    </row>
    <row r="151" ht="16.5" customHeight="1">
      <c r="A151" s="61" t="inlineStr">
        <is>
          <t>SU003068</t>
        </is>
      </c>
      <c r="B151" s="61" t="inlineStr">
        <is>
          <t>P003611</t>
        </is>
      </c>
      <c r="C151" s="35" t="n">
        <v>4301020262</v>
      </c>
      <c r="D151" s="310" t="n">
        <v>4680115882935</v>
      </c>
      <c r="E151" s="629" t="n"/>
      <c r="F151" s="661" t="n">
        <v>1.35</v>
      </c>
      <c r="G151" s="36" t="n">
        <v>8</v>
      </c>
      <c r="H151" s="661" t="n">
        <v>10.8</v>
      </c>
      <c r="I151" s="661" t="n">
        <v>11.28</v>
      </c>
      <c r="J151" s="36" t="n">
        <v>56</v>
      </c>
      <c r="K151" s="37" t="inlineStr">
        <is>
          <t>СК3</t>
        </is>
      </c>
      <c r="L151" s="36" t="n">
        <v>50</v>
      </c>
      <c r="M151" s="744" t="inlineStr">
        <is>
          <t>Ветчина «Сочинка с сочным окороком» Весовой п/а ТМ «Стародворье»</t>
        </is>
      </c>
      <c r="N151" s="663" t="n"/>
      <c r="O151" s="663" t="n"/>
      <c r="P151" s="663" t="n"/>
      <c r="Q151" s="629" t="n"/>
      <c r="R151" s="38" t="inlineStr"/>
      <c r="S151" s="38" t="inlineStr"/>
      <c r="T151" s="39" t="inlineStr">
        <is>
          <t>кг</t>
        </is>
      </c>
      <c r="U151" s="664" t="n">
        <v>0</v>
      </c>
      <c r="V151" s="665">
        <f>IFERROR(IF(U151="",0,CEILING((U151/$H151),1)*$H151),"")</f>
        <v/>
      </c>
      <c r="W151" s="40">
        <f>IFERROR(IF(V151=0,"",ROUNDUP(V151/H151,0)*0.02175),"")</f>
        <v/>
      </c>
      <c r="X151" s="66" t="inlineStr"/>
      <c r="Y151" s="67" t="inlineStr"/>
      <c r="AC151" s="68" t="n"/>
      <c r="AZ151" s="145" t="inlineStr">
        <is>
          <t>КИ</t>
        </is>
      </c>
    </row>
    <row r="152" ht="16.5" customHeight="1">
      <c r="A152" s="61" t="inlineStr">
        <is>
          <t>SU002757</t>
        </is>
      </c>
      <c r="B152" s="61" t="inlineStr">
        <is>
          <t>P003128</t>
        </is>
      </c>
      <c r="C152" s="35" t="n">
        <v>4301020220</v>
      </c>
      <c r="D152" s="310" t="n">
        <v>4680115880764</v>
      </c>
      <c r="E152" s="629" t="n"/>
      <c r="F152" s="661" t="n">
        <v>0.35</v>
      </c>
      <c r="G152" s="36" t="n">
        <v>6</v>
      </c>
      <c r="H152" s="661" t="n">
        <v>2.1</v>
      </c>
      <c r="I152" s="661" t="n">
        <v>2.3</v>
      </c>
      <c r="J152" s="36" t="n">
        <v>156</v>
      </c>
      <c r="K152" s="37" t="inlineStr">
        <is>
          <t>СК1</t>
        </is>
      </c>
      <c r="L152" s="36" t="n">
        <v>50</v>
      </c>
      <c r="M152" s="74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3" t="n"/>
      <c r="O152" s="663" t="n"/>
      <c r="P152" s="663" t="n"/>
      <c r="Q152" s="629" t="n"/>
      <c r="R152" s="38" t="inlineStr"/>
      <c r="S152" s="38" t="inlineStr"/>
      <c r="T152" s="39" t="inlineStr">
        <is>
          <t>кг</t>
        </is>
      </c>
      <c r="U152" s="664" t="n">
        <v>0</v>
      </c>
      <c r="V152" s="665">
        <f>IFERROR(IF(U152="",0,CEILING((U152/$H152),1)*$H152),"")</f>
        <v/>
      </c>
      <c r="W152" s="40">
        <f>IFERROR(IF(V152=0,"",ROUNDUP(V152/H152,0)*0.00753),"")</f>
        <v/>
      </c>
      <c r="X152" s="66" t="inlineStr"/>
      <c r="Y152" s="67" t="inlineStr"/>
      <c r="AC152" s="68" t="n"/>
      <c r="AZ152" s="146" t="inlineStr">
        <is>
          <t>КИ</t>
        </is>
      </c>
    </row>
    <row r="153">
      <c r="A153" s="31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6" t="n"/>
      <c r="M153" s="667" t="inlineStr">
        <is>
          <t>Итого</t>
        </is>
      </c>
      <c r="N153" s="637" t="n"/>
      <c r="O153" s="637" t="n"/>
      <c r="P153" s="637" t="n"/>
      <c r="Q153" s="637" t="n"/>
      <c r="R153" s="637" t="n"/>
      <c r="S153" s="638" t="n"/>
      <c r="T153" s="41" t="inlineStr">
        <is>
          <t>кор</t>
        </is>
      </c>
      <c r="U153" s="668">
        <f>IFERROR(U151/H151,"0")+IFERROR(U152/H152,"0")</f>
        <v/>
      </c>
      <c r="V153" s="668">
        <f>IFERROR(V151/H151,"0")+IFERROR(V152/H152,"0")</f>
        <v/>
      </c>
      <c r="W153" s="668">
        <f>IFERROR(IF(W151="",0,W151),"0")+IFERROR(IF(W152="",0,W152),"0")</f>
        <v/>
      </c>
      <c r="X153" s="669" t="n"/>
      <c r="Y153" s="66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6" t="n"/>
      <c r="M154" s="667" t="inlineStr">
        <is>
          <t>Итого</t>
        </is>
      </c>
      <c r="N154" s="637" t="n"/>
      <c r="O154" s="637" t="n"/>
      <c r="P154" s="637" t="n"/>
      <c r="Q154" s="637" t="n"/>
      <c r="R154" s="637" t="n"/>
      <c r="S154" s="638" t="n"/>
      <c r="T154" s="41" t="inlineStr">
        <is>
          <t>кг</t>
        </is>
      </c>
      <c r="U154" s="668">
        <f>IFERROR(SUM(U151:U152),"0")</f>
        <v/>
      </c>
      <c r="V154" s="668">
        <f>IFERROR(SUM(V151:V152),"0")</f>
        <v/>
      </c>
      <c r="W154" s="41" t="n"/>
      <c r="X154" s="669" t="n"/>
      <c r="Y154" s="669" t="n"/>
    </row>
    <row r="155" ht="14.25" customHeight="1">
      <c r="A155" s="326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6" t="n"/>
      <c r="Y155" s="326" t="n"/>
    </row>
    <row r="156" ht="27" customHeight="1">
      <c r="A156" s="61" t="inlineStr">
        <is>
          <t>SU002941</t>
        </is>
      </c>
      <c r="B156" s="61" t="inlineStr">
        <is>
          <t>P003387</t>
        </is>
      </c>
      <c r="C156" s="35" t="n">
        <v>4301031224</v>
      </c>
      <c r="D156" s="310" t="n">
        <v>4680115882683</v>
      </c>
      <c r="E156" s="629" t="n"/>
      <c r="F156" s="661" t="n">
        <v>0.9</v>
      </c>
      <c r="G156" s="36" t="n">
        <v>6</v>
      </c>
      <c r="H156" s="661" t="n">
        <v>5.4</v>
      </c>
      <c r="I156" s="661" t="n">
        <v>5.61</v>
      </c>
      <c r="J156" s="36" t="n">
        <v>120</v>
      </c>
      <c r="K156" s="37" t="inlineStr">
        <is>
          <t>СК2</t>
        </is>
      </c>
      <c r="L156" s="36" t="n">
        <v>40</v>
      </c>
      <c r="M156" s="74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3" t="n"/>
      <c r="O156" s="663" t="n"/>
      <c r="P156" s="663" t="n"/>
      <c r="Q156" s="629" t="n"/>
      <c r="R156" s="38" t="inlineStr"/>
      <c r="S156" s="38" t="inlineStr"/>
      <c r="T156" s="39" t="inlineStr">
        <is>
          <t>кг</t>
        </is>
      </c>
      <c r="U156" s="664" t="n">
        <v>0</v>
      </c>
      <c r="V156" s="665">
        <f>IFERROR(IF(U156="",0,CEILING((U156/$H156),1)*$H156),"")</f>
        <v/>
      </c>
      <c r="W156" s="40">
        <f>IFERROR(IF(V156=0,"",ROUNDUP(V156/H156,0)*0.00937),"")</f>
        <v/>
      </c>
      <c r="X156" s="66" t="inlineStr"/>
      <c r="Y156" s="67" t="inlineStr"/>
      <c r="AC156" s="68" t="n"/>
      <c r="AZ156" s="147" t="inlineStr">
        <is>
          <t>КИ</t>
        </is>
      </c>
    </row>
    <row r="157" ht="27" customHeight="1">
      <c r="A157" s="61" t="inlineStr">
        <is>
          <t>SU002943</t>
        </is>
      </c>
      <c r="B157" s="61" t="inlineStr">
        <is>
          <t>P003401</t>
        </is>
      </c>
      <c r="C157" s="35" t="n">
        <v>4301031230</v>
      </c>
      <c r="D157" s="310" t="n">
        <v>4680115882690</v>
      </c>
      <c r="E157" s="629" t="n"/>
      <c r="F157" s="661" t="n">
        <v>0.9</v>
      </c>
      <c r="G157" s="36" t="n">
        <v>6</v>
      </c>
      <c r="H157" s="661" t="n">
        <v>5.4</v>
      </c>
      <c r="I157" s="661" t="n">
        <v>5.61</v>
      </c>
      <c r="J157" s="36" t="n">
        <v>120</v>
      </c>
      <c r="K157" s="37" t="inlineStr">
        <is>
          <t>СК2</t>
        </is>
      </c>
      <c r="L157" s="36" t="n">
        <v>40</v>
      </c>
      <c r="M157" s="74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3" t="n"/>
      <c r="O157" s="663" t="n"/>
      <c r="P157" s="663" t="n"/>
      <c r="Q157" s="629" t="n"/>
      <c r="R157" s="38" t="inlineStr"/>
      <c r="S157" s="38" t="inlineStr"/>
      <c r="T157" s="39" t="inlineStr">
        <is>
          <t>кг</t>
        </is>
      </c>
      <c r="U157" s="664" t="n">
        <v>0</v>
      </c>
      <c r="V157" s="665">
        <f>IFERROR(IF(U157="",0,CEILING((U157/$H157),1)*$H157),"")</f>
        <v/>
      </c>
      <c r="W157" s="40">
        <f>IFERROR(IF(V157=0,"",ROUNDUP(V157/H157,0)*0.00937),"")</f>
        <v/>
      </c>
      <c r="X157" s="66" t="inlineStr"/>
      <c r="Y157" s="67" t="inlineStr"/>
      <c r="AC157" s="68" t="n"/>
      <c r="AZ157" s="148" t="inlineStr">
        <is>
          <t>КИ</t>
        </is>
      </c>
    </row>
    <row r="158" ht="27" customHeight="1">
      <c r="A158" s="61" t="inlineStr">
        <is>
          <t>SU002945</t>
        </is>
      </c>
      <c r="B158" s="61" t="inlineStr">
        <is>
          <t>P003383</t>
        </is>
      </c>
      <c r="C158" s="35" t="n">
        <v>4301031220</v>
      </c>
      <c r="D158" s="310" t="n">
        <v>4680115882669</v>
      </c>
      <c r="E158" s="629" t="n"/>
      <c r="F158" s="661" t="n">
        <v>0.9</v>
      </c>
      <c r="G158" s="36" t="n">
        <v>6</v>
      </c>
      <c r="H158" s="661" t="n">
        <v>5.4</v>
      </c>
      <c r="I158" s="661" t="n">
        <v>5.61</v>
      </c>
      <c r="J158" s="36" t="n">
        <v>120</v>
      </c>
      <c r="K158" s="37" t="inlineStr">
        <is>
          <t>СК2</t>
        </is>
      </c>
      <c r="L158" s="36" t="n">
        <v>40</v>
      </c>
      <c r="M158" s="74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3" t="n"/>
      <c r="O158" s="663" t="n"/>
      <c r="P158" s="663" t="n"/>
      <c r="Q158" s="629" t="n"/>
      <c r="R158" s="38" t="inlineStr"/>
      <c r="S158" s="38" t="inlineStr"/>
      <c r="T158" s="39" t="inlineStr">
        <is>
          <t>кг</t>
        </is>
      </c>
      <c r="U158" s="664" t="n">
        <v>0</v>
      </c>
      <c r="V158" s="665">
        <f>IFERROR(IF(U158="",0,CEILING((U158/$H158),1)*$H158),"")</f>
        <v/>
      </c>
      <c r="W158" s="40">
        <f>IFERROR(IF(V158=0,"",ROUNDUP(V158/H158,0)*0.00937),"")</f>
        <v/>
      </c>
      <c r="X158" s="66" t="inlineStr"/>
      <c r="Y158" s="67" t="inlineStr"/>
      <c r="AC158" s="68" t="n"/>
      <c r="AZ158" s="149" t="inlineStr">
        <is>
          <t>КИ</t>
        </is>
      </c>
    </row>
    <row r="159" ht="27" customHeight="1">
      <c r="A159" s="61" t="inlineStr">
        <is>
          <t>SU002947</t>
        </is>
      </c>
      <c r="B159" s="61" t="inlineStr">
        <is>
          <t>P003384</t>
        </is>
      </c>
      <c r="C159" s="35" t="n">
        <v>4301031221</v>
      </c>
      <c r="D159" s="310" t="n">
        <v>4680115882676</v>
      </c>
      <c r="E159" s="629" t="n"/>
      <c r="F159" s="661" t="n">
        <v>0.9</v>
      </c>
      <c r="G159" s="36" t="n">
        <v>6</v>
      </c>
      <c r="H159" s="661" t="n">
        <v>5.4</v>
      </c>
      <c r="I159" s="661" t="n">
        <v>5.61</v>
      </c>
      <c r="J159" s="36" t="n">
        <v>120</v>
      </c>
      <c r="K159" s="37" t="inlineStr">
        <is>
          <t>СК2</t>
        </is>
      </c>
      <c r="L159" s="36" t="n">
        <v>40</v>
      </c>
      <c r="M159" s="74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3" t="n"/>
      <c r="O159" s="663" t="n"/>
      <c r="P159" s="663" t="n"/>
      <c r="Q159" s="629" t="n"/>
      <c r="R159" s="38" t="inlineStr"/>
      <c r="S159" s="38" t="inlineStr"/>
      <c r="T159" s="39" t="inlineStr">
        <is>
          <t>кг</t>
        </is>
      </c>
      <c r="U159" s="664" t="n">
        <v>0</v>
      </c>
      <c r="V159" s="665">
        <f>IFERROR(IF(U159="",0,CEILING((U159/$H159),1)*$H159),"")</f>
        <v/>
      </c>
      <c r="W159" s="40">
        <f>IFERROR(IF(V159=0,"",ROUNDUP(V159/H159,0)*0.00937),"")</f>
        <v/>
      </c>
      <c r="X159" s="66" t="inlineStr"/>
      <c r="Y159" s="67" t="inlineStr"/>
      <c r="AC159" s="68" t="n"/>
      <c r="AZ159" s="150" t="inlineStr">
        <is>
          <t>КИ</t>
        </is>
      </c>
    </row>
    <row r="160">
      <c r="A160" s="31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6" t="n"/>
      <c r="M160" s="667" t="inlineStr">
        <is>
          <t>Итого</t>
        </is>
      </c>
      <c r="N160" s="637" t="n"/>
      <c r="O160" s="637" t="n"/>
      <c r="P160" s="637" t="n"/>
      <c r="Q160" s="637" t="n"/>
      <c r="R160" s="637" t="n"/>
      <c r="S160" s="638" t="n"/>
      <c r="T160" s="41" t="inlineStr">
        <is>
          <t>кор</t>
        </is>
      </c>
      <c r="U160" s="668">
        <f>IFERROR(U156/H156,"0")+IFERROR(U157/H157,"0")+IFERROR(U158/H158,"0")+IFERROR(U159/H159,"0")</f>
        <v/>
      </c>
      <c r="V160" s="668">
        <f>IFERROR(V156/H156,"0")+IFERROR(V157/H157,"0")+IFERROR(V158/H158,"0")+IFERROR(V159/H159,"0")</f>
        <v/>
      </c>
      <c r="W160" s="668">
        <f>IFERROR(IF(W156="",0,W156),"0")+IFERROR(IF(W157="",0,W157),"0")+IFERROR(IF(W158="",0,W158),"0")+IFERROR(IF(W159="",0,W159),"0")</f>
        <v/>
      </c>
      <c r="X160" s="669" t="n"/>
      <c r="Y160" s="669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6" t="n"/>
      <c r="M161" s="667" t="inlineStr">
        <is>
          <t>Итого</t>
        </is>
      </c>
      <c r="N161" s="637" t="n"/>
      <c r="O161" s="637" t="n"/>
      <c r="P161" s="637" t="n"/>
      <c r="Q161" s="637" t="n"/>
      <c r="R161" s="637" t="n"/>
      <c r="S161" s="638" t="n"/>
      <c r="T161" s="41" t="inlineStr">
        <is>
          <t>кг</t>
        </is>
      </c>
      <c r="U161" s="668">
        <f>IFERROR(SUM(U156:U159),"0")</f>
        <v/>
      </c>
      <c r="V161" s="668">
        <f>IFERROR(SUM(V156:V159),"0")</f>
        <v/>
      </c>
      <c r="W161" s="41" t="n"/>
      <c r="X161" s="669" t="n"/>
      <c r="Y161" s="669" t="n"/>
    </row>
    <row r="162" ht="14.25" customHeight="1">
      <c r="A162" s="326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6" t="n"/>
      <c r="Y162" s="326" t="n"/>
    </row>
    <row r="163" ht="27" customHeight="1">
      <c r="A163" s="61" t="inlineStr">
        <is>
          <t>SU002857</t>
        </is>
      </c>
      <c r="B163" s="61" t="inlineStr">
        <is>
          <t>P003264</t>
        </is>
      </c>
      <c r="C163" s="35" t="n">
        <v>4301051409</v>
      </c>
      <c r="D163" s="310" t="n">
        <v>4680115881556</v>
      </c>
      <c r="E163" s="629" t="n"/>
      <c r="F163" s="661" t="n">
        <v>1</v>
      </c>
      <c r="G163" s="36" t="n">
        <v>4</v>
      </c>
      <c r="H163" s="661" t="n">
        <v>4</v>
      </c>
      <c r="I163" s="661" t="n">
        <v>4.408</v>
      </c>
      <c r="J163" s="36" t="n">
        <v>104</v>
      </c>
      <c r="K163" s="37" t="inlineStr">
        <is>
          <t>СК3</t>
        </is>
      </c>
      <c r="L163" s="36" t="n">
        <v>45</v>
      </c>
      <c r="M163" s="75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3" t="n"/>
      <c r="O163" s="663" t="n"/>
      <c r="P163" s="663" t="n"/>
      <c r="Q163" s="629" t="n"/>
      <c r="R163" s="38" t="inlineStr"/>
      <c r="S163" s="38" t="inlineStr"/>
      <c r="T163" s="39" t="inlineStr">
        <is>
          <t>кг</t>
        </is>
      </c>
      <c r="U163" s="664" t="n">
        <v>0</v>
      </c>
      <c r="V163" s="665">
        <f>IFERROR(IF(U163="",0,CEILING((U163/$H163),1)*$H163),"")</f>
        <v/>
      </c>
      <c r="W163" s="40">
        <f>IFERROR(IF(V163=0,"",ROUNDUP(V163/H163,0)*0.01196),"")</f>
        <v/>
      </c>
      <c r="X163" s="66" t="inlineStr"/>
      <c r="Y163" s="67" t="inlineStr"/>
      <c r="AC163" s="68" t="n"/>
      <c r="AZ163" s="151" t="inlineStr">
        <is>
          <t>КИ</t>
        </is>
      </c>
    </row>
    <row r="164" ht="16.5" customHeight="1">
      <c r="A164" s="61" t="inlineStr">
        <is>
          <t>SU002725</t>
        </is>
      </c>
      <c r="B164" s="61" t="inlineStr">
        <is>
          <t>P003404</t>
        </is>
      </c>
      <c r="C164" s="35" t="n">
        <v>4301051470</v>
      </c>
      <c r="D164" s="310" t="n">
        <v>4680115880573</v>
      </c>
      <c r="E164" s="629" t="n"/>
      <c r="F164" s="661" t="n">
        <v>1.3</v>
      </c>
      <c r="G164" s="36" t="n">
        <v>6</v>
      </c>
      <c r="H164" s="661" t="n">
        <v>7.8</v>
      </c>
      <c r="I164" s="661" t="n">
        <v>8.364000000000001</v>
      </c>
      <c r="J164" s="36" t="n">
        <v>56</v>
      </c>
      <c r="K164" s="37" t="inlineStr">
        <is>
          <t>СК3</t>
        </is>
      </c>
      <c r="L164" s="36" t="n">
        <v>45</v>
      </c>
      <c r="M164" s="751">
        <f>HYPERLINK("https://abi.ru/products/Охлажденные/Стародворье/Сочинка/Сосиски/P003404/","Сосиски «Сочинки» Весовой п/а ТМ «Стародворье»")</f>
        <v/>
      </c>
      <c r="N164" s="663" t="n"/>
      <c r="O164" s="663" t="n"/>
      <c r="P164" s="663" t="n"/>
      <c r="Q164" s="629" t="n"/>
      <c r="R164" s="38" t="inlineStr"/>
      <c r="S164" s="38" t="inlineStr"/>
      <c r="T164" s="39" t="inlineStr">
        <is>
          <t>кг</t>
        </is>
      </c>
      <c r="U164" s="664" t="n">
        <v>0</v>
      </c>
      <c r="V164" s="665">
        <f>IFERROR(IF(U164="",0,CEILING((U164/$H164),1)*$H164),"")</f>
        <v/>
      </c>
      <c r="W164" s="40">
        <f>IFERROR(IF(V164=0,"",ROUNDUP(V164/H164,0)*0.02175),"")</f>
        <v/>
      </c>
      <c r="X164" s="66" t="inlineStr"/>
      <c r="Y164" s="67" t="inlineStr"/>
      <c r="AC164" s="68" t="n"/>
      <c r="AZ164" s="152" t="inlineStr">
        <is>
          <t>КИ</t>
        </is>
      </c>
    </row>
    <row r="165" ht="16.5" customHeight="1">
      <c r="A165" s="61" t="inlineStr">
        <is>
          <t>SU002725</t>
        </is>
      </c>
      <c r="B165" s="61" t="inlineStr">
        <is>
          <t>P003672</t>
        </is>
      </c>
      <c r="C165" s="35" t="n">
        <v>4301051538</v>
      </c>
      <c r="D165" s="310" t="n">
        <v>4680115880573</v>
      </c>
      <c r="E165" s="629" t="n"/>
      <c r="F165" s="661" t="n">
        <v>1.45</v>
      </c>
      <c r="G165" s="36" t="n">
        <v>6</v>
      </c>
      <c r="H165" s="661" t="n">
        <v>8.699999999999999</v>
      </c>
      <c r="I165" s="661" t="n">
        <v>9.263999999999999</v>
      </c>
      <c r="J165" s="36" t="n">
        <v>56</v>
      </c>
      <c r="K165" s="37" t="inlineStr">
        <is>
          <t>СК2</t>
        </is>
      </c>
      <c r="L165" s="36" t="n">
        <v>45</v>
      </c>
      <c r="M165" s="752" t="inlineStr">
        <is>
          <t>Сосиски «Сочинки» Весовой п/а ТМ «Стародворье»</t>
        </is>
      </c>
      <c r="N165" s="663" t="n"/>
      <c r="O165" s="663" t="n"/>
      <c r="P165" s="663" t="n"/>
      <c r="Q165" s="629" t="n"/>
      <c r="R165" s="38" t="inlineStr"/>
      <c r="S165" s="38" t="inlineStr"/>
      <c r="T165" s="39" t="inlineStr">
        <is>
          <t>кг</t>
        </is>
      </c>
      <c r="U165" s="664" t="n">
        <v>0</v>
      </c>
      <c r="V165" s="665">
        <f>IFERROR(IF(U165="",0,CEILING((U165/$H165),1)*$H165),"")</f>
        <v/>
      </c>
      <c r="W165" s="40">
        <f>IFERROR(IF(V165=0,"",ROUNDUP(V165/H165,0)*0.02175),"")</f>
        <v/>
      </c>
      <c r="X165" s="66" t="inlineStr"/>
      <c r="Y165" s="67" t="inlineStr"/>
      <c r="AC165" s="68" t="n"/>
      <c r="AZ165" s="153" t="inlineStr">
        <is>
          <t>КИ</t>
        </is>
      </c>
    </row>
    <row r="166" ht="27" customHeight="1">
      <c r="A166" s="61" t="inlineStr">
        <is>
          <t>SU002843</t>
        </is>
      </c>
      <c r="B166" s="61" t="inlineStr">
        <is>
          <t>P003263</t>
        </is>
      </c>
      <c r="C166" s="35" t="n">
        <v>4301051408</v>
      </c>
      <c r="D166" s="310" t="n">
        <v>4680115881594</v>
      </c>
      <c r="E166" s="629" t="n"/>
      <c r="F166" s="661" t="n">
        <v>1.35</v>
      </c>
      <c r="G166" s="36" t="n">
        <v>6</v>
      </c>
      <c r="H166" s="661" t="n">
        <v>8.1</v>
      </c>
      <c r="I166" s="661" t="n">
        <v>8.664</v>
      </c>
      <c r="J166" s="36" t="n">
        <v>56</v>
      </c>
      <c r="K166" s="37" t="inlineStr">
        <is>
          <t>СК3</t>
        </is>
      </c>
      <c r="L166" s="36" t="n">
        <v>40</v>
      </c>
      <c r="M166" s="75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3" t="n"/>
      <c r="O166" s="663" t="n"/>
      <c r="P166" s="663" t="n"/>
      <c r="Q166" s="629" t="n"/>
      <c r="R166" s="38" t="inlineStr"/>
      <c r="S166" s="38" t="inlineStr"/>
      <c r="T166" s="39" t="inlineStr">
        <is>
          <t>кг</t>
        </is>
      </c>
      <c r="U166" s="664" t="n">
        <v>0</v>
      </c>
      <c r="V166" s="665">
        <f>IFERROR(IF(U166="",0,CEILING((U166/$H166),1)*$H166),"")</f>
        <v/>
      </c>
      <c r="W166" s="40">
        <f>IFERROR(IF(V166=0,"",ROUNDUP(V166/H166,0)*0.02175),"")</f>
        <v/>
      </c>
      <c r="X166" s="66" t="inlineStr"/>
      <c r="Y166" s="67" t="inlineStr"/>
      <c r="AC166" s="68" t="n"/>
      <c r="AZ166" s="154" t="inlineStr">
        <is>
          <t>КИ</t>
        </is>
      </c>
    </row>
    <row r="167" ht="27" customHeight="1">
      <c r="A167" s="61" t="inlineStr">
        <is>
          <t>SU002858</t>
        </is>
      </c>
      <c r="B167" s="61" t="inlineStr">
        <is>
          <t>P003322</t>
        </is>
      </c>
      <c r="C167" s="35" t="n">
        <v>4301051433</v>
      </c>
      <c r="D167" s="310" t="n">
        <v>4680115881587</v>
      </c>
      <c r="E167" s="629" t="n"/>
      <c r="F167" s="661" t="n">
        <v>1</v>
      </c>
      <c r="G167" s="36" t="n">
        <v>4</v>
      </c>
      <c r="H167" s="661" t="n">
        <v>4</v>
      </c>
      <c r="I167" s="661" t="n">
        <v>4.408</v>
      </c>
      <c r="J167" s="36" t="n">
        <v>104</v>
      </c>
      <c r="K167" s="37" t="inlineStr">
        <is>
          <t>СК2</t>
        </is>
      </c>
      <c r="L167" s="36" t="n">
        <v>35</v>
      </c>
      <c r="M167" s="75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3" t="n"/>
      <c r="O167" s="663" t="n"/>
      <c r="P167" s="663" t="n"/>
      <c r="Q167" s="629" t="n"/>
      <c r="R167" s="38" t="inlineStr"/>
      <c r="S167" s="38" t="inlineStr"/>
      <c r="T167" s="39" t="inlineStr">
        <is>
          <t>кг</t>
        </is>
      </c>
      <c r="U167" s="664" t="n">
        <v>0</v>
      </c>
      <c r="V167" s="665">
        <f>IFERROR(IF(U167="",0,CEILING((U167/$H167),1)*$H167),"")</f>
        <v/>
      </c>
      <c r="W167" s="40">
        <f>IFERROR(IF(V167=0,"",ROUNDUP(V167/H167,0)*0.01196),"")</f>
        <v/>
      </c>
      <c r="X167" s="66" t="inlineStr"/>
      <c r="Y167" s="67" t="inlineStr"/>
      <c r="AC167" s="68" t="n"/>
      <c r="AZ167" s="155" t="inlineStr">
        <is>
          <t>КИ</t>
        </is>
      </c>
    </row>
    <row r="168" ht="16.5" customHeight="1">
      <c r="A168" s="61" t="inlineStr">
        <is>
          <t>SU002795</t>
        </is>
      </c>
      <c r="B168" s="61" t="inlineStr">
        <is>
          <t>P003203</t>
        </is>
      </c>
      <c r="C168" s="35" t="n">
        <v>4301051380</v>
      </c>
      <c r="D168" s="310" t="n">
        <v>4680115880962</v>
      </c>
      <c r="E168" s="629" t="n"/>
      <c r="F168" s="661" t="n">
        <v>1.3</v>
      </c>
      <c r="G168" s="36" t="n">
        <v>6</v>
      </c>
      <c r="H168" s="661" t="n">
        <v>7.8</v>
      </c>
      <c r="I168" s="661" t="n">
        <v>8.364000000000001</v>
      </c>
      <c r="J168" s="36" t="n">
        <v>56</v>
      </c>
      <c r="K168" s="37" t="inlineStr">
        <is>
          <t>СК2</t>
        </is>
      </c>
      <c r="L168" s="36" t="n">
        <v>40</v>
      </c>
      <c r="M168" s="75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3" t="n"/>
      <c r="O168" s="663" t="n"/>
      <c r="P168" s="663" t="n"/>
      <c r="Q168" s="629" t="n"/>
      <c r="R168" s="38" t="inlineStr"/>
      <c r="S168" s="38" t="inlineStr"/>
      <c r="T168" s="39" t="inlineStr">
        <is>
          <t>кг</t>
        </is>
      </c>
      <c r="U168" s="664" t="n">
        <v>0</v>
      </c>
      <c r="V168" s="665">
        <f>IFERROR(IF(U168="",0,CEILING((U168/$H168),1)*$H168),"")</f>
        <v/>
      </c>
      <c r="W168" s="40">
        <f>IFERROR(IF(V168=0,"",ROUNDUP(V168/H168,0)*0.02175),"")</f>
        <v/>
      </c>
      <c r="X168" s="66" t="inlineStr"/>
      <c r="Y168" s="67" t="inlineStr"/>
      <c r="AC168" s="68" t="n"/>
      <c r="AZ168" s="156" t="inlineStr">
        <is>
          <t>КИ</t>
        </is>
      </c>
    </row>
    <row r="169" ht="27" customHeight="1">
      <c r="A169" s="61" t="inlineStr">
        <is>
          <t>SU002845</t>
        </is>
      </c>
      <c r="B169" s="61" t="inlineStr">
        <is>
          <t>P003266</t>
        </is>
      </c>
      <c r="C169" s="35" t="n">
        <v>4301051411</v>
      </c>
      <c r="D169" s="310" t="n">
        <v>4680115881617</v>
      </c>
      <c r="E169" s="629" t="n"/>
      <c r="F169" s="661" t="n">
        <v>1.35</v>
      </c>
      <c r="G169" s="36" t="n">
        <v>6</v>
      </c>
      <c r="H169" s="661" t="n">
        <v>8.1</v>
      </c>
      <c r="I169" s="661" t="n">
        <v>8.646000000000001</v>
      </c>
      <c r="J169" s="36" t="n">
        <v>56</v>
      </c>
      <c r="K169" s="37" t="inlineStr">
        <is>
          <t>СК3</t>
        </is>
      </c>
      <c r="L169" s="36" t="n">
        <v>40</v>
      </c>
      <c r="M169" s="75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3" t="n"/>
      <c r="O169" s="663" t="n"/>
      <c r="P169" s="663" t="n"/>
      <c r="Q169" s="629" t="n"/>
      <c r="R169" s="38" t="inlineStr"/>
      <c r="S169" s="38" t="inlineStr"/>
      <c r="T169" s="39" t="inlineStr">
        <is>
          <t>кг</t>
        </is>
      </c>
      <c r="U169" s="664" t="n">
        <v>0</v>
      </c>
      <c r="V169" s="665">
        <f>IFERROR(IF(U169="",0,CEILING((U169/$H169),1)*$H169),"")</f>
        <v/>
      </c>
      <c r="W169" s="40">
        <f>IFERROR(IF(V169=0,"",ROUNDUP(V169/H169,0)*0.02175),"")</f>
        <v/>
      </c>
      <c r="X169" s="66" t="inlineStr"/>
      <c r="Y169" s="67" t="inlineStr"/>
      <c r="AC169" s="68" t="n"/>
      <c r="AZ169" s="157" t="inlineStr">
        <is>
          <t>КИ</t>
        </is>
      </c>
    </row>
    <row r="170" ht="27" customHeight="1">
      <c r="A170" s="61" t="inlineStr">
        <is>
          <t>SU002801</t>
        </is>
      </c>
      <c r="B170" s="61" t="inlineStr">
        <is>
          <t>P003200</t>
        </is>
      </c>
      <c r="C170" s="35" t="n">
        <v>4301051377</v>
      </c>
      <c r="D170" s="310" t="n">
        <v>4680115881228</v>
      </c>
      <c r="E170" s="629" t="n"/>
      <c r="F170" s="661" t="n">
        <v>0.4</v>
      </c>
      <c r="G170" s="36" t="n">
        <v>6</v>
      </c>
      <c r="H170" s="661" t="n">
        <v>2.4</v>
      </c>
      <c r="I170" s="661" t="n">
        <v>2.6</v>
      </c>
      <c r="J170" s="36" t="n">
        <v>156</v>
      </c>
      <c r="K170" s="37" t="inlineStr">
        <is>
          <t>СК2</t>
        </is>
      </c>
      <c r="L170" s="36" t="n">
        <v>35</v>
      </c>
      <c r="M170" s="75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3" t="n"/>
      <c r="O170" s="663" t="n"/>
      <c r="P170" s="663" t="n"/>
      <c r="Q170" s="629" t="n"/>
      <c r="R170" s="38" t="inlineStr"/>
      <c r="S170" s="38" t="inlineStr"/>
      <c r="T170" s="39" t="inlineStr">
        <is>
          <t>кг</t>
        </is>
      </c>
      <c r="U170" s="664" t="n">
        <v>0</v>
      </c>
      <c r="V170" s="665">
        <f>IFERROR(IF(U170="",0,CEILING((U170/$H170),1)*$H170),"")</f>
        <v/>
      </c>
      <c r="W170" s="40">
        <f>IFERROR(IF(V170=0,"",ROUNDUP(V170/H170,0)*0.00753),"")</f>
        <v/>
      </c>
      <c r="X170" s="66" t="inlineStr"/>
      <c r="Y170" s="67" t="inlineStr"/>
      <c r="AC170" s="68" t="n"/>
      <c r="AZ170" s="158" t="inlineStr">
        <is>
          <t>КИ</t>
        </is>
      </c>
    </row>
    <row r="171" ht="27" customHeight="1">
      <c r="A171" s="61" t="inlineStr">
        <is>
          <t>SU002802</t>
        </is>
      </c>
      <c r="B171" s="61" t="inlineStr">
        <is>
          <t>P003321</t>
        </is>
      </c>
      <c r="C171" s="35" t="n">
        <v>4301051432</v>
      </c>
      <c r="D171" s="310" t="n">
        <v>4680115881037</v>
      </c>
      <c r="E171" s="629" t="n"/>
      <c r="F171" s="661" t="n">
        <v>0.84</v>
      </c>
      <c r="G171" s="36" t="n">
        <v>4</v>
      </c>
      <c r="H171" s="661" t="n">
        <v>3.36</v>
      </c>
      <c r="I171" s="661" t="n">
        <v>3.618</v>
      </c>
      <c r="J171" s="36" t="n">
        <v>120</v>
      </c>
      <c r="K171" s="37" t="inlineStr">
        <is>
          <t>СК2</t>
        </is>
      </c>
      <c r="L171" s="36" t="n">
        <v>35</v>
      </c>
      <c r="M171" s="75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3" t="n"/>
      <c r="O171" s="663" t="n"/>
      <c r="P171" s="663" t="n"/>
      <c r="Q171" s="629" t="n"/>
      <c r="R171" s="38" t="inlineStr"/>
      <c r="S171" s="38" t="inlineStr"/>
      <c r="T171" s="39" t="inlineStr">
        <is>
          <t>кг</t>
        </is>
      </c>
      <c r="U171" s="664" t="n">
        <v>0</v>
      </c>
      <c r="V171" s="665">
        <f>IFERROR(IF(U171="",0,CEILING((U171/$H171),1)*$H171),"")</f>
        <v/>
      </c>
      <c r="W171" s="40">
        <f>IFERROR(IF(V171=0,"",ROUNDUP(V171/H171,0)*0.00937),"")</f>
        <v/>
      </c>
      <c r="X171" s="66" t="inlineStr"/>
      <c r="Y171" s="67" t="inlineStr"/>
      <c r="AC171" s="68" t="n"/>
      <c r="AZ171" s="159" t="inlineStr">
        <is>
          <t>КИ</t>
        </is>
      </c>
    </row>
    <row r="172" ht="27" customHeight="1">
      <c r="A172" s="61" t="inlineStr">
        <is>
          <t>SU002799</t>
        </is>
      </c>
      <c r="B172" s="61" t="inlineStr">
        <is>
          <t>P003217</t>
        </is>
      </c>
      <c r="C172" s="35" t="n">
        <v>4301051384</v>
      </c>
      <c r="D172" s="310" t="n">
        <v>4680115881211</v>
      </c>
      <c r="E172" s="629" t="n"/>
      <c r="F172" s="661" t="n">
        <v>0.4</v>
      </c>
      <c r="G172" s="36" t="n">
        <v>6</v>
      </c>
      <c r="H172" s="661" t="n">
        <v>2.4</v>
      </c>
      <c r="I172" s="661" t="n">
        <v>2.6</v>
      </c>
      <c r="J172" s="36" t="n">
        <v>156</v>
      </c>
      <c r="K172" s="37" t="inlineStr">
        <is>
          <t>СК2</t>
        </is>
      </c>
      <c r="L172" s="36" t="n">
        <v>45</v>
      </c>
      <c r="M172" s="75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3" t="n"/>
      <c r="O172" s="663" t="n"/>
      <c r="P172" s="663" t="n"/>
      <c r="Q172" s="629" t="n"/>
      <c r="R172" s="38" t="inlineStr"/>
      <c r="S172" s="38" t="inlineStr"/>
      <c r="T172" s="39" t="inlineStr">
        <is>
          <t>кг</t>
        </is>
      </c>
      <c r="U172" s="664" t="n">
        <v>0</v>
      </c>
      <c r="V172" s="665">
        <f>IFERROR(IF(U172="",0,CEILING((U172/$H172),1)*$H172),"")</f>
        <v/>
      </c>
      <c r="W172" s="40">
        <f>IFERROR(IF(V172=0,"",ROUNDUP(V172/H172,0)*0.00753),"")</f>
        <v/>
      </c>
      <c r="X172" s="66" t="inlineStr"/>
      <c r="Y172" s="67" t="inlineStr"/>
      <c r="AC172" s="68" t="n"/>
      <c r="AZ172" s="160" t="inlineStr">
        <is>
          <t>КИ</t>
        </is>
      </c>
    </row>
    <row r="173" ht="27" customHeight="1">
      <c r="A173" s="61" t="inlineStr">
        <is>
          <t>SU002800</t>
        </is>
      </c>
      <c r="B173" s="61" t="inlineStr">
        <is>
          <t>P003201</t>
        </is>
      </c>
      <c r="C173" s="35" t="n">
        <v>4301051378</v>
      </c>
      <c r="D173" s="310" t="n">
        <v>4680115881020</v>
      </c>
      <c r="E173" s="629" t="n"/>
      <c r="F173" s="661" t="n">
        <v>0.84</v>
      </c>
      <c r="G173" s="36" t="n">
        <v>4</v>
      </c>
      <c r="H173" s="661" t="n">
        <v>3.36</v>
      </c>
      <c r="I173" s="661" t="n">
        <v>3.57</v>
      </c>
      <c r="J173" s="36" t="n">
        <v>120</v>
      </c>
      <c r="K173" s="37" t="inlineStr">
        <is>
          <t>СК2</t>
        </is>
      </c>
      <c r="L173" s="36" t="n">
        <v>45</v>
      </c>
      <c r="M173" s="76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3" t="n"/>
      <c r="O173" s="663" t="n"/>
      <c r="P173" s="663" t="n"/>
      <c r="Q173" s="629" t="n"/>
      <c r="R173" s="38" t="inlineStr"/>
      <c r="S173" s="38" t="inlineStr"/>
      <c r="T173" s="39" t="inlineStr">
        <is>
          <t>кг</t>
        </is>
      </c>
      <c r="U173" s="664" t="n">
        <v>0</v>
      </c>
      <c r="V173" s="665">
        <f>IFERROR(IF(U173="",0,CEILING((U173/$H173),1)*$H173),"")</f>
        <v/>
      </c>
      <c r="W173" s="40">
        <f>IFERROR(IF(V173=0,"",ROUNDUP(V173/H173,0)*0.00937),"")</f>
        <v/>
      </c>
      <c r="X173" s="66" t="inlineStr"/>
      <c r="Y173" s="67" t="inlineStr"/>
      <c r="AC173" s="68" t="n"/>
      <c r="AZ173" s="161" t="inlineStr">
        <is>
          <t>КИ</t>
        </is>
      </c>
    </row>
    <row r="174" ht="27" customHeight="1">
      <c r="A174" s="61" t="inlineStr">
        <is>
          <t>SU002842</t>
        </is>
      </c>
      <c r="B174" s="61" t="inlineStr">
        <is>
          <t>P003262</t>
        </is>
      </c>
      <c r="C174" s="35" t="n">
        <v>4301051407</v>
      </c>
      <c r="D174" s="310" t="n">
        <v>4680115882195</v>
      </c>
      <c r="E174" s="629" t="n"/>
      <c r="F174" s="661" t="n">
        <v>0.4</v>
      </c>
      <c r="G174" s="36" t="n">
        <v>6</v>
      </c>
      <c r="H174" s="661" t="n">
        <v>2.4</v>
      </c>
      <c r="I174" s="661" t="n">
        <v>2.69</v>
      </c>
      <c r="J174" s="36" t="n">
        <v>156</v>
      </c>
      <c r="K174" s="37" t="inlineStr">
        <is>
          <t>СК3</t>
        </is>
      </c>
      <c r="L174" s="36" t="n">
        <v>40</v>
      </c>
      <c r="M174" s="76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3" t="n"/>
      <c r="O174" s="663" t="n"/>
      <c r="P174" s="663" t="n"/>
      <c r="Q174" s="629" t="n"/>
      <c r="R174" s="38" t="inlineStr"/>
      <c r="S174" s="38" t="inlineStr"/>
      <c r="T174" s="39" t="inlineStr">
        <is>
          <t>кг</t>
        </is>
      </c>
      <c r="U174" s="664" t="n">
        <v>0</v>
      </c>
      <c r="V174" s="665">
        <f>IFERROR(IF(U174="",0,CEILING((U174/$H174),1)*$H174),"")</f>
        <v/>
      </c>
      <c r="W174" s="40">
        <f>IFERROR(IF(V174=0,"",ROUNDUP(V174/H174,0)*0.00753),"")</f>
        <v/>
      </c>
      <c r="X174" s="66" t="inlineStr"/>
      <c r="Y174" s="67" t="inlineStr"/>
      <c r="AC174" s="68" t="n"/>
      <c r="AZ174" s="162" t="inlineStr">
        <is>
          <t>КИ</t>
        </is>
      </c>
    </row>
    <row r="175" ht="27" customHeight="1">
      <c r="A175" s="61" t="inlineStr">
        <is>
          <t>SU002618</t>
        </is>
      </c>
      <c r="B175" s="61" t="inlineStr">
        <is>
          <t>P003398</t>
        </is>
      </c>
      <c r="C175" s="35" t="n">
        <v>4301051468</v>
      </c>
      <c r="D175" s="310" t="n">
        <v>4680115880092</v>
      </c>
      <c r="E175" s="629" t="n"/>
      <c r="F175" s="661" t="n">
        <v>0.4</v>
      </c>
      <c r="G175" s="36" t="n">
        <v>6</v>
      </c>
      <c r="H175" s="661" t="n">
        <v>2.4</v>
      </c>
      <c r="I175" s="661" t="n">
        <v>2.672</v>
      </c>
      <c r="J175" s="36" t="n">
        <v>156</v>
      </c>
      <c r="K175" s="37" t="inlineStr">
        <is>
          <t>СК3</t>
        </is>
      </c>
      <c r="L175" s="36" t="n">
        <v>45</v>
      </c>
      <c r="M175" s="76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3" t="n"/>
      <c r="O175" s="663" t="n"/>
      <c r="P175" s="663" t="n"/>
      <c r="Q175" s="629" t="n"/>
      <c r="R175" s="38" t="inlineStr"/>
      <c r="S175" s="38" t="inlineStr"/>
      <c r="T175" s="39" t="inlineStr">
        <is>
          <t>кг</t>
        </is>
      </c>
      <c r="U175" s="664" t="n">
        <v>0</v>
      </c>
      <c r="V175" s="665">
        <f>IFERROR(IF(U175="",0,CEILING((U175/$H175),1)*$H175),"")</f>
        <v/>
      </c>
      <c r="W175" s="40">
        <f>IFERROR(IF(V175=0,"",ROUNDUP(V175/H175,0)*0.00753),"")</f>
        <v/>
      </c>
      <c r="X175" s="66" t="inlineStr"/>
      <c r="Y175" s="67" t="inlineStr"/>
      <c r="AC175" s="68" t="n"/>
      <c r="AZ175" s="163" t="inlineStr">
        <is>
          <t>КИ</t>
        </is>
      </c>
    </row>
    <row r="176" ht="27" customHeight="1">
      <c r="A176" s="61" t="inlineStr">
        <is>
          <t>SU002621</t>
        </is>
      </c>
      <c r="B176" s="61" t="inlineStr">
        <is>
          <t>P003399</t>
        </is>
      </c>
      <c r="C176" s="35" t="n">
        <v>4301051469</v>
      </c>
      <c r="D176" s="310" t="n">
        <v>4680115880221</v>
      </c>
      <c r="E176" s="629" t="n"/>
      <c r="F176" s="661" t="n">
        <v>0.4</v>
      </c>
      <c r="G176" s="36" t="n">
        <v>6</v>
      </c>
      <c r="H176" s="661" t="n">
        <v>2.4</v>
      </c>
      <c r="I176" s="661" t="n">
        <v>2.672</v>
      </c>
      <c r="J176" s="36" t="n">
        <v>156</v>
      </c>
      <c r="K176" s="37" t="inlineStr">
        <is>
          <t>СК3</t>
        </is>
      </c>
      <c r="L176" s="36" t="n">
        <v>45</v>
      </c>
      <c r="M176" s="76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3" t="n"/>
      <c r="O176" s="663" t="n"/>
      <c r="P176" s="663" t="n"/>
      <c r="Q176" s="629" t="n"/>
      <c r="R176" s="38" t="inlineStr"/>
      <c r="S176" s="38" t="inlineStr"/>
      <c r="T176" s="39" t="inlineStr">
        <is>
          <t>кг</t>
        </is>
      </c>
      <c r="U176" s="664" t="n">
        <v>0</v>
      </c>
      <c r="V176" s="665">
        <f>IFERROR(IF(U176="",0,CEILING((U176/$H176),1)*$H176),"")</f>
        <v/>
      </c>
      <c r="W176" s="40">
        <f>IFERROR(IF(V176=0,"",ROUNDUP(V176/H176,0)*0.00753),"")</f>
        <v/>
      </c>
      <c r="X176" s="66" t="inlineStr"/>
      <c r="Y176" s="67" t="inlineStr"/>
      <c r="AC176" s="68" t="n"/>
      <c r="AZ176" s="164" t="inlineStr">
        <is>
          <t>КИ</t>
        </is>
      </c>
    </row>
    <row r="177" ht="16.5" customHeight="1">
      <c r="A177" s="61" t="inlineStr">
        <is>
          <t>SU003073</t>
        </is>
      </c>
      <c r="B177" s="61" t="inlineStr">
        <is>
          <t>P003613</t>
        </is>
      </c>
      <c r="C177" s="35" t="n">
        <v>4301051523</v>
      </c>
      <c r="D177" s="310" t="n">
        <v>4680115882942</v>
      </c>
      <c r="E177" s="629" t="n"/>
      <c r="F177" s="661" t="n">
        <v>0.3</v>
      </c>
      <c r="G177" s="36" t="n">
        <v>6</v>
      </c>
      <c r="H177" s="661" t="n">
        <v>1.8</v>
      </c>
      <c r="I177" s="661" t="n">
        <v>2.072</v>
      </c>
      <c r="J177" s="36" t="n">
        <v>156</v>
      </c>
      <c r="K177" s="37" t="inlineStr">
        <is>
          <t>СК2</t>
        </is>
      </c>
      <c r="L177" s="36" t="n">
        <v>40</v>
      </c>
      <c r="M177" s="76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3" t="n"/>
      <c r="O177" s="663" t="n"/>
      <c r="P177" s="663" t="n"/>
      <c r="Q177" s="629" t="n"/>
      <c r="R177" s="38" t="inlineStr"/>
      <c r="S177" s="38" t="inlineStr"/>
      <c r="T177" s="39" t="inlineStr">
        <is>
          <t>кг</t>
        </is>
      </c>
      <c r="U177" s="664" t="n">
        <v>0</v>
      </c>
      <c r="V177" s="665">
        <f>IFERROR(IF(U177="",0,CEILING((U177/$H177),1)*$H177),"")</f>
        <v/>
      </c>
      <c r="W177" s="40">
        <f>IFERROR(IF(V177=0,"",ROUNDUP(V177/H177,0)*0.00753),"")</f>
        <v/>
      </c>
      <c r="X177" s="66" t="inlineStr"/>
      <c r="Y177" s="67" t="inlineStr"/>
      <c r="AC177" s="68" t="n"/>
      <c r="AZ177" s="165" t="inlineStr">
        <is>
          <t>КИ</t>
        </is>
      </c>
    </row>
    <row r="178" ht="16.5" customHeight="1">
      <c r="A178" s="61" t="inlineStr">
        <is>
          <t>SU002686</t>
        </is>
      </c>
      <c r="B178" s="61" t="inlineStr">
        <is>
          <t>P003071</t>
        </is>
      </c>
      <c r="C178" s="35" t="n">
        <v>4301051326</v>
      </c>
      <c r="D178" s="310" t="n">
        <v>4680115880504</v>
      </c>
      <c r="E178" s="629" t="n"/>
      <c r="F178" s="661" t="n">
        <v>0.4</v>
      </c>
      <c r="G178" s="36" t="n">
        <v>6</v>
      </c>
      <c r="H178" s="661" t="n">
        <v>2.4</v>
      </c>
      <c r="I178" s="661" t="n">
        <v>2.672</v>
      </c>
      <c r="J178" s="36" t="n">
        <v>156</v>
      </c>
      <c r="K178" s="37" t="inlineStr">
        <is>
          <t>СК2</t>
        </is>
      </c>
      <c r="L178" s="36" t="n">
        <v>40</v>
      </c>
      <c r="M178" s="76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3" t="n"/>
      <c r="O178" s="663" t="n"/>
      <c r="P178" s="663" t="n"/>
      <c r="Q178" s="629" t="n"/>
      <c r="R178" s="38" t="inlineStr"/>
      <c r="S178" s="38" t="inlineStr"/>
      <c r="T178" s="39" t="inlineStr">
        <is>
          <t>кг</t>
        </is>
      </c>
      <c r="U178" s="664" t="n">
        <v>0</v>
      </c>
      <c r="V178" s="665">
        <f>IFERROR(IF(U178="",0,CEILING((U178/$H178),1)*$H178),"")</f>
        <v/>
      </c>
      <c r="W178" s="40">
        <f>IFERROR(IF(V178=0,"",ROUNDUP(V178/H178,0)*0.00753),"")</f>
        <v/>
      </c>
      <c r="X178" s="66" t="inlineStr"/>
      <c r="Y178" s="67" t="inlineStr"/>
      <c r="AC178" s="68" t="n"/>
      <c r="AZ178" s="166" t="inlineStr">
        <is>
          <t>КИ</t>
        </is>
      </c>
    </row>
    <row r="179" ht="27" customHeight="1">
      <c r="A179" s="61" t="inlineStr">
        <is>
          <t>SU002844</t>
        </is>
      </c>
      <c r="B179" s="61" t="inlineStr">
        <is>
          <t>P003265</t>
        </is>
      </c>
      <c r="C179" s="35" t="n">
        <v>4301051410</v>
      </c>
      <c r="D179" s="310" t="n">
        <v>4680115882164</v>
      </c>
      <c r="E179" s="629" t="n"/>
      <c r="F179" s="661" t="n">
        <v>0.4</v>
      </c>
      <c r="G179" s="36" t="n">
        <v>6</v>
      </c>
      <c r="H179" s="661" t="n">
        <v>2.4</v>
      </c>
      <c r="I179" s="661" t="n">
        <v>2.678</v>
      </c>
      <c r="J179" s="36" t="n">
        <v>156</v>
      </c>
      <c r="K179" s="37" t="inlineStr">
        <is>
          <t>СК3</t>
        </is>
      </c>
      <c r="L179" s="36" t="n">
        <v>40</v>
      </c>
      <c r="M179" s="76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3" t="n"/>
      <c r="O179" s="663" t="n"/>
      <c r="P179" s="663" t="n"/>
      <c r="Q179" s="629" t="n"/>
      <c r="R179" s="38" t="inlineStr"/>
      <c r="S179" s="38" t="inlineStr"/>
      <c r="T179" s="39" t="inlineStr">
        <is>
          <t>кг</t>
        </is>
      </c>
      <c r="U179" s="664" t="n">
        <v>0</v>
      </c>
      <c r="V179" s="665">
        <f>IFERROR(IF(U179="",0,CEILING((U179/$H179),1)*$H179),"")</f>
        <v/>
      </c>
      <c r="W179" s="40">
        <f>IFERROR(IF(V179=0,"",ROUNDUP(V179/H179,0)*0.00753),"")</f>
        <v/>
      </c>
      <c r="X179" s="66" t="inlineStr"/>
      <c r="Y179" s="67" t="inlineStr"/>
      <c r="AC179" s="68" t="n"/>
      <c r="AZ179" s="167" t="inlineStr">
        <is>
          <t>КИ</t>
        </is>
      </c>
    </row>
    <row r="180">
      <c r="A180" s="318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6" t="n"/>
      <c r="M180" s="667" t="inlineStr">
        <is>
          <t>Итого</t>
        </is>
      </c>
      <c r="N180" s="637" t="n"/>
      <c r="O180" s="637" t="n"/>
      <c r="P180" s="637" t="n"/>
      <c r="Q180" s="637" t="n"/>
      <c r="R180" s="637" t="n"/>
      <c r="S180" s="638" t="n"/>
      <c r="T180" s="41" t="inlineStr">
        <is>
          <t>кор</t>
        </is>
      </c>
      <c r="U180" s="668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68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68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69" t="n"/>
      <c r="Y180" s="669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6" t="n"/>
      <c r="M181" s="667" t="inlineStr">
        <is>
          <t>Итого</t>
        </is>
      </c>
      <c r="N181" s="637" t="n"/>
      <c r="O181" s="637" t="n"/>
      <c r="P181" s="637" t="n"/>
      <c r="Q181" s="637" t="n"/>
      <c r="R181" s="637" t="n"/>
      <c r="S181" s="638" t="n"/>
      <c r="T181" s="41" t="inlineStr">
        <is>
          <t>кг</t>
        </is>
      </c>
      <c r="U181" s="668">
        <f>IFERROR(SUM(U163:U179),"0")</f>
        <v/>
      </c>
      <c r="V181" s="668">
        <f>IFERROR(SUM(V163:V179),"0")</f>
        <v/>
      </c>
      <c r="W181" s="41" t="n"/>
      <c r="X181" s="669" t="n"/>
      <c r="Y181" s="669" t="n"/>
    </row>
    <row r="182" ht="14.25" customHeight="1">
      <c r="A182" s="326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6" t="n"/>
      <c r="Y182" s="326" t="n"/>
    </row>
    <row r="183" ht="16.5" customHeight="1">
      <c r="A183" s="61" t="inlineStr">
        <is>
          <t>SU002758</t>
        </is>
      </c>
      <c r="B183" s="61" t="inlineStr">
        <is>
          <t>P003129</t>
        </is>
      </c>
      <c r="C183" s="35" t="n">
        <v>4301060338</v>
      </c>
      <c r="D183" s="310" t="n">
        <v>4680115880801</v>
      </c>
      <c r="E183" s="629" t="n"/>
      <c r="F183" s="661" t="n">
        <v>0.4</v>
      </c>
      <c r="G183" s="36" t="n">
        <v>6</v>
      </c>
      <c r="H183" s="661" t="n">
        <v>2.4</v>
      </c>
      <c r="I183" s="661" t="n">
        <v>2.672</v>
      </c>
      <c r="J183" s="36" t="n">
        <v>156</v>
      </c>
      <c r="K183" s="37" t="inlineStr">
        <is>
          <t>СК2</t>
        </is>
      </c>
      <c r="L183" s="36" t="n">
        <v>40</v>
      </c>
      <c r="M183" s="76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3" t="n"/>
      <c r="O183" s="663" t="n"/>
      <c r="P183" s="663" t="n"/>
      <c r="Q183" s="629" t="n"/>
      <c r="R183" s="38" t="inlineStr"/>
      <c r="S183" s="38" t="inlineStr"/>
      <c r="T183" s="39" t="inlineStr">
        <is>
          <t>кг</t>
        </is>
      </c>
      <c r="U183" s="664" t="n"/>
      <c r="V183" s="665">
        <f>IFERROR(IF(U183="",0,CEILING((U183/$H183),1)*$H183),"")</f>
        <v/>
      </c>
      <c r="W183" s="40">
        <f>IFERROR(IF(V183=0,"",ROUNDUP(V183/H183,0)*0.00753),"")</f>
        <v/>
      </c>
      <c r="X183" s="66" t="inlineStr"/>
      <c r="Y183" s="67" t="inlineStr"/>
      <c r="AC183" s="68" t="n"/>
      <c r="AZ183" s="168" t="inlineStr">
        <is>
          <t>КИ</t>
        </is>
      </c>
    </row>
    <row r="184" ht="27" customHeight="1">
      <c r="A184" s="61" t="inlineStr">
        <is>
          <t>SU002759</t>
        </is>
      </c>
      <c r="B184" s="61" t="inlineStr">
        <is>
          <t>P003130</t>
        </is>
      </c>
      <c r="C184" s="35" t="n">
        <v>4301060339</v>
      </c>
      <c r="D184" s="310" t="n">
        <v>4680115880818</v>
      </c>
      <c r="E184" s="629" t="n"/>
      <c r="F184" s="661" t="n">
        <v>0.4</v>
      </c>
      <c r="G184" s="36" t="n">
        <v>6</v>
      </c>
      <c r="H184" s="661" t="n">
        <v>2.4</v>
      </c>
      <c r="I184" s="661" t="n">
        <v>2.672</v>
      </c>
      <c r="J184" s="36" t="n">
        <v>156</v>
      </c>
      <c r="K184" s="37" t="inlineStr">
        <is>
          <t>СК2</t>
        </is>
      </c>
      <c r="L184" s="36" t="n">
        <v>40</v>
      </c>
      <c r="M184" s="76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3" t="n"/>
      <c r="O184" s="663" t="n"/>
      <c r="P184" s="663" t="n"/>
      <c r="Q184" s="629" t="n"/>
      <c r="R184" s="38" t="inlineStr"/>
      <c r="S184" s="38" t="inlineStr"/>
      <c r="T184" s="39" t="inlineStr">
        <is>
          <t>кг</t>
        </is>
      </c>
      <c r="U184" s="664" t="n"/>
      <c r="V184" s="665">
        <f>IFERROR(IF(U184="",0,CEILING((U184/$H184),1)*$H184),"")</f>
        <v/>
      </c>
      <c r="W184" s="40">
        <f>IFERROR(IF(V184=0,"",ROUNDUP(V184/H184,0)*0.00753),"")</f>
        <v/>
      </c>
      <c r="X184" s="66" t="inlineStr"/>
      <c r="Y184" s="67" t="inlineStr"/>
      <c r="AC184" s="68" t="n"/>
      <c r="AZ184" s="169" t="inlineStr">
        <is>
          <t>КИ</t>
        </is>
      </c>
    </row>
    <row r="185">
      <c r="A185" s="318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6" t="n"/>
      <c r="M185" s="667" t="inlineStr">
        <is>
          <t>Итого</t>
        </is>
      </c>
      <c r="N185" s="637" t="n"/>
      <c r="O185" s="637" t="n"/>
      <c r="P185" s="637" t="n"/>
      <c r="Q185" s="637" t="n"/>
      <c r="R185" s="637" t="n"/>
      <c r="S185" s="638" t="n"/>
      <c r="T185" s="41" t="inlineStr">
        <is>
          <t>кор</t>
        </is>
      </c>
      <c r="U185" s="668">
        <f>IFERROR(U183/H183,"0")+IFERROR(U184/H184,"0")</f>
        <v/>
      </c>
      <c r="V185" s="668">
        <f>IFERROR(V183/H183,"0")+IFERROR(V184/H184,"0")</f>
        <v/>
      </c>
      <c r="W185" s="668">
        <f>IFERROR(IF(W183="",0,W183),"0")+IFERROR(IF(W184="",0,W184),"0")</f>
        <v/>
      </c>
      <c r="X185" s="669" t="n"/>
      <c r="Y185" s="669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6" t="n"/>
      <c r="M186" s="667" t="inlineStr">
        <is>
          <t>Итого</t>
        </is>
      </c>
      <c r="N186" s="637" t="n"/>
      <c r="O186" s="637" t="n"/>
      <c r="P186" s="637" t="n"/>
      <c r="Q186" s="637" t="n"/>
      <c r="R186" s="637" t="n"/>
      <c r="S186" s="638" t="n"/>
      <c r="T186" s="41" t="inlineStr">
        <is>
          <t>кг</t>
        </is>
      </c>
      <c r="U186" s="668">
        <f>IFERROR(SUM(U183:U184),"0")</f>
        <v/>
      </c>
      <c r="V186" s="668">
        <f>IFERROR(SUM(V183:V184),"0")</f>
        <v/>
      </c>
      <c r="W186" s="41" t="n"/>
      <c r="X186" s="669" t="n"/>
      <c r="Y186" s="669" t="n"/>
    </row>
    <row r="187" ht="16.5" customHeight="1">
      <c r="A187" s="325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5" t="n"/>
      <c r="Y187" s="325" t="n"/>
    </row>
    <row r="188" ht="14.25" customHeight="1">
      <c r="A188" s="326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6" t="n"/>
      <c r="Y188" s="326" t="n"/>
    </row>
    <row r="189" ht="27" customHeight="1">
      <c r="A189" s="61" t="inlineStr">
        <is>
          <t>SU000057</t>
        </is>
      </c>
      <c r="B189" s="61" t="inlineStr">
        <is>
          <t>P002047</t>
        </is>
      </c>
      <c r="C189" s="35" t="n">
        <v>4301011346</v>
      </c>
      <c r="D189" s="310" t="n">
        <v>4607091387445</v>
      </c>
      <c r="E189" s="629" t="n"/>
      <c r="F189" s="661" t="n">
        <v>0.9</v>
      </c>
      <c r="G189" s="36" t="n">
        <v>10</v>
      </c>
      <c r="H189" s="661" t="n">
        <v>9</v>
      </c>
      <c r="I189" s="661" t="n">
        <v>9.630000000000001</v>
      </c>
      <c r="J189" s="36" t="n">
        <v>56</v>
      </c>
      <c r="K189" s="37" t="inlineStr">
        <is>
          <t>СК1</t>
        </is>
      </c>
      <c r="L189" s="36" t="n">
        <v>31</v>
      </c>
      <c r="M189" s="76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3" t="n"/>
      <c r="O189" s="663" t="n"/>
      <c r="P189" s="663" t="n"/>
      <c r="Q189" s="629" t="n"/>
      <c r="R189" s="38" t="inlineStr"/>
      <c r="S189" s="38" t="inlineStr"/>
      <c r="T189" s="39" t="inlineStr">
        <is>
          <t>кг</t>
        </is>
      </c>
      <c r="U189" s="664" t="n">
        <v>0</v>
      </c>
      <c r="V189" s="665">
        <f>IFERROR(IF(U189="",0,CEILING((U189/$H189),1)*$H189),"")</f>
        <v/>
      </c>
      <c r="W189" s="40">
        <f>IFERROR(IF(V189=0,"",ROUNDUP(V189/H189,0)*0.02175),"")</f>
        <v/>
      </c>
      <c r="X189" s="66" t="inlineStr"/>
      <c r="Y189" s="67" t="inlineStr"/>
      <c r="AC189" s="68" t="n"/>
      <c r="AZ189" s="170" t="inlineStr">
        <is>
          <t>КИ</t>
        </is>
      </c>
    </row>
    <row r="190" ht="27" customHeight="1">
      <c r="A190" s="61" t="inlineStr">
        <is>
          <t>SU001777</t>
        </is>
      </c>
      <c r="B190" s="61" t="inlineStr">
        <is>
          <t>P002226</t>
        </is>
      </c>
      <c r="C190" s="35" t="n">
        <v>4301011362</v>
      </c>
      <c r="D190" s="310" t="n">
        <v>4607091386004</v>
      </c>
      <c r="E190" s="629" t="n"/>
      <c r="F190" s="661" t="n">
        <v>1.35</v>
      </c>
      <c r="G190" s="36" t="n">
        <v>8</v>
      </c>
      <c r="H190" s="661" t="n">
        <v>10.8</v>
      </c>
      <c r="I190" s="661" t="n">
        <v>11.28</v>
      </c>
      <c r="J190" s="36" t="n">
        <v>48</v>
      </c>
      <c r="K190" s="37" t="inlineStr">
        <is>
          <t>ВЗ</t>
        </is>
      </c>
      <c r="L190" s="36" t="n">
        <v>55</v>
      </c>
      <c r="M190" s="77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3" t="n"/>
      <c r="O190" s="663" t="n"/>
      <c r="P190" s="663" t="n"/>
      <c r="Q190" s="629" t="n"/>
      <c r="R190" s="38" t="inlineStr"/>
      <c r="S190" s="38" t="inlineStr"/>
      <c r="T190" s="39" t="inlineStr">
        <is>
          <t>кг</t>
        </is>
      </c>
      <c r="U190" s="664" t="n">
        <v>150</v>
      </c>
      <c r="V190" s="665">
        <f>IFERROR(IF(U190="",0,CEILING((U190/$H190),1)*$H190),"")</f>
        <v/>
      </c>
      <c r="W190" s="40">
        <f>IFERROR(IF(V190=0,"",ROUNDUP(V190/H190,0)*0.02039),"")</f>
        <v/>
      </c>
      <c r="X190" s="66" t="inlineStr"/>
      <c r="Y190" s="67" t="inlineStr"/>
      <c r="AC190" s="68" t="n"/>
      <c r="AZ190" s="171" t="inlineStr">
        <is>
          <t>КИ</t>
        </is>
      </c>
    </row>
    <row r="191" ht="27" customHeight="1">
      <c r="A191" s="61" t="inlineStr">
        <is>
          <t>SU001777</t>
        </is>
      </c>
      <c r="B191" s="61" t="inlineStr">
        <is>
          <t>P001777</t>
        </is>
      </c>
      <c r="C191" s="35" t="n">
        <v>4301011308</v>
      </c>
      <c r="D191" s="310" t="n">
        <v>4607091386004</v>
      </c>
      <c r="E191" s="629" t="n"/>
      <c r="F191" s="661" t="n">
        <v>1.35</v>
      </c>
      <c r="G191" s="36" t="n">
        <v>8</v>
      </c>
      <c r="H191" s="661" t="n">
        <v>10.8</v>
      </c>
      <c r="I191" s="661" t="n">
        <v>11.28</v>
      </c>
      <c r="J191" s="36" t="n">
        <v>56</v>
      </c>
      <c r="K191" s="37" t="inlineStr">
        <is>
          <t>СК1</t>
        </is>
      </c>
      <c r="L191" s="36" t="n">
        <v>55</v>
      </c>
      <c r="M191" s="77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3" t="n"/>
      <c r="O191" s="663" t="n"/>
      <c r="P191" s="663" t="n"/>
      <c r="Q191" s="629" t="n"/>
      <c r="R191" s="38" t="inlineStr"/>
      <c r="S191" s="38" t="inlineStr"/>
      <c r="T191" s="39" t="inlineStr">
        <is>
          <t>кг</t>
        </is>
      </c>
      <c r="U191" s="664" t="n">
        <v>0</v>
      </c>
      <c r="V191" s="665">
        <f>IFERROR(IF(U191="",0,CEILING((U191/$H191),1)*$H191),"")</f>
        <v/>
      </c>
      <c r="W191" s="40">
        <f>IFERROR(IF(V191=0,"",ROUNDUP(V191/H191,0)*0.02175),"")</f>
        <v/>
      </c>
      <c r="X191" s="66" t="inlineStr"/>
      <c r="Y191" s="67" t="inlineStr"/>
      <c r="AC191" s="68" t="n"/>
      <c r="AZ191" s="172" t="inlineStr">
        <is>
          <t>КИ</t>
        </is>
      </c>
    </row>
    <row r="192" ht="27" customHeight="1">
      <c r="A192" s="61" t="inlineStr">
        <is>
          <t>SU000058</t>
        </is>
      </c>
      <c r="B192" s="61" t="inlineStr">
        <is>
          <t>P002048</t>
        </is>
      </c>
      <c r="C192" s="35" t="n">
        <v>4301011347</v>
      </c>
      <c r="D192" s="310" t="n">
        <v>4607091386073</v>
      </c>
      <c r="E192" s="629" t="n"/>
      <c r="F192" s="661" t="n">
        <v>0.9</v>
      </c>
      <c r="G192" s="36" t="n">
        <v>10</v>
      </c>
      <c r="H192" s="661" t="n">
        <v>9</v>
      </c>
      <c r="I192" s="661" t="n">
        <v>9.630000000000001</v>
      </c>
      <c r="J192" s="36" t="n">
        <v>56</v>
      </c>
      <c r="K192" s="37" t="inlineStr">
        <is>
          <t>СК1</t>
        </is>
      </c>
      <c r="L192" s="36" t="n">
        <v>31</v>
      </c>
      <c r="M192" s="77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3" t="n"/>
      <c r="O192" s="663" t="n"/>
      <c r="P192" s="663" t="n"/>
      <c r="Q192" s="629" t="n"/>
      <c r="R192" s="38" t="inlineStr"/>
      <c r="S192" s="38" t="inlineStr"/>
      <c r="T192" s="39" t="inlineStr">
        <is>
          <t>кг</t>
        </is>
      </c>
      <c r="U192" s="664" t="n">
        <v>0</v>
      </c>
      <c r="V192" s="665">
        <f>IFERROR(IF(U192="",0,CEILING((U192/$H192),1)*$H192),"")</f>
        <v/>
      </c>
      <c r="W192" s="40">
        <f>IFERROR(IF(V192=0,"",ROUNDUP(V192/H192,0)*0.02175),"")</f>
        <v/>
      </c>
      <c r="X192" s="66" t="inlineStr"/>
      <c r="Y192" s="67" t="inlineStr"/>
      <c r="AC192" s="68" t="n"/>
      <c r="AZ192" s="173" t="inlineStr">
        <is>
          <t>КИ</t>
        </is>
      </c>
    </row>
    <row r="193" ht="27" customHeight="1">
      <c r="A193" s="61" t="inlineStr">
        <is>
          <t>SU001780</t>
        </is>
      </c>
      <c r="B193" s="61" t="inlineStr">
        <is>
          <t>P003075</t>
        </is>
      </c>
      <c r="C193" s="35" t="n">
        <v>4301011395</v>
      </c>
      <c r="D193" s="310" t="n">
        <v>4607091387322</v>
      </c>
      <c r="E193" s="629" t="n"/>
      <c r="F193" s="661" t="n">
        <v>1.35</v>
      </c>
      <c r="G193" s="36" t="n">
        <v>8</v>
      </c>
      <c r="H193" s="661" t="n">
        <v>10.8</v>
      </c>
      <c r="I193" s="661" t="n">
        <v>11.28</v>
      </c>
      <c r="J193" s="36" t="n">
        <v>48</v>
      </c>
      <c r="K193" s="37" t="inlineStr">
        <is>
          <t>ВЗ</t>
        </is>
      </c>
      <c r="L193" s="36" t="n">
        <v>55</v>
      </c>
      <c r="M193" s="77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3" t="n"/>
      <c r="O193" s="663" t="n"/>
      <c r="P193" s="663" t="n"/>
      <c r="Q193" s="629" t="n"/>
      <c r="R193" s="38" t="inlineStr"/>
      <c r="S193" s="38" t="inlineStr"/>
      <c r="T193" s="39" t="inlineStr">
        <is>
          <t>кг</t>
        </is>
      </c>
      <c r="U193" s="664" t="n">
        <v>0</v>
      </c>
      <c r="V193" s="665">
        <f>IFERROR(IF(U193="",0,CEILING((U193/$H193),1)*$H193),"")</f>
        <v/>
      </c>
      <c r="W193" s="40">
        <f>IFERROR(IF(V193=0,"",ROUNDUP(V193/H193,0)*0.02039),"")</f>
        <v/>
      </c>
      <c r="X193" s="66" t="inlineStr"/>
      <c r="Y193" s="67" t="inlineStr"/>
      <c r="AC193" s="68" t="n"/>
      <c r="AZ193" s="174" t="inlineStr">
        <is>
          <t>КИ</t>
        </is>
      </c>
    </row>
    <row r="194" ht="27" customHeight="1">
      <c r="A194" s="61" t="inlineStr">
        <is>
          <t>SU001780</t>
        </is>
      </c>
      <c r="B194" s="61" t="inlineStr">
        <is>
          <t>P001780</t>
        </is>
      </c>
      <c r="C194" s="35" t="n">
        <v>4301010928</v>
      </c>
      <c r="D194" s="310" t="n">
        <v>4607091387322</v>
      </c>
      <c r="E194" s="629" t="n"/>
      <c r="F194" s="661" t="n">
        <v>1.35</v>
      </c>
      <c r="G194" s="36" t="n">
        <v>8</v>
      </c>
      <c r="H194" s="661" t="n">
        <v>10.8</v>
      </c>
      <c r="I194" s="661" t="n">
        <v>11.28</v>
      </c>
      <c r="J194" s="36" t="n">
        <v>56</v>
      </c>
      <c r="K194" s="37" t="inlineStr">
        <is>
          <t>СК1</t>
        </is>
      </c>
      <c r="L194" s="36" t="n">
        <v>55</v>
      </c>
      <c r="M194" s="77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3" t="n"/>
      <c r="O194" s="663" t="n"/>
      <c r="P194" s="663" t="n"/>
      <c r="Q194" s="629" t="n"/>
      <c r="R194" s="38" t="inlineStr"/>
      <c r="S194" s="38" t="inlineStr"/>
      <c r="T194" s="39" t="inlineStr">
        <is>
          <t>кг</t>
        </is>
      </c>
      <c r="U194" s="664" t="n">
        <v>0</v>
      </c>
      <c r="V194" s="665">
        <f>IFERROR(IF(U194="",0,CEILING((U194/$H194),1)*$H194),"")</f>
        <v/>
      </c>
      <c r="W194" s="40">
        <f>IFERROR(IF(V194=0,"",ROUNDUP(V194/H194,0)*0.02175),"")</f>
        <v/>
      </c>
      <c r="X194" s="66" t="inlineStr"/>
      <c r="Y194" s="67" t="inlineStr"/>
      <c r="AC194" s="68" t="n"/>
      <c r="AZ194" s="175" t="inlineStr">
        <is>
          <t>КИ</t>
        </is>
      </c>
    </row>
    <row r="195" ht="27" customHeight="1">
      <c r="A195" s="61" t="inlineStr">
        <is>
          <t>SU001778</t>
        </is>
      </c>
      <c r="B195" s="61" t="inlineStr">
        <is>
          <t>P001778</t>
        </is>
      </c>
      <c r="C195" s="35" t="n">
        <v>4301011311</v>
      </c>
      <c r="D195" s="310" t="n">
        <v>4607091387377</v>
      </c>
      <c r="E195" s="629" t="n"/>
      <c r="F195" s="661" t="n">
        <v>1.35</v>
      </c>
      <c r="G195" s="36" t="n">
        <v>8</v>
      </c>
      <c r="H195" s="661" t="n">
        <v>10.8</v>
      </c>
      <c r="I195" s="661" t="n">
        <v>11.28</v>
      </c>
      <c r="J195" s="36" t="n">
        <v>56</v>
      </c>
      <c r="K195" s="37" t="inlineStr">
        <is>
          <t>СК1</t>
        </is>
      </c>
      <c r="L195" s="36" t="n">
        <v>55</v>
      </c>
      <c r="M195" s="77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3" t="n"/>
      <c r="O195" s="663" t="n"/>
      <c r="P195" s="663" t="n"/>
      <c r="Q195" s="629" t="n"/>
      <c r="R195" s="38" t="inlineStr"/>
      <c r="S195" s="38" t="inlineStr"/>
      <c r="T195" s="39" t="inlineStr">
        <is>
          <t>кг</t>
        </is>
      </c>
      <c r="U195" s="664" t="n">
        <v>350</v>
      </c>
      <c r="V195" s="665">
        <f>IFERROR(IF(U195="",0,CEILING((U195/$H195),1)*$H195),"")</f>
        <v/>
      </c>
      <c r="W195" s="40">
        <f>IFERROR(IF(V195=0,"",ROUNDUP(V195/H195,0)*0.02175),"")</f>
        <v/>
      </c>
      <c r="X195" s="66" t="inlineStr"/>
      <c r="Y195" s="67" t="inlineStr"/>
      <c r="AC195" s="68" t="n"/>
      <c r="AZ195" s="176" t="inlineStr">
        <is>
          <t>КИ</t>
        </is>
      </c>
    </row>
    <row r="196" ht="27" customHeight="1">
      <c r="A196" s="61" t="inlineStr">
        <is>
          <t>SU000043</t>
        </is>
      </c>
      <c r="B196" s="61" t="inlineStr">
        <is>
          <t>P001807</t>
        </is>
      </c>
      <c r="C196" s="35" t="n">
        <v>4301010945</v>
      </c>
      <c r="D196" s="310" t="n">
        <v>4607091387353</v>
      </c>
      <c r="E196" s="629" t="n"/>
      <c r="F196" s="661" t="n">
        <v>1.35</v>
      </c>
      <c r="G196" s="36" t="n">
        <v>8</v>
      </c>
      <c r="H196" s="661" t="n">
        <v>10.8</v>
      </c>
      <c r="I196" s="661" t="n">
        <v>11.28</v>
      </c>
      <c r="J196" s="36" t="n">
        <v>56</v>
      </c>
      <c r="K196" s="37" t="inlineStr">
        <is>
          <t>СК1</t>
        </is>
      </c>
      <c r="L196" s="36" t="n">
        <v>55</v>
      </c>
      <c r="M196" s="77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3" t="n"/>
      <c r="O196" s="663" t="n"/>
      <c r="P196" s="663" t="n"/>
      <c r="Q196" s="629" t="n"/>
      <c r="R196" s="38" t="inlineStr"/>
      <c r="S196" s="38" t="inlineStr"/>
      <c r="T196" s="39" t="inlineStr">
        <is>
          <t>кг</t>
        </is>
      </c>
      <c r="U196" s="664" t="n">
        <v>0</v>
      </c>
      <c r="V196" s="665">
        <f>IFERROR(IF(U196="",0,CEILING((U196/$H196),1)*$H196),"")</f>
        <v/>
      </c>
      <c r="W196" s="40">
        <f>IFERROR(IF(V196=0,"",ROUNDUP(V196/H196,0)*0.02175),"")</f>
        <v/>
      </c>
      <c r="X196" s="66" t="inlineStr"/>
      <c r="Y196" s="67" t="inlineStr"/>
      <c r="AC196" s="68" t="n"/>
      <c r="AZ196" s="177" t="inlineStr">
        <is>
          <t>КИ</t>
        </is>
      </c>
    </row>
    <row r="197" ht="27" customHeight="1">
      <c r="A197" s="61" t="inlineStr">
        <is>
          <t>SU001800</t>
        </is>
      </c>
      <c r="B197" s="61" t="inlineStr">
        <is>
          <t>P001800</t>
        </is>
      </c>
      <c r="C197" s="35" t="n">
        <v>4301011328</v>
      </c>
      <c r="D197" s="310" t="n">
        <v>4607091386011</v>
      </c>
      <c r="E197" s="629" t="n"/>
      <c r="F197" s="661" t="n">
        <v>0.5</v>
      </c>
      <c r="G197" s="36" t="n">
        <v>10</v>
      </c>
      <c r="H197" s="661" t="n">
        <v>5</v>
      </c>
      <c r="I197" s="661" t="n">
        <v>5.21</v>
      </c>
      <c r="J197" s="36" t="n">
        <v>120</v>
      </c>
      <c r="K197" s="37" t="inlineStr">
        <is>
          <t>СК2</t>
        </is>
      </c>
      <c r="L197" s="36" t="n">
        <v>55</v>
      </c>
      <c r="M197" s="77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3" t="n"/>
      <c r="O197" s="663" t="n"/>
      <c r="P197" s="663" t="n"/>
      <c r="Q197" s="629" t="n"/>
      <c r="R197" s="38" t="inlineStr"/>
      <c r="S197" s="38" t="inlineStr"/>
      <c r="T197" s="39" t="inlineStr">
        <is>
          <t>кг</t>
        </is>
      </c>
      <c r="U197" s="664" t="n">
        <v>0</v>
      </c>
      <c r="V197" s="665">
        <f>IFERROR(IF(U197="",0,CEILING((U197/$H197),1)*$H197),"")</f>
        <v/>
      </c>
      <c r="W197" s="40">
        <f>IFERROR(IF(V197=0,"",ROUNDUP(V197/H197,0)*0.00937),"")</f>
        <v/>
      </c>
      <c r="X197" s="66" t="inlineStr"/>
      <c r="Y197" s="67" t="inlineStr"/>
      <c r="AC197" s="68" t="n"/>
      <c r="AZ197" s="178" t="inlineStr">
        <is>
          <t>КИ</t>
        </is>
      </c>
    </row>
    <row r="198" ht="27" customHeight="1">
      <c r="A198" s="61" t="inlineStr">
        <is>
          <t>SU001805</t>
        </is>
      </c>
      <c r="B198" s="61" t="inlineStr">
        <is>
          <t>P001805</t>
        </is>
      </c>
      <c r="C198" s="35" t="n">
        <v>4301011329</v>
      </c>
      <c r="D198" s="310" t="n">
        <v>4607091387308</v>
      </c>
      <c r="E198" s="629" t="n"/>
      <c r="F198" s="661" t="n">
        <v>0.5</v>
      </c>
      <c r="G198" s="36" t="n">
        <v>10</v>
      </c>
      <c r="H198" s="661" t="n">
        <v>5</v>
      </c>
      <c r="I198" s="661" t="n">
        <v>5.21</v>
      </c>
      <c r="J198" s="36" t="n">
        <v>120</v>
      </c>
      <c r="K198" s="37" t="inlineStr">
        <is>
          <t>СК2</t>
        </is>
      </c>
      <c r="L198" s="36" t="n">
        <v>55</v>
      </c>
      <c r="M198" s="77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3" t="n"/>
      <c r="O198" s="663" t="n"/>
      <c r="P198" s="663" t="n"/>
      <c r="Q198" s="629" t="n"/>
      <c r="R198" s="38" t="inlineStr"/>
      <c r="S198" s="38" t="inlineStr"/>
      <c r="T198" s="39" t="inlineStr">
        <is>
          <t>кг</t>
        </is>
      </c>
      <c r="U198" s="664" t="n">
        <v>0</v>
      </c>
      <c r="V198" s="665">
        <f>IFERROR(IF(U198="",0,CEILING((U198/$H198),1)*$H198),"")</f>
        <v/>
      </c>
      <c r="W198" s="40">
        <f>IFERROR(IF(V198=0,"",ROUNDUP(V198/H198,0)*0.00937),"")</f>
        <v/>
      </c>
      <c r="X198" s="66" t="inlineStr"/>
      <c r="Y198" s="67" t="inlineStr"/>
      <c r="AC198" s="68" t="n"/>
      <c r="AZ198" s="179" t="inlineStr">
        <is>
          <t>КИ</t>
        </is>
      </c>
    </row>
    <row r="199" ht="27" customHeight="1">
      <c r="A199" s="61" t="inlineStr">
        <is>
          <t>SU001829</t>
        </is>
      </c>
      <c r="B199" s="61" t="inlineStr">
        <is>
          <t>P001829</t>
        </is>
      </c>
      <c r="C199" s="35" t="n">
        <v>4301011049</v>
      </c>
      <c r="D199" s="310" t="n">
        <v>4607091387339</v>
      </c>
      <c r="E199" s="629" t="n"/>
      <c r="F199" s="661" t="n">
        <v>0.5</v>
      </c>
      <c r="G199" s="36" t="n">
        <v>10</v>
      </c>
      <c r="H199" s="661" t="n">
        <v>5</v>
      </c>
      <c r="I199" s="661" t="n">
        <v>5.24</v>
      </c>
      <c r="J199" s="36" t="n">
        <v>120</v>
      </c>
      <c r="K199" s="37" t="inlineStr">
        <is>
          <t>СК1</t>
        </is>
      </c>
      <c r="L199" s="36" t="n">
        <v>55</v>
      </c>
      <c r="M199" s="77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3" t="n"/>
      <c r="O199" s="663" t="n"/>
      <c r="P199" s="663" t="n"/>
      <c r="Q199" s="629" t="n"/>
      <c r="R199" s="38" t="inlineStr"/>
      <c r="S199" s="38" t="inlineStr"/>
      <c r="T199" s="39" t="inlineStr">
        <is>
          <t>кг</t>
        </is>
      </c>
      <c r="U199" s="664" t="n">
        <v>0</v>
      </c>
      <c r="V199" s="665">
        <f>IFERROR(IF(U199="",0,CEILING((U199/$H199),1)*$H199),"")</f>
        <v/>
      </c>
      <c r="W199" s="40">
        <f>IFERROR(IF(V199=0,"",ROUNDUP(V199/H199,0)*0.00937),"")</f>
        <v/>
      </c>
      <c r="X199" s="66" t="inlineStr"/>
      <c r="Y199" s="67" t="inlineStr"/>
      <c r="AC199" s="68" t="n"/>
      <c r="AZ199" s="180" t="inlineStr">
        <is>
          <t>КИ</t>
        </is>
      </c>
    </row>
    <row r="200" ht="27" customHeight="1">
      <c r="A200" s="61" t="inlineStr">
        <is>
          <t>SU002787</t>
        </is>
      </c>
      <c r="B200" s="61" t="inlineStr">
        <is>
          <t>P003189</t>
        </is>
      </c>
      <c r="C200" s="35" t="n">
        <v>4301011433</v>
      </c>
      <c r="D200" s="310" t="n">
        <v>4680115882638</v>
      </c>
      <c r="E200" s="629" t="n"/>
      <c r="F200" s="661" t="n">
        <v>0.4</v>
      </c>
      <c r="G200" s="36" t="n">
        <v>10</v>
      </c>
      <c r="H200" s="661" t="n">
        <v>4</v>
      </c>
      <c r="I200" s="661" t="n">
        <v>4.24</v>
      </c>
      <c r="J200" s="36" t="n">
        <v>120</v>
      </c>
      <c r="K200" s="37" t="inlineStr">
        <is>
          <t>СК1</t>
        </is>
      </c>
      <c r="L200" s="36" t="n">
        <v>90</v>
      </c>
      <c r="M200" s="78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3" t="n"/>
      <c r="O200" s="663" t="n"/>
      <c r="P200" s="663" t="n"/>
      <c r="Q200" s="629" t="n"/>
      <c r="R200" s="38" t="inlineStr"/>
      <c r="S200" s="38" t="inlineStr"/>
      <c r="T200" s="39" t="inlineStr">
        <is>
          <t>кг</t>
        </is>
      </c>
      <c r="U200" s="664" t="n">
        <v>0</v>
      </c>
      <c r="V200" s="665">
        <f>IFERROR(IF(U200="",0,CEILING((U200/$H200),1)*$H200),"")</f>
        <v/>
      </c>
      <c r="W200" s="40">
        <f>IFERROR(IF(V200=0,"",ROUNDUP(V200/H200,0)*0.00937),"")</f>
        <v/>
      </c>
      <c r="X200" s="66" t="inlineStr"/>
      <c r="Y200" s="67" t="inlineStr"/>
      <c r="AC200" s="68" t="n"/>
      <c r="AZ200" s="181" t="inlineStr">
        <is>
          <t>КИ</t>
        </is>
      </c>
    </row>
    <row r="201" ht="27" customHeight="1">
      <c r="A201" s="61" t="inlineStr">
        <is>
          <t>SU002894</t>
        </is>
      </c>
      <c r="B201" s="61" t="inlineStr">
        <is>
          <t>P003314</t>
        </is>
      </c>
      <c r="C201" s="35" t="n">
        <v>4301011573</v>
      </c>
      <c r="D201" s="310" t="n">
        <v>4680115881938</v>
      </c>
      <c r="E201" s="629" t="n"/>
      <c r="F201" s="661" t="n">
        <v>0.4</v>
      </c>
      <c r="G201" s="36" t="n">
        <v>10</v>
      </c>
      <c r="H201" s="661" t="n">
        <v>4</v>
      </c>
      <c r="I201" s="661" t="n">
        <v>4.24</v>
      </c>
      <c r="J201" s="36" t="n">
        <v>120</v>
      </c>
      <c r="K201" s="37" t="inlineStr">
        <is>
          <t>СК1</t>
        </is>
      </c>
      <c r="L201" s="36" t="n">
        <v>90</v>
      </c>
      <c r="M201" s="78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3" t="n"/>
      <c r="O201" s="663" t="n"/>
      <c r="P201" s="663" t="n"/>
      <c r="Q201" s="629" t="n"/>
      <c r="R201" s="38" t="inlineStr"/>
      <c r="S201" s="38" t="inlineStr"/>
      <c r="T201" s="39" t="inlineStr">
        <is>
          <t>кг</t>
        </is>
      </c>
      <c r="U201" s="664" t="n">
        <v>0</v>
      </c>
      <c r="V201" s="665">
        <f>IFERROR(IF(U201="",0,CEILING((U201/$H201),1)*$H201),"")</f>
        <v/>
      </c>
      <c r="W201" s="40">
        <f>IFERROR(IF(V201=0,"",ROUNDUP(V201/H201,0)*0.00937),"")</f>
        <v/>
      </c>
      <c r="X201" s="66" t="inlineStr"/>
      <c r="Y201" s="67" t="inlineStr"/>
      <c r="AC201" s="68" t="n"/>
      <c r="AZ201" s="182" t="inlineStr">
        <is>
          <t>КИ</t>
        </is>
      </c>
    </row>
    <row r="202" ht="27" customHeight="1">
      <c r="A202" s="61" t="inlineStr">
        <is>
          <t>SU000078</t>
        </is>
      </c>
      <c r="B202" s="61" t="inlineStr">
        <is>
          <t>P001806</t>
        </is>
      </c>
      <c r="C202" s="35" t="n">
        <v>4301010944</v>
      </c>
      <c r="D202" s="310" t="n">
        <v>4607091387346</v>
      </c>
      <c r="E202" s="629" t="n"/>
      <c r="F202" s="661" t="n">
        <v>0.4</v>
      </c>
      <c r="G202" s="36" t="n">
        <v>10</v>
      </c>
      <c r="H202" s="661" t="n">
        <v>4</v>
      </c>
      <c r="I202" s="661" t="n">
        <v>4.24</v>
      </c>
      <c r="J202" s="36" t="n">
        <v>120</v>
      </c>
      <c r="K202" s="37" t="inlineStr">
        <is>
          <t>СК1</t>
        </is>
      </c>
      <c r="L202" s="36" t="n">
        <v>55</v>
      </c>
      <c r="M202" s="78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3" t="n"/>
      <c r="O202" s="663" t="n"/>
      <c r="P202" s="663" t="n"/>
      <c r="Q202" s="629" t="n"/>
      <c r="R202" s="38" t="inlineStr"/>
      <c r="S202" s="38" t="inlineStr"/>
      <c r="T202" s="39" t="inlineStr">
        <is>
          <t>кг</t>
        </is>
      </c>
      <c r="U202" s="664" t="n">
        <v>0</v>
      </c>
      <c r="V202" s="665">
        <f>IFERROR(IF(U202="",0,CEILING((U202/$H202),1)*$H202),"")</f>
        <v/>
      </c>
      <c r="W202" s="40">
        <f>IFERROR(IF(V202=0,"",ROUNDUP(V202/H202,0)*0.00937),"")</f>
        <v/>
      </c>
      <c r="X202" s="66" t="inlineStr"/>
      <c r="Y202" s="67" t="inlineStr"/>
      <c r="AC202" s="68" t="n"/>
      <c r="AZ202" s="183" t="inlineStr">
        <is>
          <t>КИ</t>
        </is>
      </c>
    </row>
    <row r="203" ht="27" customHeight="1">
      <c r="A203" s="61" t="inlineStr">
        <is>
          <t>SU002616</t>
        </is>
      </c>
      <c r="B203" s="61" t="inlineStr">
        <is>
          <t>P002950</t>
        </is>
      </c>
      <c r="C203" s="35" t="n">
        <v>4301011353</v>
      </c>
      <c r="D203" s="310" t="n">
        <v>4607091389807</v>
      </c>
      <c r="E203" s="629" t="n"/>
      <c r="F203" s="661" t="n">
        <v>0.4</v>
      </c>
      <c r="G203" s="36" t="n">
        <v>10</v>
      </c>
      <c r="H203" s="661" t="n">
        <v>4</v>
      </c>
      <c r="I203" s="661" t="n">
        <v>4.24</v>
      </c>
      <c r="J203" s="36" t="n">
        <v>120</v>
      </c>
      <c r="K203" s="37" t="inlineStr">
        <is>
          <t>СК1</t>
        </is>
      </c>
      <c r="L203" s="36" t="n">
        <v>55</v>
      </c>
      <c r="M203" s="78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3" t="n"/>
      <c r="O203" s="663" t="n"/>
      <c r="P203" s="663" t="n"/>
      <c r="Q203" s="629" t="n"/>
      <c r="R203" s="38" t="inlineStr"/>
      <c r="S203" s="38" t="inlineStr"/>
      <c r="T203" s="39" t="inlineStr">
        <is>
          <t>кг</t>
        </is>
      </c>
      <c r="U203" s="664" t="n">
        <v>0</v>
      </c>
      <c r="V203" s="665">
        <f>IFERROR(IF(U203="",0,CEILING((U203/$H203),1)*$H203),"")</f>
        <v/>
      </c>
      <c r="W203" s="40">
        <f>IFERROR(IF(V203=0,"",ROUNDUP(V203/H203,0)*0.00937),"")</f>
        <v/>
      </c>
      <c r="X203" s="66" t="inlineStr"/>
      <c r="Y203" s="67" t="inlineStr"/>
      <c r="AC203" s="68" t="n"/>
      <c r="AZ203" s="184" t="inlineStr">
        <is>
          <t>КИ</t>
        </is>
      </c>
    </row>
    <row r="204">
      <c r="A204" s="318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6" t="n"/>
      <c r="M204" s="667" t="inlineStr">
        <is>
          <t>Итого</t>
        </is>
      </c>
      <c r="N204" s="637" t="n"/>
      <c r="O204" s="637" t="n"/>
      <c r="P204" s="637" t="n"/>
      <c r="Q204" s="637" t="n"/>
      <c r="R204" s="637" t="n"/>
      <c r="S204" s="638" t="n"/>
      <c r="T204" s="41" t="inlineStr">
        <is>
          <t>кор</t>
        </is>
      </c>
      <c r="U204" s="668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68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68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69" t="n"/>
      <c r="Y204" s="669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6" t="n"/>
      <c r="M205" s="667" t="inlineStr">
        <is>
          <t>Итого</t>
        </is>
      </c>
      <c r="N205" s="637" t="n"/>
      <c r="O205" s="637" t="n"/>
      <c r="P205" s="637" t="n"/>
      <c r="Q205" s="637" t="n"/>
      <c r="R205" s="637" t="n"/>
      <c r="S205" s="638" t="n"/>
      <c r="T205" s="41" t="inlineStr">
        <is>
          <t>кг</t>
        </is>
      </c>
      <c r="U205" s="668">
        <f>IFERROR(SUM(U189:U203),"0")</f>
        <v/>
      </c>
      <c r="V205" s="668">
        <f>IFERROR(SUM(V189:V203),"0")</f>
        <v/>
      </c>
      <c r="W205" s="41" t="n"/>
      <c r="X205" s="669" t="n"/>
      <c r="Y205" s="669" t="n"/>
    </row>
    <row r="206" ht="14.25" customHeight="1">
      <c r="A206" s="326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6" t="n"/>
      <c r="Y206" s="326" t="n"/>
    </row>
    <row r="207" ht="27" customHeight="1">
      <c r="A207" s="61" t="inlineStr">
        <is>
          <t>SU002788</t>
        </is>
      </c>
      <c r="B207" s="61" t="inlineStr">
        <is>
          <t>P003190</t>
        </is>
      </c>
      <c r="C207" s="35" t="n">
        <v>4301020254</v>
      </c>
      <c r="D207" s="310" t="n">
        <v>4680115881914</v>
      </c>
      <c r="E207" s="629" t="n"/>
      <c r="F207" s="661" t="n">
        <v>0.4</v>
      </c>
      <c r="G207" s="36" t="n">
        <v>10</v>
      </c>
      <c r="H207" s="661" t="n">
        <v>4</v>
      </c>
      <c r="I207" s="661" t="n">
        <v>4.24</v>
      </c>
      <c r="J207" s="36" t="n">
        <v>120</v>
      </c>
      <c r="K207" s="37" t="inlineStr">
        <is>
          <t>СК1</t>
        </is>
      </c>
      <c r="L207" s="36" t="n">
        <v>90</v>
      </c>
      <c r="M207" s="78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3" t="n"/>
      <c r="O207" s="663" t="n"/>
      <c r="P207" s="663" t="n"/>
      <c r="Q207" s="629" t="n"/>
      <c r="R207" s="38" t="inlineStr"/>
      <c r="S207" s="38" t="inlineStr"/>
      <c r="T207" s="39" t="inlineStr">
        <is>
          <t>кг</t>
        </is>
      </c>
      <c r="U207" s="664" t="n">
        <v>0</v>
      </c>
      <c r="V207" s="665">
        <f>IFERROR(IF(U207="",0,CEILING((U207/$H207),1)*$H207),"")</f>
        <v/>
      </c>
      <c r="W207" s="40">
        <f>IFERROR(IF(V207=0,"",ROUNDUP(V207/H207,0)*0.00937),"")</f>
        <v/>
      </c>
      <c r="X207" s="66" t="inlineStr"/>
      <c r="Y207" s="67" t="inlineStr"/>
      <c r="AC207" s="68" t="n"/>
      <c r="AZ207" s="185" t="inlineStr">
        <is>
          <t>КИ</t>
        </is>
      </c>
    </row>
    <row r="208">
      <c r="A208" s="318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6" t="n"/>
      <c r="M208" s="667" t="inlineStr">
        <is>
          <t>Итого</t>
        </is>
      </c>
      <c r="N208" s="637" t="n"/>
      <c r="O208" s="637" t="n"/>
      <c r="P208" s="637" t="n"/>
      <c r="Q208" s="637" t="n"/>
      <c r="R208" s="637" t="n"/>
      <c r="S208" s="638" t="n"/>
      <c r="T208" s="41" t="inlineStr">
        <is>
          <t>кор</t>
        </is>
      </c>
      <c r="U208" s="668">
        <f>IFERROR(U207/H207,"0")</f>
        <v/>
      </c>
      <c r="V208" s="668">
        <f>IFERROR(V207/H207,"0")</f>
        <v/>
      </c>
      <c r="W208" s="668">
        <f>IFERROR(IF(W207="",0,W207),"0")</f>
        <v/>
      </c>
      <c r="X208" s="669" t="n"/>
      <c r="Y208" s="669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6" t="n"/>
      <c r="M209" s="667" t="inlineStr">
        <is>
          <t>Итого</t>
        </is>
      </c>
      <c r="N209" s="637" t="n"/>
      <c r="O209" s="637" t="n"/>
      <c r="P209" s="637" t="n"/>
      <c r="Q209" s="637" t="n"/>
      <c r="R209" s="637" t="n"/>
      <c r="S209" s="638" t="n"/>
      <c r="T209" s="41" t="inlineStr">
        <is>
          <t>кг</t>
        </is>
      </c>
      <c r="U209" s="668">
        <f>IFERROR(SUM(U207:U207),"0")</f>
        <v/>
      </c>
      <c r="V209" s="668">
        <f>IFERROR(SUM(V207:V207),"0")</f>
        <v/>
      </c>
      <c r="W209" s="41" t="n"/>
      <c r="X209" s="669" t="n"/>
      <c r="Y209" s="669" t="n"/>
    </row>
    <row r="210" ht="14.25" customHeight="1">
      <c r="A210" s="326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6" t="n"/>
      <c r="Y210" s="326" t="n"/>
    </row>
    <row r="211" ht="27" customHeight="1">
      <c r="A211" s="61" t="inlineStr">
        <is>
          <t>SU001820</t>
        </is>
      </c>
      <c r="B211" s="61" t="inlineStr">
        <is>
          <t>P001820</t>
        </is>
      </c>
      <c r="C211" s="35" t="n">
        <v>4301030878</v>
      </c>
      <c r="D211" s="310" t="n">
        <v>4607091387193</v>
      </c>
      <c r="E211" s="629" t="n"/>
      <c r="F211" s="661" t="n">
        <v>0.7</v>
      </c>
      <c r="G211" s="36" t="n">
        <v>6</v>
      </c>
      <c r="H211" s="661" t="n">
        <v>4.2</v>
      </c>
      <c r="I211" s="661" t="n">
        <v>4.46</v>
      </c>
      <c r="J211" s="36" t="n">
        <v>156</v>
      </c>
      <c r="K211" s="37" t="inlineStr">
        <is>
          <t>СК2</t>
        </is>
      </c>
      <c r="L211" s="36" t="n">
        <v>35</v>
      </c>
      <c r="M211" s="78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3" t="n"/>
      <c r="O211" s="663" t="n"/>
      <c r="P211" s="663" t="n"/>
      <c r="Q211" s="629" t="n"/>
      <c r="R211" s="38" t="inlineStr"/>
      <c r="S211" s="38" t="inlineStr"/>
      <c r="T211" s="39" t="inlineStr">
        <is>
          <t>кг</t>
        </is>
      </c>
      <c r="U211" s="664" t="n">
        <v>0</v>
      </c>
      <c r="V211" s="665">
        <f>IFERROR(IF(U211="",0,CEILING((U211/$H211),1)*$H211),"")</f>
        <v/>
      </c>
      <c r="W211" s="40">
        <f>IFERROR(IF(V211=0,"",ROUNDUP(V211/H211,0)*0.00753),"")</f>
        <v/>
      </c>
      <c r="X211" s="66" t="inlineStr"/>
      <c r="Y211" s="67" t="inlineStr"/>
      <c r="AC211" s="68" t="n"/>
      <c r="AZ211" s="186" t="inlineStr">
        <is>
          <t>КИ</t>
        </is>
      </c>
    </row>
    <row r="212" ht="27" customHeight="1">
      <c r="A212" s="61" t="inlineStr">
        <is>
          <t>SU001822</t>
        </is>
      </c>
      <c r="B212" s="61" t="inlineStr">
        <is>
          <t>P003013</t>
        </is>
      </c>
      <c r="C212" s="35" t="n">
        <v>4301031153</v>
      </c>
      <c r="D212" s="310" t="n">
        <v>4607091387230</v>
      </c>
      <c r="E212" s="629" t="n"/>
      <c r="F212" s="661" t="n">
        <v>0.7</v>
      </c>
      <c r="G212" s="36" t="n">
        <v>6</v>
      </c>
      <c r="H212" s="661" t="n">
        <v>4.2</v>
      </c>
      <c r="I212" s="661" t="n">
        <v>4.46</v>
      </c>
      <c r="J212" s="36" t="n">
        <v>156</v>
      </c>
      <c r="K212" s="37" t="inlineStr">
        <is>
          <t>СК2</t>
        </is>
      </c>
      <c r="L212" s="36" t="n">
        <v>40</v>
      </c>
      <c r="M212" s="78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3" t="n"/>
      <c r="O212" s="663" t="n"/>
      <c r="P212" s="663" t="n"/>
      <c r="Q212" s="629" t="n"/>
      <c r="R212" s="38" t="inlineStr"/>
      <c r="S212" s="38" t="inlineStr"/>
      <c r="T212" s="39" t="inlineStr">
        <is>
          <t>кг</t>
        </is>
      </c>
      <c r="U212" s="664" t="n">
        <v>0</v>
      </c>
      <c r="V212" s="665">
        <f>IFERROR(IF(U212="",0,CEILING((U212/$H212),1)*$H212),"")</f>
        <v/>
      </c>
      <c r="W212" s="40">
        <f>IFERROR(IF(V212=0,"",ROUNDUP(V212/H212,0)*0.00753),"")</f>
        <v/>
      </c>
      <c r="X212" s="66" t="inlineStr"/>
      <c r="Y212" s="67" t="inlineStr"/>
      <c r="AC212" s="68" t="n"/>
      <c r="AZ212" s="187" t="inlineStr">
        <is>
          <t>КИ</t>
        </is>
      </c>
    </row>
    <row r="213" ht="27" customHeight="1">
      <c r="A213" s="61" t="inlineStr">
        <is>
          <t>SU002579</t>
        </is>
      </c>
      <c r="B213" s="61" t="inlineStr">
        <is>
          <t>P003012</t>
        </is>
      </c>
      <c r="C213" s="35" t="n">
        <v>4301031152</v>
      </c>
      <c r="D213" s="310" t="n">
        <v>4607091387285</v>
      </c>
      <c r="E213" s="629" t="n"/>
      <c r="F213" s="661" t="n">
        <v>0.35</v>
      </c>
      <c r="G213" s="36" t="n">
        <v>6</v>
      </c>
      <c r="H213" s="661" t="n">
        <v>2.1</v>
      </c>
      <c r="I213" s="661" t="n">
        <v>2.23</v>
      </c>
      <c r="J213" s="36" t="n">
        <v>234</v>
      </c>
      <c r="K213" s="37" t="inlineStr">
        <is>
          <t>СК2</t>
        </is>
      </c>
      <c r="L213" s="36" t="n">
        <v>40</v>
      </c>
      <c r="M213" s="78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3" t="n"/>
      <c r="O213" s="663" t="n"/>
      <c r="P213" s="663" t="n"/>
      <c r="Q213" s="629" t="n"/>
      <c r="R213" s="38" t="inlineStr"/>
      <c r="S213" s="38" t="inlineStr"/>
      <c r="T213" s="39" t="inlineStr">
        <is>
          <t>кг</t>
        </is>
      </c>
      <c r="U213" s="664" t="n">
        <v>0</v>
      </c>
      <c r="V213" s="665">
        <f>IFERROR(IF(U213="",0,CEILING((U213/$H213),1)*$H213),"")</f>
        <v/>
      </c>
      <c r="W213" s="40">
        <f>IFERROR(IF(V213=0,"",ROUNDUP(V213/H213,0)*0.00502),"")</f>
        <v/>
      </c>
      <c r="X213" s="66" t="inlineStr"/>
      <c r="Y213" s="67" t="inlineStr"/>
      <c r="AC213" s="68" t="n"/>
      <c r="AZ213" s="188" t="inlineStr">
        <is>
          <t>КИ</t>
        </is>
      </c>
    </row>
    <row r="214" ht="27" customHeight="1">
      <c r="A214" s="61" t="inlineStr">
        <is>
          <t>SU002617</t>
        </is>
      </c>
      <c r="B214" s="61" t="inlineStr">
        <is>
          <t>P002951</t>
        </is>
      </c>
      <c r="C214" s="35" t="n">
        <v>4301031151</v>
      </c>
      <c r="D214" s="310" t="n">
        <v>4607091389845</v>
      </c>
      <c r="E214" s="629" t="n"/>
      <c r="F214" s="661" t="n">
        <v>0.35</v>
      </c>
      <c r="G214" s="36" t="n">
        <v>6</v>
      </c>
      <c r="H214" s="661" t="n">
        <v>2.1</v>
      </c>
      <c r="I214" s="661" t="n">
        <v>2.2</v>
      </c>
      <c r="J214" s="36" t="n">
        <v>234</v>
      </c>
      <c r="K214" s="37" t="inlineStr">
        <is>
          <t>СК2</t>
        </is>
      </c>
      <c r="L214" s="36" t="n">
        <v>40</v>
      </c>
      <c r="M214" s="78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3" t="n"/>
      <c r="O214" s="663" t="n"/>
      <c r="P214" s="663" t="n"/>
      <c r="Q214" s="629" t="n"/>
      <c r="R214" s="38" t="inlineStr"/>
      <c r="S214" s="38" t="inlineStr"/>
      <c r="T214" s="39" t="inlineStr">
        <is>
          <t>кг</t>
        </is>
      </c>
      <c r="U214" s="664" t="n">
        <v>0</v>
      </c>
      <c r="V214" s="665">
        <f>IFERROR(IF(U214="",0,CEILING((U214/$H214),1)*$H214),"")</f>
        <v/>
      </c>
      <c r="W214" s="40">
        <f>IFERROR(IF(V214=0,"",ROUNDUP(V214/H214,0)*0.00502),"")</f>
        <v/>
      </c>
      <c r="X214" s="66" t="inlineStr"/>
      <c r="Y214" s="67" t="inlineStr"/>
      <c r="AC214" s="68" t="n"/>
      <c r="AZ214" s="189" t="inlineStr">
        <is>
          <t>КИ</t>
        </is>
      </c>
    </row>
    <row r="215">
      <c r="A215" s="318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6" t="n"/>
      <c r="M215" s="667" t="inlineStr">
        <is>
          <t>Итого</t>
        </is>
      </c>
      <c r="N215" s="637" t="n"/>
      <c r="O215" s="637" t="n"/>
      <c r="P215" s="637" t="n"/>
      <c r="Q215" s="637" t="n"/>
      <c r="R215" s="637" t="n"/>
      <c r="S215" s="638" t="n"/>
      <c r="T215" s="41" t="inlineStr">
        <is>
          <t>кор</t>
        </is>
      </c>
      <c r="U215" s="668">
        <f>IFERROR(U211/H211,"0")+IFERROR(U212/H212,"0")+IFERROR(U213/H213,"0")+IFERROR(U214/H214,"0")</f>
        <v/>
      </c>
      <c r="V215" s="668">
        <f>IFERROR(V211/H211,"0")+IFERROR(V212/H212,"0")+IFERROR(V213/H213,"0")+IFERROR(V214/H214,"0")</f>
        <v/>
      </c>
      <c r="W215" s="668">
        <f>IFERROR(IF(W211="",0,W211),"0")+IFERROR(IF(W212="",0,W212),"0")+IFERROR(IF(W213="",0,W213),"0")+IFERROR(IF(W214="",0,W214),"0")</f>
        <v/>
      </c>
      <c r="X215" s="669" t="n"/>
      <c r="Y215" s="66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6" t="n"/>
      <c r="M216" s="667" t="inlineStr">
        <is>
          <t>Итого</t>
        </is>
      </c>
      <c r="N216" s="637" t="n"/>
      <c r="O216" s="637" t="n"/>
      <c r="P216" s="637" t="n"/>
      <c r="Q216" s="637" t="n"/>
      <c r="R216" s="637" t="n"/>
      <c r="S216" s="638" t="n"/>
      <c r="T216" s="41" t="inlineStr">
        <is>
          <t>кг</t>
        </is>
      </c>
      <c r="U216" s="668">
        <f>IFERROR(SUM(U211:U214),"0")</f>
        <v/>
      </c>
      <c r="V216" s="668">
        <f>IFERROR(SUM(V211:V214),"0")</f>
        <v/>
      </c>
      <c r="W216" s="41" t="n"/>
      <c r="X216" s="669" t="n"/>
      <c r="Y216" s="669" t="n"/>
    </row>
    <row r="217" ht="14.25" customHeight="1">
      <c r="A217" s="326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6" t="n"/>
      <c r="Y217" s="326" t="n"/>
    </row>
    <row r="218" ht="16.5" customHeight="1">
      <c r="A218" s="61" t="inlineStr">
        <is>
          <t>SU001340</t>
        </is>
      </c>
      <c r="B218" s="61" t="inlineStr">
        <is>
          <t>P002209</t>
        </is>
      </c>
      <c r="C218" s="35" t="n">
        <v>4301051100</v>
      </c>
      <c r="D218" s="310" t="n">
        <v>4607091387766</v>
      </c>
      <c r="E218" s="629" t="n"/>
      <c r="F218" s="661" t="n">
        <v>1.35</v>
      </c>
      <c r="G218" s="36" t="n">
        <v>6</v>
      </c>
      <c r="H218" s="661" t="n">
        <v>8.1</v>
      </c>
      <c r="I218" s="661" t="n">
        <v>8.657999999999999</v>
      </c>
      <c r="J218" s="36" t="n">
        <v>56</v>
      </c>
      <c r="K218" s="37" t="inlineStr">
        <is>
          <t>СК3</t>
        </is>
      </c>
      <c r="L218" s="36" t="n">
        <v>40</v>
      </c>
      <c r="M218" s="789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3" t="n"/>
      <c r="O218" s="663" t="n"/>
      <c r="P218" s="663" t="n"/>
      <c r="Q218" s="629" t="n"/>
      <c r="R218" s="38" t="inlineStr"/>
      <c r="S218" s="38" t="inlineStr"/>
      <c r="T218" s="39" t="inlineStr">
        <is>
          <t>кг</t>
        </is>
      </c>
      <c r="U218" s="664" t="n">
        <v>0</v>
      </c>
      <c r="V218" s="665">
        <f>IFERROR(IF(U218="",0,CEILING((U218/$H218),1)*$H218),"")</f>
        <v/>
      </c>
      <c r="W218" s="40">
        <f>IFERROR(IF(V218=0,"",ROUNDUP(V218/H218,0)*0.02175),"")</f>
        <v/>
      </c>
      <c r="X218" s="66" t="inlineStr"/>
      <c r="Y218" s="67" t="inlineStr"/>
      <c r="AC218" s="68" t="n"/>
      <c r="AZ218" s="190" t="inlineStr">
        <is>
          <t>КИ</t>
        </is>
      </c>
    </row>
    <row r="219" ht="27" customHeight="1">
      <c r="A219" s="61" t="inlineStr">
        <is>
          <t>SU001727</t>
        </is>
      </c>
      <c r="B219" s="61" t="inlineStr">
        <is>
          <t>P002205</t>
        </is>
      </c>
      <c r="C219" s="35" t="n">
        <v>4301051116</v>
      </c>
      <c r="D219" s="310" t="n">
        <v>4607091387957</v>
      </c>
      <c r="E219" s="629" t="n"/>
      <c r="F219" s="661" t="n">
        <v>1.3</v>
      </c>
      <c r="G219" s="36" t="n">
        <v>6</v>
      </c>
      <c r="H219" s="661" t="n">
        <v>7.8</v>
      </c>
      <c r="I219" s="661" t="n">
        <v>8.364000000000001</v>
      </c>
      <c r="J219" s="36" t="n">
        <v>56</v>
      </c>
      <c r="K219" s="37" t="inlineStr">
        <is>
          <t>СК2</t>
        </is>
      </c>
      <c r="L219" s="36" t="n">
        <v>40</v>
      </c>
      <c r="M219" s="79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3" t="n"/>
      <c r="O219" s="663" t="n"/>
      <c r="P219" s="663" t="n"/>
      <c r="Q219" s="629" t="n"/>
      <c r="R219" s="38" t="inlineStr"/>
      <c r="S219" s="38" t="inlineStr"/>
      <c r="T219" s="39" t="inlineStr">
        <is>
          <t>кг</t>
        </is>
      </c>
      <c r="U219" s="664" t="n">
        <v>0</v>
      </c>
      <c r="V219" s="665">
        <f>IFERROR(IF(U219="",0,CEILING((U219/$H219),1)*$H219),"")</f>
        <v/>
      </c>
      <c r="W219" s="40">
        <f>IFERROR(IF(V219=0,"",ROUNDUP(V219/H219,0)*0.02175),"")</f>
        <v/>
      </c>
      <c r="X219" s="66" t="inlineStr"/>
      <c r="Y219" s="67" t="inlineStr"/>
      <c r="AC219" s="68" t="n"/>
      <c r="AZ219" s="191" t="inlineStr">
        <is>
          <t>КИ</t>
        </is>
      </c>
    </row>
    <row r="220" ht="27" customHeight="1">
      <c r="A220" s="61" t="inlineStr">
        <is>
          <t>SU001728</t>
        </is>
      </c>
      <c r="B220" s="61" t="inlineStr">
        <is>
          <t>P002207</t>
        </is>
      </c>
      <c r="C220" s="35" t="n">
        <v>4301051115</v>
      </c>
      <c r="D220" s="310" t="n">
        <v>4607091387964</v>
      </c>
      <c r="E220" s="629" t="n"/>
      <c r="F220" s="661" t="n">
        <v>1.35</v>
      </c>
      <c r="G220" s="36" t="n">
        <v>6</v>
      </c>
      <c r="H220" s="661" t="n">
        <v>8.1</v>
      </c>
      <c r="I220" s="661" t="n">
        <v>8.646000000000001</v>
      </c>
      <c r="J220" s="36" t="n">
        <v>56</v>
      </c>
      <c r="K220" s="37" t="inlineStr">
        <is>
          <t>СК2</t>
        </is>
      </c>
      <c r="L220" s="36" t="n">
        <v>40</v>
      </c>
      <c r="M220" s="79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3" t="n"/>
      <c r="O220" s="663" t="n"/>
      <c r="P220" s="663" t="n"/>
      <c r="Q220" s="629" t="n"/>
      <c r="R220" s="38" t="inlineStr"/>
      <c r="S220" s="38" t="inlineStr"/>
      <c r="T220" s="39" t="inlineStr">
        <is>
          <t>кг</t>
        </is>
      </c>
      <c r="U220" s="664" t="n">
        <v>0</v>
      </c>
      <c r="V220" s="665">
        <f>IFERROR(IF(U220="",0,CEILING((U220/$H220),1)*$H220),"")</f>
        <v/>
      </c>
      <c r="W220" s="40">
        <f>IFERROR(IF(V220=0,"",ROUNDUP(V220/H220,0)*0.02175),"")</f>
        <v/>
      </c>
      <c r="X220" s="66" t="inlineStr"/>
      <c r="Y220" s="67" t="inlineStr"/>
      <c r="AC220" s="68" t="n"/>
      <c r="AZ220" s="192" t="inlineStr">
        <is>
          <t>КИ</t>
        </is>
      </c>
    </row>
    <row r="221" ht="16.5" customHeight="1">
      <c r="A221" s="61" t="inlineStr">
        <is>
          <t>SU001341</t>
        </is>
      </c>
      <c r="B221" s="61" t="inlineStr">
        <is>
          <t>P002204</t>
        </is>
      </c>
      <c r="C221" s="35" t="n">
        <v>4301051134</v>
      </c>
      <c r="D221" s="310" t="n">
        <v>4607091381672</v>
      </c>
      <c r="E221" s="629" t="n"/>
      <c r="F221" s="661" t="n">
        <v>0.6</v>
      </c>
      <c r="G221" s="36" t="n">
        <v>6</v>
      </c>
      <c r="H221" s="661" t="n">
        <v>3.6</v>
      </c>
      <c r="I221" s="661" t="n">
        <v>3.876</v>
      </c>
      <c r="J221" s="36" t="n">
        <v>120</v>
      </c>
      <c r="K221" s="37" t="inlineStr">
        <is>
          <t>СК2</t>
        </is>
      </c>
      <c r="L221" s="36" t="n">
        <v>40</v>
      </c>
      <c r="M221" s="79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3" t="n"/>
      <c r="O221" s="663" t="n"/>
      <c r="P221" s="663" t="n"/>
      <c r="Q221" s="629" t="n"/>
      <c r="R221" s="38" t="inlineStr"/>
      <c r="S221" s="38" t="inlineStr"/>
      <c r="T221" s="39" t="inlineStr">
        <is>
          <t>кг</t>
        </is>
      </c>
      <c r="U221" s="664" t="n">
        <v>0</v>
      </c>
      <c r="V221" s="665">
        <f>IFERROR(IF(U221="",0,CEILING((U221/$H221),1)*$H221),"")</f>
        <v/>
      </c>
      <c r="W221" s="40">
        <f>IFERROR(IF(V221=0,"",ROUNDUP(V221/H221,0)*0.00937),"")</f>
        <v/>
      </c>
      <c r="X221" s="66" t="inlineStr"/>
      <c r="Y221" s="67" t="inlineStr"/>
      <c r="AC221" s="68" t="n"/>
      <c r="AZ221" s="193" t="inlineStr">
        <is>
          <t>КИ</t>
        </is>
      </c>
    </row>
    <row r="222" ht="27" customHeight="1">
      <c r="A222" s="61" t="inlineStr">
        <is>
          <t>SU001763</t>
        </is>
      </c>
      <c r="B222" s="61" t="inlineStr">
        <is>
          <t>P002206</t>
        </is>
      </c>
      <c r="C222" s="35" t="n">
        <v>4301051130</v>
      </c>
      <c r="D222" s="310" t="n">
        <v>4607091387537</v>
      </c>
      <c r="E222" s="629" t="n"/>
      <c r="F222" s="661" t="n">
        <v>0.45</v>
      </c>
      <c r="G222" s="36" t="n">
        <v>6</v>
      </c>
      <c r="H222" s="661" t="n">
        <v>2.7</v>
      </c>
      <c r="I222" s="661" t="n">
        <v>2.99</v>
      </c>
      <c r="J222" s="36" t="n">
        <v>156</v>
      </c>
      <c r="K222" s="37" t="inlineStr">
        <is>
          <t>СК2</t>
        </is>
      </c>
      <c r="L222" s="36" t="n">
        <v>40</v>
      </c>
      <c r="M222" s="79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3" t="n"/>
      <c r="O222" s="663" t="n"/>
      <c r="P222" s="663" t="n"/>
      <c r="Q222" s="629" t="n"/>
      <c r="R222" s="38" t="inlineStr"/>
      <c r="S222" s="38" t="inlineStr"/>
      <c r="T222" s="39" t="inlineStr">
        <is>
          <t>кг</t>
        </is>
      </c>
      <c r="U222" s="664" t="n">
        <v>0</v>
      </c>
      <c r="V222" s="665">
        <f>IFERROR(IF(U222="",0,CEILING((U222/$H222),1)*$H222),"")</f>
        <v/>
      </c>
      <c r="W222" s="40">
        <f>IFERROR(IF(V222=0,"",ROUNDUP(V222/H222,0)*0.00753),"")</f>
        <v/>
      </c>
      <c r="X222" s="66" t="inlineStr"/>
      <c r="Y222" s="67" t="inlineStr"/>
      <c r="AC222" s="68" t="n"/>
      <c r="AZ222" s="194" t="inlineStr">
        <is>
          <t>КИ</t>
        </is>
      </c>
    </row>
    <row r="223" ht="27" customHeight="1">
      <c r="A223" s="61" t="inlineStr">
        <is>
          <t>SU001762</t>
        </is>
      </c>
      <c r="B223" s="61" t="inlineStr">
        <is>
          <t>P002208</t>
        </is>
      </c>
      <c r="C223" s="35" t="n">
        <v>4301051132</v>
      </c>
      <c r="D223" s="310" t="n">
        <v>4607091387513</v>
      </c>
      <c r="E223" s="629" t="n"/>
      <c r="F223" s="661" t="n">
        <v>0.45</v>
      </c>
      <c r="G223" s="36" t="n">
        <v>6</v>
      </c>
      <c r="H223" s="661" t="n">
        <v>2.7</v>
      </c>
      <c r="I223" s="661" t="n">
        <v>2.978</v>
      </c>
      <c r="J223" s="36" t="n">
        <v>156</v>
      </c>
      <c r="K223" s="37" t="inlineStr">
        <is>
          <t>СК2</t>
        </is>
      </c>
      <c r="L223" s="36" t="n">
        <v>40</v>
      </c>
      <c r="M223" s="79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3" t="n"/>
      <c r="O223" s="663" t="n"/>
      <c r="P223" s="663" t="n"/>
      <c r="Q223" s="629" t="n"/>
      <c r="R223" s="38" t="inlineStr"/>
      <c r="S223" s="38" t="inlineStr"/>
      <c r="T223" s="39" t="inlineStr">
        <is>
          <t>кг</t>
        </is>
      </c>
      <c r="U223" s="664" t="n">
        <v>0</v>
      </c>
      <c r="V223" s="665">
        <f>IFERROR(IF(U223="",0,CEILING((U223/$H223),1)*$H223),"")</f>
        <v/>
      </c>
      <c r="W223" s="40">
        <f>IFERROR(IF(V223=0,"",ROUNDUP(V223/H223,0)*0.00753),"")</f>
        <v/>
      </c>
      <c r="X223" s="66" t="inlineStr"/>
      <c r="Y223" s="67" t="inlineStr"/>
      <c r="AC223" s="68" t="n"/>
      <c r="AZ223" s="195" t="inlineStr">
        <is>
          <t>КИ</t>
        </is>
      </c>
    </row>
    <row r="224">
      <c r="A224" s="31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6" t="n"/>
      <c r="M224" s="667" t="inlineStr">
        <is>
          <t>Итого</t>
        </is>
      </c>
      <c r="N224" s="637" t="n"/>
      <c r="O224" s="637" t="n"/>
      <c r="P224" s="637" t="n"/>
      <c r="Q224" s="637" t="n"/>
      <c r="R224" s="637" t="n"/>
      <c r="S224" s="638" t="n"/>
      <c r="T224" s="41" t="inlineStr">
        <is>
          <t>кор</t>
        </is>
      </c>
      <c r="U224" s="668">
        <f>IFERROR(U218/H218,"0")+IFERROR(U219/H219,"0")+IFERROR(U220/H220,"0")+IFERROR(U221/H221,"0")+IFERROR(U222/H222,"0")+IFERROR(U223/H223,"0")</f>
        <v/>
      </c>
      <c r="V224" s="668">
        <f>IFERROR(V218/H218,"0")+IFERROR(V219/H219,"0")+IFERROR(V220/H220,"0")+IFERROR(V221/H221,"0")+IFERROR(V222/H222,"0")+IFERROR(V223/H223,"0")</f>
        <v/>
      </c>
      <c r="W224" s="668">
        <f>IFERROR(IF(W218="",0,W218),"0")+IFERROR(IF(W219="",0,W219),"0")+IFERROR(IF(W220="",0,W220),"0")+IFERROR(IF(W221="",0,W221),"0")+IFERROR(IF(W222="",0,W222),"0")+IFERROR(IF(W223="",0,W223),"0")</f>
        <v/>
      </c>
      <c r="X224" s="669" t="n"/>
      <c r="Y224" s="6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6" t="n"/>
      <c r="M225" s="667" t="inlineStr">
        <is>
          <t>Итого</t>
        </is>
      </c>
      <c r="N225" s="637" t="n"/>
      <c r="O225" s="637" t="n"/>
      <c r="P225" s="637" t="n"/>
      <c r="Q225" s="637" t="n"/>
      <c r="R225" s="637" t="n"/>
      <c r="S225" s="638" t="n"/>
      <c r="T225" s="41" t="inlineStr">
        <is>
          <t>кг</t>
        </is>
      </c>
      <c r="U225" s="668">
        <f>IFERROR(SUM(U218:U223),"0")</f>
        <v/>
      </c>
      <c r="V225" s="668">
        <f>IFERROR(SUM(V218:V223),"0")</f>
        <v/>
      </c>
      <c r="W225" s="41" t="n"/>
      <c r="X225" s="669" t="n"/>
      <c r="Y225" s="669" t="n"/>
    </row>
    <row r="226" ht="14.25" customHeight="1">
      <c r="A226" s="326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6" t="n"/>
      <c r="Y226" s="326" t="n"/>
    </row>
    <row r="227" ht="16.5" customHeight="1">
      <c r="A227" s="61" t="inlineStr">
        <is>
          <t>SU001051</t>
        </is>
      </c>
      <c r="B227" s="61" t="inlineStr">
        <is>
          <t>P002061</t>
        </is>
      </c>
      <c r="C227" s="35" t="n">
        <v>4301060326</v>
      </c>
      <c r="D227" s="310" t="n">
        <v>4607091380880</v>
      </c>
      <c r="E227" s="629" t="n"/>
      <c r="F227" s="661" t="n">
        <v>1.4</v>
      </c>
      <c r="G227" s="36" t="n">
        <v>6</v>
      </c>
      <c r="H227" s="661" t="n">
        <v>8.4</v>
      </c>
      <c r="I227" s="661" t="n">
        <v>8.964</v>
      </c>
      <c r="J227" s="36" t="n">
        <v>56</v>
      </c>
      <c r="K227" s="37" t="inlineStr">
        <is>
          <t>СК2</t>
        </is>
      </c>
      <c r="L227" s="36" t="n">
        <v>30</v>
      </c>
      <c r="M227" s="795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3" t="n"/>
      <c r="O227" s="663" t="n"/>
      <c r="P227" s="663" t="n"/>
      <c r="Q227" s="629" t="n"/>
      <c r="R227" s="38" t="inlineStr"/>
      <c r="S227" s="38" t="inlineStr"/>
      <c r="T227" s="39" t="inlineStr">
        <is>
          <t>кг</t>
        </is>
      </c>
      <c r="U227" s="664" t="n">
        <v>0</v>
      </c>
      <c r="V227" s="665">
        <f>IFERROR(IF(U227="",0,CEILING((U227/$H227),1)*$H227),"")</f>
        <v/>
      </c>
      <c r="W227" s="40">
        <f>IFERROR(IF(V227=0,"",ROUNDUP(V227/H227,0)*0.02175),"")</f>
        <v/>
      </c>
      <c r="X227" s="66" t="inlineStr"/>
      <c r="Y227" s="67" t="inlineStr"/>
      <c r="AC227" s="68" t="n"/>
      <c r="AZ227" s="196" t="inlineStr">
        <is>
          <t>КИ</t>
        </is>
      </c>
    </row>
    <row r="228" ht="27" customHeight="1">
      <c r="A228" s="61" t="inlineStr">
        <is>
          <t>SU000227</t>
        </is>
      </c>
      <c r="B228" s="61" t="inlineStr">
        <is>
          <t>P002536</t>
        </is>
      </c>
      <c r="C228" s="35" t="n">
        <v>4301060308</v>
      </c>
      <c r="D228" s="310" t="n">
        <v>4607091384482</v>
      </c>
      <c r="E228" s="629" t="n"/>
      <c r="F228" s="661" t="n">
        <v>1.3</v>
      </c>
      <c r="G228" s="36" t="n">
        <v>6</v>
      </c>
      <c r="H228" s="661" t="n">
        <v>7.8</v>
      </c>
      <c r="I228" s="661" t="n">
        <v>8.364000000000001</v>
      </c>
      <c r="J228" s="36" t="n">
        <v>56</v>
      </c>
      <c r="K228" s="37" t="inlineStr">
        <is>
          <t>СК2</t>
        </is>
      </c>
      <c r="L228" s="36" t="n">
        <v>30</v>
      </c>
      <c r="M228" s="79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3" t="n"/>
      <c r="O228" s="663" t="n"/>
      <c r="P228" s="663" t="n"/>
      <c r="Q228" s="629" t="n"/>
      <c r="R228" s="38" t="inlineStr"/>
      <c r="S228" s="38" t="inlineStr"/>
      <c r="T228" s="39" t="inlineStr">
        <is>
          <t>кг</t>
        </is>
      </c>
      <c r="U228" s="664" t="n">
        <v>0</v>
      </c>
      <c r="V228" s="665">
        <f>IFERROR(IF(U228="",0,CEILING((U228/$H228),1)*$H228),"")</f>
        <v/>
      </c>
      <c r="W228" s="40">
        <f>IFERROR(IF(V228=0,"",ROUNDUP(V228/H228,0)*0.02175),"")</f>
        <v/>
      </c>
      <c r="X228" s="66" t="inlineStr"/>
      <c r="Y228" s="67" t="inlineStr"/>
      <c r="AC228" s="68" t="n"/>
      <c r="AZ228" s="197" t="inlineStr">
        <is>
          <t>КИ</t>
        </is>
      </c>
    </row>
    <row r="229" ht="16.5" customHeight="1">
      <c r="A229" s="61" t="inlineStr">
        <is>
          <t>SU001430</t>
        </is>
      </c>
      <c r="B229" s="61" t="inlineStr">
        <is>
          <t>P002036</t>
        </is>
      </c>
      <c r="C229" s="35" t="n">
        <v>4301060325</v>
      </c>
      <c r="D229" s="310" t="n">
        <v>4607091380897</v>
      </c>
      <c r="E229" s="629" t="n"/>
      <c r="F229" s="661" t="n">
        <v>1.4</v>
      </c>
      <c r="G229" s="36" t="n">
        <v>6</v>
      </c>
      <c r="H229" s="661" t="n">
        <v>8.4</v>
      </c>
      <c r="I229" s="661" t="n">
        <v>8.964</v>
      </c>
      <c r="J229" s="36" t="n">
        <v>56</v>
      </c>
      <c r="K229" s="37" t="inlineStr">
        <is>
          <t>СК2</t>
        </is>
      </c>
      <c r="L229" s="36" t="n">
        <v>30</v>
      </c>
      <c r="M229" s="797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3" t="n"/>
      <c r="O229" s="663" t="n"/>
      <c r="P229" s="663" t="n"/>
      <c r="Q229" s="629" t="n"/>
      <c r="R229" s="38" t="inlineStr"/>
      <c r="S229" s="38" t="inlineStr"/>
      <c r="T229" s="39" t="inlineStr">
        <is>
          <t>кг</t>
        </is>
      </c>
      <c r="U229" s="664" t="n">
        <v>0</v>
      </c>
      <c r="V229" s="665">
        <f>IFERROR(IF(U229="",0,CEILING((U229/$H229),1)*$H229),"")</f>
        <v/>
      </c>
      <c r="W229" s="40">
        <f>IFERROR(IF(V229=0,"",ROUNDUP(V229/H229,0)*0.02175),"")</f>
        <v/>
      </c>
      <c r="X229" s="66" t="inlineStr"/>
      <c r="Y229" s="67" t="inlineStr"/>
      <c r="AC229" s="68" t="n"/>
      <c r="AZ229" s="198" t="inlineStr">
        <is>
          <t>КИ</t>
        </is>
      </c>
    </row>
    <row r="230" ht="16.5" customHeight="1">
      <c r="A230" s="61" t="inlineStr">
        <is>
          <t>SU002691</t>
        </is>
      </c>
      <c r="B230" s="61" t="inlineStr">
        <is>
          <t>P003055</t>
        </is>
      </c>
      <c r="C230" s="35" t="n">
        <v>4301060337</v>
      </c>
      <c r="D230" s="310" t="n">
        <v>4680115880368</v>
      </c>
      <c r="E230" s="629" t="n"/>
      <c r="F230" s="661" t="n">
        <v>1</v>
      </c>
      <c r="G230" s="36" t="n">
        <v>4</v>
      </c>
      <c r="H230" s="661" t="n">
        <v>4</v>
      </c>
      <c r="I230" s="661" t="n">
        <v>4.36</v>
      </c>
      <c r="J230" s="36" t="n">
        <v>104</v>
      </c>
      <c r="K230" s="37" t="inlineStr">
        <is>
          <t>СК3</t>
        </is>
      </c>
      <c r="L230" s="36" t="n">
        <v>40</v>
      </c>
      <c r="M230" s="798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3" t="n"/>
      <c r="O230" s="663" t="n"/>
      <c r="P230" s="663" t="n"/>
      <c r="Q230" s="629" t="n"/>
      <c r="R230" s="38" t="inlineStr"/>
      <c r="S230" s="38" t="inlineStr"/>
      <c r="T230" s="39" t="inlineStr">
        <is>
          <t>кг</t>
        </is>
      </c>
      <c r="U230" s="664" t="n">
        <v>0</v>
      </c>
      <c r="V230" s="665">
        <f>IFERROR(IF(U230="",0,CEILING((U230/$H230),1)*$H230),"")</f>
        <v/>
      </c>
      <c r="W230" s="40">
        <f>IFERROR(IF(V230=0,"",ROUNDUP(V230/H230,0)*0.01196),"")</f>
        <v/>
      </c>
      <c r="X230" s="66" t="inlineStr"/>
      <c r="Y230" s="67" t="inlineStr"/>
      <c r="AC230" s="68" t="n"/>
      <c r="AZ230" s="199" t="inlineStr">
        <is>
          <t>КИ</t>
        </is>
      </c>
    </row>
    <row r="231">
      <c r="A231" s="31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6" t="n"/>
      <c r="M231" s="667" t="inlineStr">
        <is>
          <t>Итого</t>
        </is>
      </c>
      <c r="N231" s="637" t="n"/>
      <c r="O231" s="637" t="n"/>
      <c r="P231" s="637" t="n"/>
      <c r="Q231" s="637" t="n"/>
      <c r="R231" s="637" t="n"/>
      <c r="S231" s="638" t="n"/>
      <c r="T231" s="41" t="inlineStr">
        <is>
          <t>кор</t>
        </is>
      </c>
      <c r="U231" s="668">
        <f>IFERROR(U227/H227,"0")+IFERROR(U228/H228,"0")+IFERROR(U229/H229,"0")+IFERROR(U230/H230,"0")</f>
        <v/>
      </c>
      <c r="V231" s="668">
        <f>IFERROR(V227/H227,"0")+IFERROR(V228/H228,"0")+IFERROR(V229/H229,"0")+IFERROR(V230/H230,"0")</f>
        <v/>
      </c>
      <c r="W231" s="668">
        <f>IFERROR(IF(W227="",0,W227),"0")+IFERROR(IF(W228="",0,W228),"0")+IFERROR(IF(W229="",0,W229),"0")+IFERROR(IF(W230="",0,W230),"0")</f>
        <v/>
      </c>
      <c r="X231" s="669" t="n"/>
      <c r="Y231" s="669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6" t="n"/>
      <c r="M232" s="667" t="inlineStr">
        <is>
          <t>Итого</t>
        </is>
      </c>
      <c r="N232" s="637" t="n"/>
      <c r="O232" s="637" t="n"/>
      <c r="P232" s="637" t="n"/>
      <c r="Q232" s="637" t="n"/>
      <c r="R232" s="637" t="n"/>
      <c r="S232" s="638" t="n"/>
      <c r="T232" s="41" t="inlineStr">
        <is>
          <t>кг</t>
        </is>
      </c>
      <c r="U232" s="668">
        <f>IFERROR(SUM(U227:U230),"0")</f>
        <v/>
      </c>
      <c r="V232" s="668">
        <f>IFERROR(SUM(V227:V230),"0")</f>
        <v/>
      </c>
      <c r="W232" s="41" t="n"/>
      <c r="X232" s="669" t="n"/>
      <c r="Y232" s="669" t="n"/>
    </row>
    <row r="233" ht="14.25" customHeight="1">
      <c r="A233" s="326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6" t="n"/>
      <c r="Y233" s="326" t="n"/>
    </row>
    <row r="234" ht="16.5" customHeight="1">
      <c r="A234" s="61" t="inlineStr">
        <is>
          <t>SU001920</t>
        </is>
      </c>
      <c r="B234" s="61" t="inlineStr">
        <is>
          <t>P001900</t>
        </is>
      </c>
      <c r="C234" s="35" t="n">
        <v>4301030232</v>
      </c>
      <c r="D234" s="310" t="n">
        <v>4607091388374</v>
      </c>
      <c r="E234" s="629" t="n"/>
      <c r="F234" s="661" t="n">
        <v>0.38</v>
      </c>
      <c r="G234" s="36" t="n">
        <v>8</v>
      </c>
      <c r="H234" s="661" t="n">
        <v>3.04</v>
      </c>
      <c r="I234" s="661" t="n">
        <v>3.28</v>
      </c>
      <c r="J234" s="36" t="n">
        <v>156</v>
      </c>
      <c r="K234" s="37" t="inlineStr">
        <is>
          <t>АК</t>
        </is>
      </c>
      <c r="L234" s="36" t="n">
        <v>180</v>
      </c>
      <c r="M234" s="799" t="inlineStr">
        <is>
          <t>С/к колбасы Княжеская Бордо Весовые б/о терм/п Стародворье</t>
        </is>
      </c>
      <c r="N234" s="663" t="n"/>
      <c r="O234" s="663" t="n"/>
      <c r="P234" s="663" t="n"/>
      <c r="Q234" s="629" t="n"/>
      <c r="R234" s="38" t="inlineStr"/>
      <c r="S234" s="38" t="inlineStr"/>
      <c r="T234" s="39" t="inlineStr">
        <is>
          <t>кг</t>
        </is>
      </c>
      <c r="U234" s="664" t="n">
        <v>0</v>
      </c>
      <c r="V234" s="665">
        <f>IFERROR(IF(U234="",0,CEILING((U234/$H234),1)*$H234),"")</f>
        <v/>
      </c>
      <c r="W234" s="40">
        <f>IFERROR(IF(V234=0,"",ROUNDUP(V234/H234,0)*0.00753),"")</f>
        <v/>
      </c>
      <c r="X234" s="66" t="inlineStr"/>
      <c r="Y234" s="67" t="inlineStr"/>
      <c r="AC234" s="68" t="n"/>
      <c r="AZ234" s="200" t="inlineStr">
        <is>
          <t>КИ</t>
        </is>
      </c>
    </row>
    <row r="235" ht="27" customHeight="1">
      <c r="A235" s="61" t="inlineStr">
        <is>
          <t>SU001921</t>
        </is>
      </c>
      <c r="B235" s="61" t="inlineStr">
        <is>
          <t>P001916</t>
        </is>
      </c>
      <c r="C235" s="35" t="n">
        <v>4301030235</v>
      </c>
      <c r="D235" s="310" t="n">
        <v>4607091388381</v>
      </c>
      <c r="E235" s="629" t="n"/>
      <c r="F235" s="661" t="n">
        <v>0.38</v>
      </c>
      <c r="G235" s="36" t="n">
        <v>8</v>
      </c>
      <c r="H235" s="661" t="n">
        <v>3.04</v>
      </c>
      <c r="I235" s="661" t="n">
        <v>3.32</v>
      </c>
      <c r="J235" s="36" t="n">
        <v>156</v>
      </c>
      <c r="K235" s="37" t="inlineStr">
        <is>
          <t>АК</t>
        </is>
      </c>
      <c r="L235" s="36" t="n">
        <v>180</v>
      </c>
      <c r="M235" s="800" t="inlineStr">
        <is>
          <t>С/к колбасы Салями Охотничья Бордо Весовые б/о терм/п 180 Стародворье</t>
        </is>
      </c>
      <c r="N235" s="663" t="n"/>
      <c r="O235" s="663" t="n"/>
      <c r="P235" s="663" t="n"/>
      <c r="Q235" s="629" t="n"/>
      <c r="R235" s="38" t="inlineStr"/>
      <c r="S235" s="38" t="inlineStr"/>
      <c r="T235" s="39" t="inlineStr">
        <is>
          <t>кг</t>
        </is>
      </c>
      <c r="U235" s="664" t="n">
        <v>0</v>
      </c>
      <c r="V235" s="665">
        <f>IFERROR(IF(U235="",0,CEILING((U235/$H235),1)*$H235),"")</f>
        <v/>
      </c>
      <c r="W235" s="40">
        <f>IFERROR(IF(V235=0,"",ROUNDUP(V235/H235,0)*0.00753),"")</f>
        <v/>
      </c>
      <c r="X235" s="66" t="inlineStr"/>
      <c r="Y235" s="67" t="inlineStr"/>
      <c r="AC235" s="68" t="n"/>
      <c r="AZ235" s="201" t="inlineStr">
        <is>
          <t>КИ</t>
        </is>
      </c>
    </row>
    <row r="236" ht="27" customHeight="1">
      <c r="A236" s="61" t="inlineStr">
        <is>
          <t>SU001869</t>
        </is>
      </c>
      <c r="B236" s="61" t="inlineStr">
        <is>
          <t>P001909</t>
        </is>
      </c>
      <c r="C236" s="35" t="n">
        <v>4301030233</v>
      </c>
      <c r="D236" s="310" t="n">
        <v>4607091388404</v>
      </c>
      <c r="E236" s="629" t="n"/>
      <c r="F236" s="661" t="n">
        <v>0.17</v>
      </c>
      <c r="G236" s="36" t="n">
        <v>15</v>
      </c>
      <c r="H236" s="661" t="n">
        <v>2.55</v>
      </c>
      <c r="I236" s="661" t="n">
        <v>2.9</v>
      </c>
      <c r="J236" s="36" t="n">
        <v>156</v>
      </c>
      <c r="K236" s="37" t="inlineStr">
        <is>
          <t>АК</t>
        </is>
      </c>
      <c r="L236" s="36" t="n">
        <v>180</v>
      </c>
      <c r="M236" s="8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3" t="n"/>
      <c r="O236" s="663" t="n"/>
      <c r="P236" s="663" t="n"/>
      <c r="Q236" s="629" t="n"/>
      <c r="R236" s="38" t="inlineStr"/>
      <c r="S236" s="38" t="inlineStr"/>
      <c r="T236" s="39" t="inlineStr">
        <is>
          <t>кг</t>
        </is>
      </c>
      <c r="U236" s="664" t="n">
        <v>0</v>
      </c>
      <c r="V236" s="665">
        <f>IFERROR(IF(U236="",0,CEILING((U236/$H236),1)*$H236),"")</f>
        <v/>
      </c>
      <c r="W236" s="40">
        <f>IFERROR(IF(V236=0,"",ROUNDUP(V236/H236,0)*0.00753),"")</f>
        <v/>
      </c>
      <c r="X236" s="66" t="inlineStr"/>
      <c r="Y236" s="67" t="inlineStr"/>
      <c r="AC236" s="68" t="n"/>
      <c r="AZ236" s="202" t="inlineStr">
        <is>
          <t>КИ</t>
        </is>
      </c>
    </row>
    <row r="237">
      <c r="A237" s="31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6" t="n"/>
      <c r="M237" s="667" t="inlineStr">
        <is>
          <t>Итого</t>
        </is>
      </c>
      <c r="N237" s="637" t="n"/>
      <c r="O237" s="637" t="n"/>
      <c r="P237" s="637" t="n"/>
      <c r="Q237" s="637" t="n"/>
      <c r="R237" s="637" t="n"/>
      <c r="S237" s="638" t="n"/>
      <c r="T237" s="41" t="inlineStr">
        <is>
          <t>кор</t>
        </is>
      </c>
      <c r="U237" s="668">
        <f>IFERROR(U234/H234,"0")+IFERROR(U235/H235,"0")+IFERROR(U236/H236,"0")</f>
        <v/>
      </c>
      <c r="V237" s="668">
        <f>IFERROR(V234/H234,"0")+IFERROR(V235/H235,"0")+IFERROR(V236/H236,"0")</f>
        <v/>
      </c>
      <c r="W237" s="668">
        <f>IFERROR(IF(W234="",0,W234),"0")+IFERROR(IF(W235="",0,W235),"0")+IFERROR(IF(W236="",0,W236),"0")</f>
        <v/>
      </c>
      <c r="X237" s="669" t="n"/>
      <c r="Y237" s="669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6" t="n"/>
      <c r="M238" s="667" t="inlineStr">
        <is>
          <t>Итого</t>
        </is>
      </c>
      <c r="N238" s="637" t="n"/>
      <c r="O238" s="637" t="n"/>
      <c r="P238" s="637" t="n"/>
      <c r="Q238" s="637" t="n"/>
      <c r="R238" s="637" t="n"/>
      <c r="S238" s="638" t="n"/>
      <c r="T238" s="41" t="inlineStr">
        <is>
          <t>кг</t>
        </is>
      </c>
      <c r="U238" s="668">
        <f>IFERROR(SUM(U234:U236),"0")</f>
        <v/>
      </c>
      <c r="V238" s="668">
        <f>IFERROR(SUM(V234:V236),"0")</f>
        <v/>
      </c>
      <c r="W238" s="41" t="n"/>
      <c r="X238" s="669" t="n"/>
      <c r="Y238" s="669" t="n"/>
    </row>
    <row r="239" ht="14.25" customHeight="1">
      <c r="A239" s="326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6" t="n"/>
      <c r="Y239" s="326" t="n"/>
    </row>
    <row r="240" ht="16.5" customHeight="1">
      <c r="A240" s="61" t="inlineStr">
        <is>
          <t>SU002841</t>
        </is>
      </c>
      <c r="B240" s="61" t="inlineStr">
        <is>
          <t>P003253</t>
        </is>
      </c>
      <c r="C240" s="35" t="n">
        <v>4301180007</v>
      </c>
      <c r="D240" s="310" t="n">
        <v>4680115881808</v>
      </c>
      <c r="E240" s="629" t="n"/>
      <c r="F240" s="661" t="n">
        <v>0.1</v>
      </c>
      <c r="G240" s="36" t="n">
        <v>20</v>
      </c>
      <c r="H240" s="661" t="n">
        <v>2</v>
      </c>
      <c r="I240" s="661" t="n">
        <v>2.24</v>
      </c>
      <c r="J240" s="36" t="n">
        <v>238</v>
      </c>
      <c r="K240" s="37" t="inlineStr">
        <is>
          <t>РК</t>
        </is>
      </c>
      <c r="L240" s="36" t="n">
        <v>730</v>
      </c>
      <c r="M240" s="8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3" t="n"/>
      <c r="O240" s="663" t="n"/>
      <c r="P240" s="663" t="n"/>
      <c r="Q240" s="629" t="n"/>
      <c r="R240" s="38" t="inlineStr"/>
      <c r="S240" s="38" t="inlineStr"/>
      <c r="T240" s="39" t="inlineStr">
        <is>
          <t>кг</t>
        </is>
      </c>
      <c r="U240" s="664" t="n">
        <v>0</v>
      </c>
      <c r="V240" s="665">
        <f>IFERROR(IF(U240="",0,CEILING((U240/$H240),1)*$H240),"")</f>
        <v/>
      </c>
      <c r="W240" s="40">
        <f>IFERROR(IF(V240=0,"",ROUNDUP(V240/H240,0)*0.00474),"")</f>
        <v/>
      </c>
      <c r="X240" s="66" t="inlineStr"/>
      <c r="Y240" s="67" t="inlineStr"/>
      <c r="AC240" s="68" t="n"/>
      <c r="AZ240" s="203" t="inlineStr">
        <is>
          <t>КИ</t>
        </is>
      </c>
    </row>
    <row r="241" ht="27" customHeight="1">
      <c r="A241" s="61" t="inlineStr">
        <is>
          <t>SU002840</t>
        </is>
      </c>
      <c r="B241" s="61" t="inlineStr">
        <is>
          <t>P003252</t>
        </is>
      </c>
      <c r="C241" s="35" t="n">
        <v>4301180006</v>
      </c>
      <c r="D241" s="310" t="n">
        <v>4680115881822</v>
      </c>
      <c r="E241" s="629" t="n"/>
      <c r="F241" s="661" t="n">
        <v>0.1</v>
      </c>
      <c r="G241" s="36" t="n">
        <v>20</v>
      </c>
      <c r="H241" s="661" t="n">
        <v>2</v>
      </c>
      <c r="I241" s="661" t="n">
        <v>2.24</v>
      </c>
      <c r="J241" s="36" t="n">
        <v>238</v>
      </c>
      <c r="K241" s="37" t="inlineStr">
        <is>
          <t>РК</t>
        </is>
      </c>
      <c r="L241" s="36" t="n">
        <v>730</v>
      </c>
      <c r="M241" s="8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3" t="n"/>
      <c r="O241" s="663" t="n"/>
      <c r="P241" s="663" t="n"/>
      <c r="Q241" s="629" t="n"/>
      <c r="R241" s="38" t="inlineStr"/>
      <c r="S241" s="38" t="inlineStr"/>
      <c r="T241" s="39" t="inlineStr">
        <is>
          <t>кг</t>
        </is>
      </c>
      <c r="U241" s="664" t="n">
        <v>0</v>
      </c>
      <c r="V241" s="665">
        <f>IFERROR(IF(U241="",0,CEILING((U241/$H241),1)*$H241),"")</f>
        <v/>
      </c>
      <c r="W241" s="40">
        <f>IFERROR(IF(V241=0,"",ROUNDUP(V241/H241,0)*0.00474),"")</f>
        <v/>
      </c>
      <c r="X241" s="66" t="inlineStr"/>
      <c r="Y241" s="67" t="inlineStr"/>
      <c r="AC241" s="68" t="n"/>
      <c r="AZ241" s="204" t="inlineStr">
        <is>
          <t>КИ</t>
        </is>
      </c>
    </row>
    <row r="242" ht="27" customHeight="1">
      <c r="A242" s="61" t="inlineStr">
        <is>
          <t>SU002368</t>
        </is>
      </c>
      <c r="B242" s="61" t="inlineStr">
        <is>
          <t>P002648</t>
        </is>
      </c>
      <c r="C242" s="35" t="n">
        <v>4301180001</v>
      </c>
      <c r="D242" s="310" t="n">
        <v>4680115880016</v>
      </c>
      <c r="E242" s="629" t="n"/>
      <c r="F242" s="661" t="n">
        <v>0.1</v>
      </c>
      <c r="G242" s="36" t="n">
        <v>20</v>
      </c>
      <c r="H242" s="661" t="n">
        <v>2</v>
      </c>
      <c r="I242" s="661" t="n">
        <v>2.24</v>
      </c>
      <c r="J242" s="36" t="n">
        <v>238</v>
      </c>
      <c r="K242" s="37" t="inlineStr">
        <is>
          <t>РК</t>
        </is>
      </c>
      <c r="L242" s="36" t="n">
        <v>730</v>
      </c>
      <c r="M242" s="8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3" t="n"/>
      <c r="O242" s="663" t="n"/>
      <c r="P242" s="663" t="n"/>
      <c r="Q242" s="629" t="n"/>
      <c r="R242" s="38" t="inlineStr"/>
      <c r="S242" s="38" t="inlineStr"/>
      <c r="T242" s="39" t="inlineStr">
        <is>
          <t>кг</t>
        </is>
      </c>
      <c r="U242" s="664" t="n">
        <v>0</v>
      </c>
      <c r="V242" s="665">
        <f>IFERROR(IF(U242="",0,CEILING((U242/$H242),1)*$H242),"")</f>
        <v/>
      </c>
      <c r="W242" s="40">
        <f>IFERROR(IF(V242=0,"",ROUNDUP(V242/H242,0)*0.00474),"")</f>
        <v/>
      </c>
      <c r="X242" s="66" t="inlineStr"/>
      <c r="Y242" s="67" t="inlineStr"/>
      <c r="AC242" s="68" t="n"/>
      <c r="AZ242" s="205" t="inlineStr">
        <is>
          <t>КИ</t>
        </is>
      </c>
    </row>
    <row r="243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6" t="n"/>
      <c r="M243" s="667" t="inlineStr">
        <is>
          <t>Итого</t>
        </is>
      </c>
      <c r="N243" s="637" t="n"/>
      <c r="O243" s="637" t="n"/>
      <c r="P243" s="637" t="n"/>
      <c r="Q243" s="637" t="n"/>
      <c r="R243" s="637" t="n"/>
      <c r="S243" s="638" t="n"/>
      <c r="T243" s="41" t="inlineStr">
        <is>
          <t>кор</t>
        </is>
      </c>
      <c r="U243" s="668">
        <f>IFERROR(U240/H240,"0")+IFERROR(U241/H241,"0")+IFERROR(U242/H242,"0")</f>
        <v/>
      </c>
      <c r="V243" s="668">
        <f>IFERROR(V240/H240,"0")+IFERROR(V241/H241,"0")+IFERROR(V242/H242,"0")</f>
        <v/>
      </c>
      <c r="W243" s="668">
        <f>IFERROR(IF(W240="",0,W240),"0")+IFERROR(IF(W241="",0,W241),"0")+IFERROR(IF(W242="",0,W242),"0")</f>
        <v/>
      </c>
      <c r="X243" s="669" t="n"/>
      <c r="Y243" s="6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6" t="n"/>
      <c r="M244" s="667" t="inlineStr">
        <is>
          <t>Итого</t>
        </is>
      </c>
      <c r="N244" s="637" t="n"/>
      <c r="O244" s="637" t="n"/>
      <c r="P244" s="637" t="n"/>
      <c r="Q244" s="637" t="n"/>
      <c r="R244" s="637" t="n"/>
      <c r="S244" s="638" t="n"/>
      <c r="T244" s="41" t="inlineStr">
        <is>
          <t>кг</t>
        </is>
      </c>
      <c r="U244" s="668">
        <f>IFERROR(SUM(U240:U242),"0")</f>
        <v/>
      </c>
      <c r="V244" s="668">
        <f>IFERROR(SUM(V240:V242),"0")</f>
        <v/>
      </c>
      <c r="W244" s="41" t="n"/>
      <c r="X244" s="669" t="n"/>
      <c r="Y244" s="669" t="n"/>
    </row>
    <row r="245" ht="16.5" customHeight="1">
      <c r="A245" s="325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5" t="n"/>
      <c r="Y245" s="325" t="n"/>
    </row>
    <row r="246" ht="14.25" customHeight="1">
      <c r="A246" s="326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6" t="n"/>
      <c r="Y246" s="326" t="n"/>
    </row>
    <row r="247" ht="27" customHeight="1">
      <c r="A247" s="61" t="inlineStr">
        <is>
          <t>SU001793</t>
        </is>
      </c>
      <c r="B247" s="61" t="inlineStr">
        <is>
          <t>P001793</t>
        </is>
      </c>
      <c r="C247" s="35" t="n">
        <v>4301011315</v>
      </c>
      <c r="D247" s="310" t="n">
        <v>4607091387421</v>
      </c>
      <c r="E247" s="629" t="n"/>
      <c r="F247" s="661" t="n">
        <v>1.35</v>
      </c>
      <c r="G247" s="36" t="n">
        <v>8</v>
      </c>
      <c r="H247" s="661" t="n">
        <v>10.8</v>
      </c>
      <c r="I247" s="661" t="n">
        <v>11.28</v>
      </c>
      <c r="J247" s="36" t="n">
        <v>56</v>
      </c>
      <c r="K247" s="37" t="inlineStr">
        <is>
          <t>СК1</t>
        </is>
      </c>
      <c r="L247" s="36" t="n">
        <v>55</v>
      </c>
      <c r="M247" s="8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3" t="n"/>
      <c r="O247" s="663" t="n"/>
      <c r="P247" s="663" t="n"/>
      <c r="Q247" s="629" t="n"/>
      <c r="R247" s="38" t="inlineStr"/>
      <c r="S247" s="38" t="inlineStr"/>
      <c r="T247" s="39" t="inlineStr">
        <is>
          <t>кг</t>
        </is>
      </c>
      <c r="U247" s="664" t="n">
        <v>0</v>
      </c>
      <c r="V247" s="665">
        <f>IFERROR(IF(U247="",0,CEILING((U247/$H247),1)*$H247),"")</f>
        <v/>
      </c>
      <c r="W247" s="40">
        <f>IFERROR(IF(V247=0,"",ROUNDUP(V247/H247,0)*0.02175),"")</f>
        <v/>
      </c>
      <c r="X247" s="66" t="inlineStr"/>
      <c r="Y247" s="67" t="inlineStr"/>
      <c r="AC247" s="68" t="n"/>
      <c r="AZ247" s="206" t="inlineStr">
        <is>
          <t>КИ</t>
        </is>
      </c>
    </row>
    <row r="248" ht="27" customHeight="1">
      <c r="A248" s="61" t="inlineStr">
        <is>
          <t>SU001793</t>
        </is>
      </c>
      <c r="B248" s="61" t="inlineStr">
        <is>
          <t>P002227</t>
        </is>
      </c>
      <c r="C248" s="35" t="n">
        <v>4301011121</v>
      </c>
      <c r="D248" s="310" t="n">
        <v>4607091387421</v>
      </c>
      <c r="E248" s="629" t="n"/>
      <c r="F248" s="661" t="n">
        <v>1.35</v>
      </c>
      <c r="G248" s="36" t="n">
        <v>8</v>
      </c>
      <c r="H248" s="661" t="n">
        <v>10.8</v>
      </c>
      <c r="I248" s="661" t="n">
        <v>11.28</v>
      </c>
      <c r="J248" s="36" t="n">
        <v>48</v>
      </c>
      <c r="K248" s="37" t="inlineStr">
        <is>
          <t>ВЗ</t>
        </is>
      </c>
      <c r="L248" s="36" t="n">
        <v>55</v>
      </c>
      <c r="M248" s="8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3" t="n"/>
      <c r="O248" s="663" t="n"/>
      <c r="P248" s="663" t="n"/>
      <c r="Q248" s="629" t="n"/>
      <c r="R248" s="38" t="inlineStr"/>
      <c r="S248" s="38" t="inlineStr"/>
      <c r="T248" s="39" t="inlineStr">
        <is>
          <t>кг</t>
        </is>
      </c>
      <c r="U248" s="664" t="n">
        <v>0</v>
      </c>
      <c r="V248" s="665">
        <f>IFERROR(IF(U248="",0,CEILING((U248/$H248),1)*$H248),"")</f>
        <v/>
      </c>
      <c r="W248" s="40">
        <f>IFERROR(IF(V248=0,"",ROUNDUP(V248/H248,0)*0.02039),"")</f>
        <v/>
      </c>
      <c r="X248" s="66" t="inlineStr"/>
      <c r="Y248" s="67" t="inlineStr"/>
      <c r="AC248" s="68" t="n"/>
      <c r="AZ248" s="207" t="inlineStr">
        <is>
          <t>КИ</t>
        </is>
      </c>
    </row>
    <row r="249" ht="27" customHeight="1">
      <c r="A249" s="61" t="inlineStr">
        <is>
          <t>SU001799</t>
        </is>
      </c>
      <c r="B249" s="61" t="inlineStr">
        <is>
          <t>P003076</t>
        </is>
      </c>
      <c r="C249" s="35" t="n">
        <v>4301011396</v>
      </c>
      <c r="D249" s="310" t="n">
        <v>4607091387452</v>
      </c>
      <c r="E249" s="629" t="n"/>
      <c r="F249" s="661" t="n">
        <v>1.35</v>
      </c>
      <c r="G249" s="36" t="n">
        <v>8</v>
      </c>
      <c r="H249" s="661" t="n">
        <v>10.8</v>
      </c>
      <c r="I249" s="661" t="n">
        <v>11.28</v>
      </c>
      <c r="J249" s="36" t="n">
        <v>48</v>
      </c>
      <c r="K249" s="37" t="inlineStr">
        <is>
          <t>ВЗ</t>
        </is>
      </c>
      <c r="L249" s="36" t="n">
        <v>55</v>
      </c>
      <c r="M249" s="8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3" t="n"/>
      <c r="O249" s="663" t="n"/>
      <c r="P249" s="663" t="n"/>
      <c r="Q249" s="629" t="n"/>
      <c r="R249" s="38" t="inlineStr"/>
      <c r="S249" s="38" t="inlineStr"/>
      <c r="T249" s="39" t="inlineStr">
        <is>
          <t>кг</t>
        </is>
      </c>
      <c r="U249" s="664" t="n">
        <v>0</v>
      </c>
      <c r="V249" s="665">
        <f>IFERROR(IF(U249="",0,CEILING((U249/$H249),1)*$H249),"")</f>
        <v/>
      </c>
      <c r="W249" s="40">
        <f>IFERROR(IF(V249=0,"",ROUNDUP(V249/H249,0)*0.02039),"")</f>
        <v/>
      </c>
      <c r="X249" s="66" t="inlineStr"/>
      <c r="Y249" s="67" t="inlineStr"/>
      <c r="AC249" s="68" t="n"/>
      <c r="AZ249" s="208" t="inlineStr">
        <is>
          <t>КИ</t>
        </is>
      </c>
    </row>
    <row r="250" ht="27" customHeight="1">
      <c r="A250" s="61" t="inlineStr">
        <is>
          <t>SU001799</t>
        </is>
      </c>
      <c r="B250" s="61" t="inlineStr">
        <is>
          <t>P003673</t>
        </is>
      </c>
      <c r="C250" s="35" t="n">
        <v>4301011619</v>
      </c>
      <c r="D250" s="310" t="n">
        <v>4607091387452</v>
      </c>
      <c r="E250" s="629" t="n"/>
      <c r="F250" s="661" t="n">
        <v>1.45</v>
      </c>
      <c r="G250" s="36" t="n">
        <v>8</v>
      </c>
      <c r="H250" s="661" t="n">
        <v>11.6</v>
      </c>
      <c r="I250" s="661" t="n">
        <v>12.08</v>
      </c>
      <c r="J250" s="36" t="n">
        <v>56</v>
      </c>
      <c r="K250" s="37" t="inlineStr">
        <is>
          <t>СК1</t>
        </is>
      </c>
      <c r="L250" s="36" t="n">
        <v>55</v>
      </c>
      <c r="M250" s="808" t="inlineStr">
        <is>
          <t>Вареные колбасы Молочная По-стародворски Фирменная Весовые П/а Стародворье</t>
        </is>
      </c>
      <c r="N250" s="663" t="n"/>
      <c r="O250" s="663" t="n"/>
      <c r="P250" s="663" t="n"/>
      <c r="Q250" s="629" t="n"/>
      <c r="R250" s="38" t="inlineStr"/>
      <c r="S250" s="38" t="inlineStr"/>
      <c r="T250" s="39" t="inlineStr">
        <is>
          <t>кг</t>
        </is>
      </c>
      <c r="U250" s="664" t="n">
        <v>0</v>
      </c>
      <c r="V250" s="665">
        <f>IFERROR(IF(U250="",0,CEILING((U250/$H250),1)*$H250),"")</f>
        <v/>
      </c>
      <c r="W250" s="40">
        <f>IFERROR(IF(V250=0,"",ROUNDUP(V250/H250,0)*0.02175),"")</f>
        <v/>
      </c>
      <c r="X250" s="66" t="inlineStr"/>
      <c r="Y250" s="67" t="inlineStr"/>
      <c r="AC250" s="68" t="n"/>
      <c r="AZ250" s="209" t="inlineStr">
        <is>
          <t>КИ</t>
        </is>
      </c>
    </row>
    <row r="251" ht="27" customHeight="1">
      <c r="A251" s="61" t="inlineStr">
        <is>
          <t>SU001792</t>
        </is>
      </c>
      <c r="B251" s="61" t="inlineStr">
        <is>
          <t>P001792</t>
        </is>
      </c>
      <c r="C251" s="35" t="n">
        <v>4301011313</v>
      </c>
      <c r="D251" s="310" t="n">
        <v>4607091385984</v>
      </c>
      <c r="E251" s="629" t="n"/>
      <c r="F251" s="661" t="n">
        <v>1.35</v>
      </c>
      <c r="G251" s="36" t="n">
        <v>8</v>
      </c>
      <c r="H251" s="661" t="n">
        <v>10.8</v>
      </c>
      <c r="I251" s="661" t="n">
        <v>11.28</v>
      </c>
      <c r="J251" s="36" t="n">
        <v>56</v>
      </c>
      <c r="K251" s="37" t="inlineStr">
        <is>
          <t>СК1</t>
        </is>
      </c>
      <c r="L251" s="36" t="n">
        <v>55</v>
      </c>
      <c r="M251" s="80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3" t="n"/>
      <c r="O251" s="663" t="n"/>
      <c r="P251" s="663" t="n"/>
      <c r="Q251" s="629" t="n"/>
      <c r="R251" s="38" t="inlineStr"/>
      <c r="S251" s="38" t="inlineStr"/>
      <c r="T251" s="39" t="inlineStr">
        <is>
          <t>кг</t>
        </is>
      </c>
      <c r="U251" s="664" t="n">
        <v>0</v>
      </c>
      <c r="V251" s="665">
        <f>IFERROR(IF(U251="",0,CEILING((U251/$H251),1)*$H251),"")</f>
        <v/>
      </c>
      <c r="W251" s="40">
        <f>IFERROR(IF(V251=0,"",ROUNDUP(V251/H251,0)*0.02175),"")</f>
        <v/>
      </c>
      <c r="X251" s="66" t="inlineStr"/>
      <c r="Y251" s="67" t="inlineStr"/>
      <c r="AC251" s="68" t="n"/>
      <c r="AZ251" s="210" t="inlineStr">
        <is>
          <t>КИ</t>
        </is>
      </c>
    </row>
    <row r="252" ht="27" customHeight="1">
      <c r="A252" s="61" t="inlineStr">
        <is>
          <t>SU001794</t>
        </is>
      </c>
      <c r="B252" s="61" t="inlineStr">
        <is>
          <t>P001794</t>
        </is>
      </c>
      <c r="C252" s="35" t="n">
        <v>4301011316</v>
      </c>
      <c r="D252" s="310" t="n">
        <v>4607091387438</v>
      </c>
      <c r="E252" s="629" t="n"/>
      <c r="F252" s="661" t="n">
        <v>0.5</v>
      </c>
      <c r="G252" s="36" t="n">
        <v>10</v>
      </c>
      <c r="H252" s="661" t="n">
        <v>5</v>
      </c>
      <c r="I252" s="661" t="n">
        <v>5.24</v>
      </c>
      <c r="J252" s="36" t="n">
        <v>120</v>
      </c>
      <c r="K252" s="37" t="inlineStr">
        <is>
          <t>СК1</t>
        </is>
      </c>
      <c r="L252" s="36" t="n">
        <v>55</v>
      </c>
      <c r="M252" s="81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3" t="n"/>
      <c r="O252" s="663" t="n"/>
      <c r="P252" s="663" t="n"/>
      <c r="Q252" s="629" t="n"/>
      <c r="R252" s="38" t="inlineStr"/>
      <c r="S252" s="38" t="inlineStr"/>
      <c r="T252" s="39" t="inlineStr">
        <is>
          <t>кг</t>
        </is>
      </c>
      <c r="U252" s="664" t="n">
        <v>0</v>
      </c>
      <c r="V252" s="665">
        <f>IFERROR(IF(U252="",0,CEILING((U252/$H252),1)*$H252),"")</f>
        <v/>
      </c>
      <c r="W252" s="40">
        <f>IFERROR(IF(V252=0,"",ROUNDUP(V252/H252,0)*0.00937),"")</f>
        <v/>
      </c>
      <c r="X252" s="66" t="inlineStr"/>
      <c r="Y252" s="67" t="inlineStr"/>
      <c r="AC252" s="68" t="n"/>
      <c r="AZ252" s="211" t="inlineStr">
        <is>
          <t>КИ</t>
        </is>
      </c>
    </row>
    <row r="253" ht="27" customHeight="1">
      <c r="A253" s="61" t="inlineStr">
        <is>
          <t>SU001795</t>
        </is>
      </c>
      <c r="B253" s="61" t="inlineStr">
        <is>
          <t>P001795</t>
        </is>
      </c>
      <c r="C253" s="35" t="n">
        <v>4301011318</v>
      </c>
      <c r="D253" s="310" t="n">
        <v>4607091387469</v>
      </c>
      <c r="E253" s="629" t="n"/>
      <c r="F253" s="661" t="n">
        <v>0.5</v>
      </c>
      <c r="G253" s="36" t="n">
        <v>10</v>
      </c>
      <c r="H253" s="661" t="n">
        <v>5</v>
      </c>
      <c r="I253" s="661" t="n">
        <v>5.21</v>
      </c>
      <c r="J253" s="36" t="n">
        <v>120</v>
      </c>
      <c r="K253" s="37" t="inlineStr">
        <is>
          <t>СК2</t>
        </is>
      </c>
      <c r="L253" s="36" t="n">
        <v>55</v>
      </c>
      <c r="M253" s="81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3" t="n"/>
      <c r="O253" s="663" t="n"/>
      <c r="P253" s="663" t="n"/>
      <c r="Q253" s="629" t="n"/>
      <c r="R253" s="38" t="inlineStr"/>
      <c r="S253" s="38" t="inlineStr"/>
      <c r="T253" s="39" t="inlineStr">
        <is>
          <t>кг</t>
        </is>
      </c>
      <c r="U253" s="664" t="n">
        <v>0</v>
      </c>
      <c r="V253" s="665">
        <f>IFERROR(IF(U253="",0,CEILING((U253/$H253),1)*$H253),"")</f>
        <v/>
      </c>
      <c r="W253" s="40">
        <f>IFERROR(IF(V253=0,"",ROUNDUP(V253/H253,0)*0.00937),"")</f>
        <v/>
      </c>
      <c r="X253" s="66" t="inlineStr"/>
      <c r="Y253" s="67" t="inlineStr"/>
      <c r="AC253" s="68" t="n"/>
      <c r="AZ253" s="212" t="inlineStr">
        <is>
          <t>КИ</t>
        </is>
      </c>
    </row>
    <row r="254">
      <c r="A254" s="318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6" t="n"/>
      <c r="M254" s="667" t="inlineStr">
        <is>
          <t>Итого</t>
        </is>
      </c>
      <c r="N254" s="637" t="n"/>
      <c r="O254" s="637" t="n"/>
      <c r="P254" s="637" t="n"/>
      <c r="Q254" s="637" t="n"/>
      <c r="R254" s="637" t="n"/>
      <c r="S254" s="638" t="n"/>
      <c r="T254" s="41" t="inlineStr">
        <is>
          <t>кор</t>
        </is>
      </c>
      <c r="U254" s="668">
        <f>IFERROR(U247/H247,"0")+IFERROR(U248/H248,"0")+IFERROR(U249/H249,"0")+IFERROR(U250/H250,"0")+IFERROR(U251/H251,"0")+IFERROR(U252/H252,"0")+IFERROR(U253/H253,"0")</f>
        <v/>
      </c>
      <c r="V254" s="668">
        <f>IFERROR(V247/H247,"0")+IFERROR(V248/H248,"0")+IFERROR(V249/H249,"0")+IFERROR(V250/H250,"0")+IFERROR(V251/H251,"0")+IFERROR(V252/H252,"0")+IFERROR(V253/H253,"0")</f>
        <v/>
      </c>
      <c r="W254" s="668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69" t="n"/>
      <c r="Y254" s="669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6" t="n"/>
      <c r="M255" s="667" t="inlineStr">
        <is>
          <t>Итого</t>
        </is>
      </c>
      <c r="N255" s="637" t="n"/>
      <c r="O255" s="637" t="n"/>
      <c r="P255" s="637" t="n"/>
      <c r="Q255" s="637" t="n"/>
      <c r="R255" s="637" t="n"/>
      <c r="S255" s="638" t="n"/>
      <c r="T255" s="41" t="inlineStr">
        <is>
          <t>кг</t>
        </is>
      </c>
      <c r="U255" s="668">
        <f>IFERROR(SUM(U247:U253),"0")</f>
        <v/>
      </c>
      <c r="V255" s="668">
        <f>IFERROR(SUM(V247:V253),"0")</f>
        <v/>
      </c>
      <c r="W255" s="41" t="n"/>
      <c r="X255" s="669" t="n"/>
      <c r="Y255" s="669" t="n"/>
    </row>
    <row r="256" ht="14.25" customHeight="1">
      <c r="A256" s="326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6" t="n"/>
      <c r="Y256" s="326" t="n"/>
    </row>
    <row r="257" ht="27" customHeight="1">
      <c r="A257" s="61" t="inlineStr">
        <is>
          <t>SU001801</t>
        </is>
      </c>
      <c r="B257" s="61" t="inlineStr">
        <is>
          <t>P003014</t>
        </is>
      </c>
      <c r="C257" s="35" t="n">
        <v>4301031154</v>
      </c>
      <c r="D257" s="310" t="n">
        <v>4607091387292</v>
      </c>
      <c r="E257" s="629" t="n"/>
      <c r="F257" s="661" t="n">
        <v>0.73</v>
      </c>
      <c r="G257" s="36" t="n">
        <v>6</v>
      </c>
      <c r="H257" s="661" t="n">
        <v>4.38</v>
      </c>
      <c r="I257" s="661" t="n">
        <v>4.64</v>
      </c>
      <c r="J257" s="36" t="n">
        <v>156</v>
      </c>
      <c r="K257" s="37" t="inlineStr">
        <is>
          <t>СК2</t>
        </is>
      </c>
      <c r="L257" s="36" t="n">
        <v>45</v>
      </c>
      <c r="M257" s="8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3" t="n"/>
      <c r="O257" s="663" t="n"/>
      <c r="P257" s="663" t="n"/>
      <c r="Q257" s="629" t="n"/>
      <c r="R257" s="38" t="inlineStr"/>
      <c r="S257" s="38" t="inlineStr"/>
      <c r="T257" s="39" t="inlineStr">
        <is>
          <t>кг</t>
        </is>
      </c>
      <c r="U257" s="664" t="n">
        <v>0</v>
      </c>
      <c r="V257" s="665">
        <f>IFERROR(IF(U257="",0,CEILING((U257/$H257),1)*$H257),"")</f>
        <v/>
      </c>
      <c r="W257" s="40">
        <f>IFERROR(IF(V257=0,"",ROUNDUP(V257/H257,0)*0.00753),"")</f>
        <v/>
      </c>
      <c r="X257" s="66" t="inlineStr"/>
      <c r="Y257" s="67" t="inlineStr"/>
      <c r="AC257" s="68" t="n"/>
      <c r="AZ257" s="213" t="inlineStr">
        <is>
          <t>КИ</t>
        </is>
      </c>
    </row>
    <row r="258" ht="27" customHeight="1">
      <c r="A258" s="61" t="inlineStr">
        <is>
          <t>SU000231</t>
        </is>
      </c>
      <c r="B258" s="61" t="inlineStr">
        <is>
          <t>P003015</t>
        </is>
      </c>
      <c r="C258" s="35" t="n">
        <v>4301031155</v>
      </c>
      <c r="D258" s="310" t="n">
        <v>4607091387315</v>
      </c>
      <c r="E258" s="629" t="n"/>
      <c r="F258" s="661" t="n">
        <v>0.7</v>
      </c>
      <c r="G258" s="36" t="n">
        <v>4</v>
      </c>
      <c r="H258" s="661" t="n">
        <v>2.8</v>
      </c>
      <c r="I258" s="661" t="n">
        <v>3.048</v>
      </c>
      <c r="J258" s="36" t="n">
        <v>156</v>
      </c>
      <c r="K258" s="37" t="inlineStr">
        <is>
          <t>СК2</t>
        </is>
      </c>
      <c r="L258" s="36" t="n">
        <v>45</v>
      </c>
      <c r="M258" s="81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3" t="n"/>
      <c r="O258" s="663" t="n"/>
      <c r="P258" s="663" t="n"/>
      <c r="Q258" s="629" t="n"/>
      <c r="R258" s="38" t="inlineStr"/>
      <c r="S258" s="38" t="inlineStr"/>
      <c r="T258" s="39" t="inlineStr">
        <is>
          <t>кг</t>
        </is>
      </c>
      <c r="U258" s="664" t="n">
        <v>0</v>
      </c>
      <c r="V258" s="665">
        <f>IFERROR(IF(U258="",0,CEILING((U258/$H258),1)*$H258),"")</f>
        <v/>
      </c>
      <c r="W258" s="40">
        <f>IFERROR(IF(V258=0,"",ROUNDUP(V258/H258,0)*0.00753),"")</f>
        <v/>
      </c>
      <c r="X258" s="66" t="inlineStr"/>
      <c r="Y258" s="67" t="inlineStr"/>
      <c r="AC258" s="68" t="n"/>
      <c r="AZ258" s="214" t="inlineStr">
        <is>
          <t>КИ</t>
        </is>
      </c>
    </row>
    <row r="259">
      <c r="A259" s="318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6" t="n"/>
      <c r="M259" s="667" t="inlineStr">
        <is>
          <t>Итого</t>
        </is>
      </c>
      <c r="N259" s="637" t="n"/>
      <c r="O259" s="637" t="n"/>
      <c r="P259" s="637" t="n"/>
      <c r="Q259" s="637" t="n"/>
      <c r="R259" s="637" t="n"/>
      <c r="S259" s="638" t="n"/>
      <c r="T259" s="41" t="inlineStr">
        <is>
          <t>кор</t>
        </is>
      </c>
      <c r="U259" s="668">
        <f>IFERROR(U257/H257,"0")+IFERROR(U258/H258,"0")</f>
        <v/>
      </c>
      <c r="V259" s="668">
        <f>IFERROR(V257/H257,"0")+IFERROR(V258/H258,"0")</f>
        <v/>
      </c>
      <c r="W259" s="668">
        <f>IFERROR(IF(W257="",0,W257),"0")+IFERROR(IF(W258="",0,W258),"0")</f>
        <v/>
      </c>
      <c r="X259" s="669" t="n"/>
      <c r="Y259" s="66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6" t="n"/>
      <c r="M260" s="667" t="inlineStr">
        <is>
          <t>Итого</t>
        </is>
      </c>
      <c r="N260" s="637" t="n"/>
      <c r="O260" s="637" t="n"/>
      <c r="P260" s="637" t="n"/>
      <c r="Q260" s="637" t="n"/>
      <c r="R260" s="637" t="n"/>
      <c r="S260" s="638" t="n"/>
      <c r="T260" s="41" t="inlineStr">
        <is>
          <t>кг</t>
        </is>
      </c>
      <c r="U260" s="668">
        <f>IFERROR(SUM(U257:U258),"0")</f>
        <v/>
      </c>
      <c r="V260" s="668">
        <f>IFERROR(SUM(V257:V258),"0")</f>
        <v/>
      </c>
      <c r="W260" s="41" t="n"/>
      <c r="X260" s="669" t="n"/>
      <c r="Y260" s="669" t="n"/>
    </row>
    <row r="261" ht="16.5" customHeight="1">
      <c r="A261" s="325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5" t="n"/>
      <c r="Y261" s="325" t="n"/>
    </row>
    <row r="262" ht="14.25" customHeight="1">
      <c r="A262" s="326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6" t="n"/>
      <c r="Y262" s="326" t="n"/>
    </row>
    <row r="263" ht="27" customHeight="1">
      <c r="A263" s="61" t="inlineStr">
        <is>
          <t>SU002252</t>
        </is>
      </c>
      <c r="B263" s="61" t="inlineStr">
        <is>
          <t>P002461</t>
        </is>
      </c>
      <c r="C263" s="35" t="n">
        <v>4301031066</v>
      </c>
      <c r="D263" s="310" t="n">
        <v>4607091383836</v>
      </c>
      <c r="E263" s="629" t="n"/>
      <c r="F263" s="661" t="n">
        <v>0.3</v>
      </c>
      <c r="G263" s="36" t="n">
        <v>6</v>
      </c>
      <c r="H263" s="661" t="n">
        <v>1.8</v>
      </c>
      <c r="I263" s="661" t="n">
        <v>2.048</v>
      </c>
      <c r="J263" s="36" t="n">
        <v>156</v>
      </c>
      <c r="K263" s="37" t="inlineStr">
        <is>
          <t>СК2</t>
        </is>
      </c>
      <c r="L263" s="36" t="n">
        <v>40</v>
      </c>
      <c r="M263" s="81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3" t="n"/>
      <c r="O263" s="663" t="n"/>
      <c r="P263" s="663" t="n"/>
      <c r="Q263" s="629" t="n"/>
      <c r="R263" s="38" t="inlineStr"/>
      <c r="S263" s="38" t="inlineStr"/>
      <c r="T263" s="39" t="inlineStr">
        <is>
          <t>кг</t>
        </is>
      </c>
      <c r="U263" s="664" t="n">
        <v>0</v>
      </c>
      <c r="V263" s="665">
        <f>IFERROR(IF(U263="",0,CEILING((U263/$H263),1)*$H263),"")</f>
        <v/>
      </c>
      <c r="W263" s="40">
        <f>IFERROR(IF(V263=0,"",ROUNDUP(V263/H263,0)*0.00753),"")</f>
        <v/>
      </c>
      <c r="X263" s="66" t="inlineStr"/>
      <c r="Y263" s="67" t="inlineStr"/>
      <c r="AC263" s="68" t="n"/>
      <c r="AZ263" s="215" t="inlineStr">
        <is>
          <t>КИ</t>
        </is>
      </c>
    </row>
    <row r="264">
      <c r="A264" s="318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6" t="n"/>
      <c r="M264" s="667" t="inlineStr">
        <is>
          <t>Итого</t>
        </is>
      </c>
      <c r="N264" s="637" t="n"/>
      <c r="O264" s="637" t="n"/>
      <c r="P264" s="637" t="n"/>
      <c r="Q264" s="637" t="n"/>
      <c r="R264" s="637" t="n"/>
      <c r="S264" s="638" t="n"/>
      <c r="T264" s="41" t="inlineStr">
        <is>
          <t>кор</t>
        </is>
      </c>
      <c r="U264" s="668">
        <f>IFERROR(U263/H263,"0")</f>
        <v/>
      </c>
      <c r="V264" s="668">
        <f>IFERROR(V263/H263,"0")</f>
        <v/>
      </c>
      <c r="W264" s="668">
        <f>IFERROR(IF(W263="",0,W263),"0")</f>
        <v/>
      </c>
      <c r="X264" s="669" t="n"/>
      <c r="Y264" s="66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6" t="n"/>
      <c r="M265" s="667" t="inlineStr">
        <is>
          <t>Итого</t>
        </is>
      </c>
      <c r="N265" s="637" t="n"/>
      <c r="O265" s="637" t="n"/>
      <c r="P265" s="637" t="n"/>
      <c r="Q265" s="637" t="n"/>
      <c r="R265" s="637" t="n"/>
      <c r="S265" s="638" t="n"/>
      <c r="T265" s="41" t="inlineStr">
        <is>
          <t>кг</t>
        </is>
      </c>
      <c r="U265" s="668">
        <f>IFERROR(SUM(U263:U263),"0")</f>
        <v/>
      </c>
      <c r="V265" s="668">
        <f>IFERROR(SUM(V263:V263),"0")</f>
        <v/>
      </c>
      <c r="W265" s="41" t="n"/>
      <c r="X265" s="669" t="n"/>
      <c r="Y265" s="669" t="n"/>
    </row>
    <row r="266" ht="14.25" customHeight="1">
      <c r="A266" s="326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6" t="n"/>
      <c r="Y266" s="326" t="n"/>
    </row>
    <row r="267" ht="27" customHeight="1">
      <c r="A267" s="61" t="inlineStr">
        <is>
          <t>SU001835</t>
        </is>
      </c>
      <c r="B267" s="61" t="inlineStr">
        <is>
          <t>P002202</t>
        </is>
      </c>
      <c r="C267" s="35" t="n">
        <v>4301051142</v>
      </c>
      <c r="D267" s="310" t="n">
        <v>4607091387919</v>
      </c>
      <c r="E267" s="629" t="n"/>
      <c r="F267" s="661" t="n">
        <v>1.35</v>
      </c>
      <c r="G267" s="36" t="n">
        <v>6</v>
      </c>
      <c r="H267" s="661" t="n">
        <v>8.1</v>
      </c>
      <c r="I267" s="661" t="n">
        <v>8.664</v>
      </c>
      <c r="J267" s="36" t="n">
        <v>56</v>
      </c>
      <c r="K267" s="37" t="inlineStr">
        <is>
          <t>СК2</t>
        </is>
      </c>
      <c r="L267" s="36" t="n">
        <v>45</v>
      </c>
      <c r="M267" s="81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3" t="n"/>
      <c r="O267" s="663" t="n"/>
      <c r="P267" s="663" t="n"/>
      <c r="Q267" s="629" t="n"/>
      <c r="R267" s="38" t="inlineStr"/>
      <c r="S267" s="38" t="inlineStr"/>
      <c r="T267" s="39" t="inlineStr">
        <is>
          <t>кг</t>
        </is>
      </c>
      <c r="U267" s="664" t="n">
        <v>0</v>
      </c>
      <c r="V267" s="665">
        <f>IFERROR(IF(U267="",0,CEILING((U267/$H267),1)*$H267),"")</f>
        <v/>
      </c>
      <c r="W267" s="40">
        <f>IFERROR(IF(V267=0,"",ROUNDUP(V267/H267,0)*0.02175),"")</f>
        <v/>
      </c>
      <c r="X267" s="66" t="inlineStr"/>
      <c r="Y267" s="67" t="inlineStr"/>
      <c r="AC267" s="68" t="n"/>
      <c r="AZ267" s="216" t="inlineStr">
        <is>
          <t>КИ</t>
        </is>
      </c>
    </row>
    <row r="268" ht="27" customHeight="1">
      <c r="A268" s="61" t="inlineStr">
        <is>
          <t>SU001836</t>
        </is>
      </c>
      <c r="B268" s="61" t="inlineStr">
        <is>
          <t>P002201</t>
        </is>
      </c>
      <c r="C268" s="35" t="n">
        <v>4301051109</v>
      </c>
      <c r="D268" s="310" t="n">
        <v>4607091383942</v>
      </c>
      <c r="E268" s="629" t="n"/>
      <c r="F268" s="661" t="n">
        <v>0.42</v>
      </c>
      <c r="G268" s="36" t="n">
        <v>6</v>
      </c>
      <c r="H268" s="661" t="n">
        <v>2.52</v>
      </c>
      <c r="I268" s="661" t="n">
        <v>2.792</v>
      </c>
      <c r="J268" s="36" t="n">
        <v>156</v>
      </c>
      <c r="K268" s="37" t="inlineStr">
        <is>
          <t>СК3</t>
        </is>
      </c>
      <c r="L268" s="36" t="n">
        <v>45</v>
      </c>
      <c r="M268" s="81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3" t="n"/>
      <c r="O268" s="663" t="n"/>
      <c r="P268" s="663" t="n"/>
      <c r="Q268" s="629" t="n"/>
      <c r="R268" s="38" t="inlineStr"/>
      <c r="S268" s="38" t="inlineStr"/>
      <c r="T268" s="39" t="inlineStr">
        <is>
          <t>кг</t>
        </is>
      </c>
      <c r="U268" s="664" t="n">
        <v>0</v>
      </c>
      <c r="V268" s="665">
        <f>IFERROR(IF(U268="",0,CEILING((U268/$H268),1)*$H268),"")</f>
        <v/>
      </c>
      <c r="W268" s="40">
        <f>IFERROR(IF(V268=0,"",ROUNDUP(V268/H268,0)*0.00753),"")</f>
        <v/>
      </c>
      <c r="X268" s="66" t="inlineStr"/>
      <c r="Y268" s="67" t="inlineStr"/>
      <c r="AC268" s="68" t="n"/>
      <c r="AZ268" s="217" t="inlineStr">
        <is>
          <t>КИ</t>
        </is>
      </c>
    </row>
    <row r="269" ht="27" customHeight="1">
      <c r="A269" s="61" t="inlineStr">
        <is>
          <t>SU001970</t>
        </is>
      </c>
      <c r="B269" s="61" t="inlineStr">
        <is>
          <t>P001837</t>
        </is>
      </c>
      <c r="C269" s="35" t="n">
        <v>4301051300</v>
      </c>
      <c r="D269" s="310" t="n">
        <v>4607091383959</v>
      </c>
      <c r="E269" s="629" t="n"/>
      <c r="F269" s="661" t="n">
        <v>0.42</v>
      </c>
      <c r="G269" s="36" t="n">
        <v>6</v>
      </c>
      <c r="H269" s="661" t="n">
        <v>2.52</v>
      </c>
      <c r="I269" s="661" t="n">
        <v>2.78</v>
      </c>
      <c r="J269" s="36" t="n">
        <v>156</v>
      </c>
      <c r="K269" s="37" t="inlineStr">
        <is>
          <t>СК2</t>
        </is>
      </c>
      <c r="L269" s="36" t="n">
        <v>35</v>
      </c>
      <c r="M269" s="81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3" t="n"/>
      <c r="O269" s="663" t="n"/>
      <c r="P269" s="663" t="n"/>
      <c r="Q269" s="629" t="n"/>
      <c r="R269" s="38" t="inlineStr"/>
      <c r="S269" s="38" t="inlineStr"/>
      <c r="T269" s="39" t="inlineStr">
        <is>
          <t>кг</t>
        </is>
      </c>
      <c r="U269" s="664" t="n">
        <v>0</v>
      </c>
      <c r="V269" s="665">
        <f>IFERROR(IF(U269="",0,CEILING((U269/$H269),1)*$H269),"")</f>
        <v/>
      </c>
      <c r="W269" s="40">
        <f>IFERROR(IF(V269=0,"",ROUNDUP(V269/H269,0)*0.00753),"")</f>
        <v/>
      </c>
      <c r="X269" s="66" t="inlineStr"/>
      <c r="Y269" s="67" t="inlineStr"/>
      <c r="AC269" s="68" t="n"/>
      <c r="AZ269" s="218" t="inlineStr">
        <is>
          <t>КИ</t>
        </is>
      </c>
    </row>
    <row r="270">
      <c r="A270" s="318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6" t="n"/>
      <c r="M270" s="667" t="inlineStr">
        <is>
          <t>Итого</t>
        </is>
      </c>
      <c r="N270" s="637" t="n"/>
      <c r="O270" s="637" t="n"/>
      <c r="P270" s="637" t="n"/>
      <c r="Q270" s="637" t="n"/>
      <c r="R270" s="637" t="n"/>
      <c r="S270" s="638" t="n"/>
      <c r="T270" s="41" t="inlineStr">
        <is>
          <t>кор</t>
        </is>
      </c>
      <c r="U270" s="668">
        <f>IFERROR(U267/H267,"0")+IFERROR(U268/H268,"0")+IFERROR(U269/H269,"0")</f>
        <v/>
      </c>
      <c r="V270" s="668">
        <f>IFERROR(V267/H267,"0")+IFERROR(V268/H268,"0")+IFERROR(V269/H269,"0")</f>
        <v/>
      </c>
      <c r="W270" s="668">
        <f>IFERROR(IF(W267="",0,W267),"0")+IFERROR(IF(W268="",0,W268),"0")+IFERROR(IF(W269="",0,W269),"0")</f>
        <v/>
      </c>
      <c r="X270" s="669" t="n"/>
      <c r="Y270" s="669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6" t="n"/>
      <c r="M271" s="667" t="inlineStr">
        <is>
          <t>Итого</t>
        </is>
      </c>
      <c r="N271" s="637" t="n"/>
      <c r="O271" s="637" t="n"/>
      <c r="P271" s="637" t="n"/>
      <c r="Q271" s="637" t="n"/>
      <c r="R271" s="637" t="n"/>
      <c r="S271" s="638" t="n"/>
      <c r="T271" s="41" t="inlineStr">
        <is>
          <t>кг</t>
        </is>
      </c>
      <c r="U271" s="668">
        <f>IFERROR(SUM(U267:U269),"0")</f>
        <v/>
      </c>
      <c r="V271" s="668">
        <f>IFERROR(SUM(V267:V269),"0")</f>
        <v/>
      </c>
      <c r="W271" s="41" t="n"/>
      <c r="X271" s="669" t="n"/>
      <c r="Y271" s="669" t="n"/>
    </row>
    <row r="272" ht="14.25" customHeight="1">
      <c r="A272" s="326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6" t="n"/>
      <c r="Y272" s="326" t="n"/>
    </row>
    <row r="273" ht="27" customHeight="1">
      <c r="A273" s="61" t="inlineStr">
        <is>
          <t>SU002173</t>
        </is>
      </c>
      <c r="B273" s="61" t="inlineStr">
        <is>
          <t>P002361</t>
        </is>
      </c>
      <c r="C273" s="35" t="n">
        <v>4301060324</v>
      </c>
      <c r="D273" s="310" t="n">
        <v>4607091388831</v>
      </c>
      <c r="E273" s="629" t="n"/>
      <c r="F273" s="661" t="n">
        <v>0.38</v>
      </c>
      <c r="G273" s="36" t="n">
        <v>6</v>
      </c>
      <c r="H273" s="661" t="n">
        <v>2.28</v>
      </c>
      <c r="I273" s="661" t="n">
        <v>2.552</v>
      </c>
      <c r="J273" s="36" t="n">
        <v>156</v>
      </c>
      <c r="K273" s="37" t="inlineStr">
        <is>
          <t>СК2</t>
        </is>
      </c>
      <c r="L273" s="36" t="n">
        <v>40</v>
      </c>
      <c r="M273" s="8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3" t="n"/>
      <c r="O273" s="663" t="n"/>
      <c r="P273" s="663" t="n"/>
      <c r="Q273" s="629" t="n"/>
      <c r="R273" s="38" t="inlineStr"/>
      <c r="S273" s="38" t="inlineStr"/>
      <c r="T273" s="39" t="inlineStr">
        <is>
          <t>кг</t>
        </is>
      </c>
      <c r="U273" s="664" t="n">
        <v>0</v>
      </c>
      <c r="V273" s="665">
        <f>IFERROR(IF(U273="",0,CEILING((U273/$H273),1)*$H273),"")</f>
        <v/>
      </c>
      <c r="W273" s="40">
        <f>IFERROR(IF(V273=0,"",ROUNDUP(V273/H273,0)*0.00753),"")</f>
        <v/>
      </c>
      <c r="X273" s="66" t="inlineStr"/>
      <c r="Y273" s="67" t="inlineStr"/>
      <c r="AC273" s="68" t="n"/>
      <c r="AZ273" s="219" t="inlineStr">
        <is>
          <t>КИ</t>
        </is>
      </c>
    </row>
    <row r="274">
      <c r="A274" s="318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6" t="n"/>
      <c r="M274" s="667" t="inlineStr">
        <is>
          <t>Итого</t>
        </is>
      </c>
      <c r="N274" s="637" t="n"/>
      <c r="O274" s="637" t="n"/>
      <c r="P274" s="637" t="n"/>
      <c r="Q274" s="637" t="n"/>
      <c r="R274" s="637" t="n"/>
      <c r="S274" s="638" t="n"/>
      <c r="T274" s="41" t="inlineStr">
        <is>
          <t>кор</t>
        </is>
      </c>
      <c r="U274" s="668">
        <f>IFERROR(U273/H273,"0")</f>
        <v/>
      </c>
      <c r="V274" s="668">
        <f>IFERROR(V273/H273,"0")</f>
        <v/>
      </c>
      <c r="W274" s="668">
        <f>IFERROR(IF(W273="",0,W273),"0")</f>
        <v/>
      </c>
      <c r="X274" s="669" t="n"/>
      <c r="Y274" s="669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6" t="n"/>
      <c r="M275" s="667" t="inlineStr">
        <is>
          <t>Итого</t>
        </is>
      </c>
      <c r="N275" s="637" t="n"/>
      <c r="O275" s="637" t="n"/>
      <c r="P275" s="637" t="n"/>
      <c r="Q275" s="637" t="n"/>
      <c r="R275" s="637" t="n"/>
      <c r="S275" s="638" t="n"/>
      <c r="T275" s="41" t="inlineStr">
        <is>
          <t>кг</t>
        </is>
      </c>
      <c r="U275" s="668">
        <f>IFERROR(SUM(U273:U273),"0")</f>
        <v/>
      </c>
      <c r="V275" s="668">
        <f>IFERROR(SUM(V273:V273),"0")</f>
        <v/>
      </c>
      <c r="W275" s="41" t="n"/>
      <c r="X275" s="669" t="n"/>
      <c r="Y275" s="669" t="n"/>
    </row>
    <row r="276" ht="14.25" customHeight="1">
      <c r="A276" s="326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6" t="n"/>
      <c r="Y276" s="326" t="n"/>
    </row>
    <row r="277" ht="27" customHeight="1">
      <c r="A277" s="61" t="inlineStr">
        <is>
          <t>SU002092</t>
        </is>
      </c>
      <c r="B277" s="61" t="inlineStr">
        <is>
          <t>P002290</t>
        </is>
      </c>
      <c r="C277" s="35" t="n">
        <v>4301032015</v>
      </c>
      <c r="D277" s="310" t="n">
        <v>4607091383102</v>
      </c>
      <c r="E277" s="629" t="n"/>
      <c r="F277" s="661" t="n">
        <v>0.17</v>
      </c>
      <c r="G277" s="36" t="n">
        <v>15</v>
      </c>
      <c r="H277" s="661" t="n">
        <v>2.55</v>
      </c>
      <c r="I277" s="661" t="n">
        <v>2.975</v>
      </c>
      <c r="J277" s="36" t="n">
        <v>156</v>
      </c>
      <c r="K277" s="37" t="inlineStr">
        <is>
          <t>АК</t>
        </is>
      </c>
      <c r="L277" s="36" t="n">
        <v>180</v>
      </c>
      <c r="M277" s="81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3" t="n"/>
      <c r="O277" s="663" t="n"/>
      <c r="P277" s="663" t="n"/>
      <c r="Q277" s="629" t="n"/>
      <c r="R277" s="38" t="inlineStr"/>
      <c r="S277" s="38" t="inlineStr"/>
      <c r="T277" s="39" t="inlineStr">
        <is>
          <t>кг</t>
        </is>
      </c>
      <c r="U277" s="664" t="n">
        <v>0</v>
      </c>
      <c r="V277" s="665">
        <f>IFERROR(IF(U277="",0,CEILING((U277/$H277),1)*$H277),"")</f>
        <v/>
      </c>
      <c r="W277" s="40">
        <f>IFERROR(IF(V277=0,"",ROUNDUP(V277/H277,0)*0.00753),"")</f>
        <v/>
      </c>
      <c r="X277" s="66" t="inlineStr"/>
      <c r="Y277" s="67" t="inlineStr"/>
      <c r="AC277" s="68" t="n"/>
      <c r="AZ277" s="220" t="inlineStr">
        <is>
          <t>КИ</t>
        </is>
      </c>
    </row>
    <row r="278">
      <c r="A278" s="318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6" t="n"/>
      <c r="M278" s="667" t="inlineStr">
        <is>
          <t>Итого</t>
        </is>
      </c>
      <c r="N278" s="637" t="n"/>
      <c r="O278" s="637" t="n"/>
      <c r="P278" s="637" t="n"/>
      <c r="Q278" s="637" t="n"/>
      <c r="R278" s="637" t="n"/>
      <c r="S278" s="638" t="n"/>
      <c r="T278" s="41" t="inlineStr">
        <is>
          <t>кор</t>
        </is>
      </c>
      <c r="U278" s="668">
        <f>IFERROR(U277/H277,"0")</f>
        <v/>
      </c>
      <c r="V278" s="668">
        <f>IFERROR(V277/H277,"0")</f>
        <v/>
      </c>
      <c r="W278" s="668">
        <f>IFERROR(IF(W277="",0,W277),"0")</f>
        <v/>
      </c>
      <c r="X278" s="669" t="n"/>
      <c r="Y278" s="669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6" t="n"/>
      <c r="M279" s="667" t="inlineStr">
        <is>
          <t>Итого</t>
        </is>
      </c>
      <c r="N279" s="637" t="n"/>
      <c r="O279" s="637" t="n"/>
      <c r="P279" s="637" t="n"/>
      <c r="Q279" s="637" t="n"/>
      <c r="R279" s="637" t="n"/>
      <c r="S279" s="638" t="n"/>
      <c r="T279" s="41" t="inlineStr">
        <is>
          <t>кг</t>
        </is>
      </c>
      <c r="U279" s="668">
        <f>IFERROR(SUM(U277:U277),"0")</f>
        <v/>
      </c>
      <c r="V279" s="668">
        <f>IFERROR(SUM(V277:V277),"0")</f>
        <v/>
      </c>
      <c r="W279" s="41" t="n"/>
      <c r="X279" s="669" t="n"/>
      <c r="Y279" s="669" t="n"/>
    </row>
    <row r="280" ht="27.75" customHeight="1">
      <c r="A280" s="331" t="inlineStr">
        <is>
          <t>Особый рецепт</t>
        </is>
      </c>
      <c r="B280" s="660" t="n"/>
      <c r="C280" s="660" t="n"/>
      <c r="D280" s="660" t="n"/>
      <c r="E280" s="660" t="n"/>
      <c r="F280" s="660" t="n"/>
      <c r="G280" s="660" t="n"/>
      <c r="H280" s="660" t="n"/>
      <c r="I280" s="660" t="n"/>
      <c r="J280" s="660" t="n"/>
      <c r="K280" s="660" t="n"/>
      <c r="L280" s="660" t="n"/>
      <c r="M280" s="660" t="n"/>
      <c r="N280" s="660" t="n"/>
      <c r="O280" s="660" t="n"/>
      <c r="P280" s="660" t="n"/>
      <c r="Q280" s="660" t="n"/>
      <c r="R280" s="660" t="n"/>
      <c r="S280" s="660" t="n"/>
      <c r="T280" s="660" t="n"/>
      <c r="U280" s="660" t="n"/>
      <c r="V280" s="660" t="n"/>
      <c r="W280" s="660" t="n"/>
      <c r="X280" s="53" t="n"/>
      <c r="Y280" s="53" t="n"/>
    </row>
    <row r="281" ht="16.5" customHeight="1">
      <c r="A281" s="325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5" t="n"/>
      <c r="Y281" s="325" t="n"/>
    </row>
    <row r="282" ht="14.25" customHeight="1">
      <c r="A282" s="326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6" t="n"/>
      <c r="Y282" s="326" t="n"/>
    </row>
    <row r="283" ht="27" customHeight="1">
      <c r="A283" s="61" t="inlineStr">
        <is>
          <t>SU000251</t>
        </is>
      </c>
      <c r="B283" s="61" t="inlineStr">
        <is>
          <t>P002584</t>
        </is>
      </c>
      <c r="C283" s="35" t="n">
        <v>4301011339</v>
      </c>
      <c r="D283" s="310" t="n">
        <v>4607091383997</v>
      </c>
      <c r="E283" s="629" t="n"/>
      <c r="F283" s="661" t="n">
        <v>2.5</v>
      </c>
      <c r="G283" s="36" t="n">
        <v>6</v>
      </c>
      <c r="H283" s="661" t="n">
        <v>15</v>
      </c>
      <c r="I283" s="661" t="n">
        <v>15.48</v>
      </c>
      <c r="J283" s="36" t="n">
        <v>48</v>
      </c>
      <c r="K283" s="37" t="inlineStr">
        <is>
          <t>СК2</t>
        </is>
      </c>
      <c r="L283" s="36" t="n">
        <v>60</v>
      </c>
      <c r="M283" s="82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3" t="n"/>
      <c r="O283" s="663" t="n"/>
      <c r="P283" s="663" t="n"/>
      <c r="Q283" s="629" t="n"/>
      <c r="R283" s="38" t="inlineStr"/>
      <c r="S283" s="38" t="inlineStr"/>
      <c r="T283" s="39" t="inlineStr">
        <is>
          <t>кг</t>
        </is>
      </c>
      <c r="U283" s="664" t="n">
        <v>700</v>
      </c>
      <c r="V283" s="665">
        <f>IFERROR(IF(U283="",0,CEILING((U283/$H283),1)*$H283),"")</f>
        <v/>
      </c>
      <c r="W283" s="40">
        <f>IFERROR(IF(V283=0,"",ROUNDUP(V283/H283,0)*0.02175),"")</f>
        <v/>
      </c>
      <c r="X283" s="66" t="inlineStr"/>
      <c r="Y283" s="67" t="inlineStr"/>
      <c r="AC283" s="68" t="n"/>
      <c r="AZ283" s="221" t="inlineStr">
        <is>
          <t>КИ</t>
        </is>
      </c>
    </row>
    <row r="284" ht="27" customHeight="1">
      <c r="A284" s="61" t="inlineStr">
        <is>
          <t>SU000251</t>
        </is>
      </c>
      <c r="B284" s="61" t="inlineStr">
        <is>
          <t>P002581</t>
        </is>
      </c>
      <c r="C284" s="35" t="n">
        <v>4301011239</v>
      </c>
      <c r="D284" s="310" t="n">
        <v>4607091383997</v>
      </c>
      <c r="E284" s="629" t="n"/>
      <c r="F284" s="661" t="n">
        <v>2.5</v>
      </c>
      <c r="G284" s="36" t="n">
        <v>6</v>
      </c>
      <c r="H284" s="661" t="n">
        <v>15</v>
      </c>
      <c r="I284" s="661" t="n">
        <v>15.48</v>
      </c>
      <c r="J284" s="36" t="n">
        <v>48</v>
      </c>
      <c r="K284" s="37" t="inlineStr">
        <is>
          <t>ВЗ</t>
        </is>
      </c>
      <c r="L284" s="36" t="n">
        <v>60</v>
      </c>
      <c r="M284" s="82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3" t="n"/>
      <c r="O284" s="663" t="n"/>
      <c r="P284" s="663" t="n"/>
      <c r="Q284" s="629" t="n"/>
      <c r="R284" s="38" t="inlineStr"/>
      <c r="S284" s="38" t="inlineStr"/>
      <c r="T284" s="39" t="inlineStr">
        <is>
          <t>кг</t>
        </is>
      </c>
      <c r="U284" s="664" t="n">
        <v>0</v>
      </c>
      <c r="V284" s="665">
        <f>IFERROR(IF(U284="",0,CEILING((U284/$H284),1)*$H284),"")</f>
        <v/>
      </c>
      <c r="W284" s="40">
        <f>IFERROR(IF(V284=0,"",ROUNDUP(V284/H284,0)*0.02039),"")</f>
        <v/>
      </c>
      <c r="X284" s="66" t="inlineStr"/>
      <c r="Y284" s="67" t="inlineStr"/>
      <c r="AC284" s="68" t="n"/>
      <c r="AZ284" s="222" t="inlineStr">
        <is>
          <t>КИ</t>
        </is>
      </c>
    </row>
    <row r="285" ht="27" customHeight="1">
      <c r="A285" s="61" t="inlineStr">
        <is>
          <t>SU001578</t>
        </is>
      </c>
      <c r="B285" s="61" t="inlineStr">
        <is>
          <t>P002562</t>
        </is>
      </c>
      <c r="C285" s="35" t="n">
        <v>4301011326</v>
      </c>
      <c r="D285" s="310" t="n">
        <v>4607091384130</v>
      </c>
      <c r="E285" s="629" t="n"/>
      <c r="F285" s="661" t="n">
        <v>2.5</v>
      </c>
      <c r="G285" s="36" t="n">
        <v>6</v>
      </c>
      <c r="H285" s="661" t="n">
        <v>15</v>
      </c>
      <c r="I285" s="661" t="n">
        <v>15.48</v>
      </c>
      <c r="J285" s="36" t="n">
        <v>48</v>
      </c>
      <c r="K285" s="37" t="inlineStr">
        <is>
          <t>СК2</t>
        </is>
      </c>
      <c r="L285" s="36" t="n">
        <v>60</v>
      </c>
      <c r="M285" s="8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3" t="n"/>
      <c r="O285" s="663" t="n"/>
      <c r="P285" s="663" t="n"/>
      <c r="Q285" s="629" t="n"/>
      <c r="R285" s="38" t="inlineStr"/>
      <c r="S285" s="38" t="inlineStr"/>
      <c r="T285" s="39" t="inlineStr">
        <is>
          <t>кг</t>
        </is>
      </c>
      <c r="U285" s="664" t="n">
        <v>0</v>
      </c>
      <c r="V285" s="665">
        <f>IFERROR(IF(U285="",0,CEILING((U285/$H285),1)*$H285),"")</f>
        <v/>
      </c>
      <c r="W285" s="40">
        <f>IFERROR(IF(V285=0,"",ROUNDUP(V285/H285,0)*0.02175),"")</f>
        <v/>
      </c>
      <c r="X285" s="66" t="inlineStr"/>
      <c r="Y285" s="67" t="inlineStr"/>
      <c r="AC285" s="68" t="n"/>
      <c r="AZ285" s="223" t="inlineStr">
        <is>
          <t>КИ</t>
        </is>
      </c>
    </row>
    <row r="286" ht="27" customHeight="1">
      <c r="A286" s="61" t="inlineStr">
        <is>
          <t>SU001578</t>
        </is>
      </c>
      <c r="B286" s="61" t="inlineStr">
        <is>
          <t>P002582</t>
        </is>
      </c>
      <c r="C286" s="35" t="n">
        <v>4301011240</v>
      </c>
      <c r="D286" s="310" t="n">
        <v>4607091384130</v>
      </c>
      <c r="E286" s="629" t="n"/>
      <c r="F286" s="661" t="n">
        <v>2.5</v>
      </c>
      <c r="G286" s="36" t="n">
        <v>6</v>
      </c>
      <c r="H286" s="661" t="n">
        <v>15</v>
      </c>
      <c r="I286" s="661" t="n">
        <v>15.48</v>
      </c>
      <c r="J286" s="36" t="n">
        <v>48</v>
      </c>
      <c r="K286" s="37" t="inlineStr">
        <is>
          <t>ВЗ</t>
        </is>
      </c>
      <c r="L286" s="36" t="n">
        <v>60</v>
      </c>
      <c r="M286" s="82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3" t="n"/>
      <c r="O286" s="663" t="n"/>
      <c r="P286" s="663" t="n"/>
      <c r="Q286" s="629" t="n"/>
      <c r="R286" s="38" t="inlineStr"/>
      <c r="S286" s="38" t="inlineStr"/>
      <c r="T286" s="39" t="inlineStr">
        <is>
          <t>кг</t>
        </is>
      </c>
      <c r="U286" s="664" t="n">
        <v>0</v>
      </c>
      <c r="V286" s="665">
        <f>IFERROR(IF(U286="",0,CEILING((U286/$H286),1)*$H286),"")</f>
        <v/>
      </c>
      <c r="W286" s="40">
        <f>IFERROR(IF(V286=0,"",ROUNDUP(V286/H286,0)*0.02039),"")</f>
        <v/>
      </c>
      <c r="X286" s="66" t="inlineStr"/>
      <c r="Y286" s="67" t="inlineStr"/>
      <c r="AC286" s="68" t="n"/>
      <c r="AZ286" s="224" t="inlineStr">
        <is>
          <t>КИ</t>
        </is>
      </c>
    </row>
    <row r="287" ht="16.5" customHeight="1">
      <c r="A287" s="61" t="inlineStr">
        <is>
          <t>SU000102</t>
        </is>
      </c>
      <c r="B287" s="61" t="inlineStr">
        <is>
          <t>P002564</t>
        </is>
      </c>
      <c r="C287" s="35" t="n">
        <v>4301011330</v>
      </c>
      <c r="D287" s="310" t="n">
        <v>4607091384147</v>
      </c>
      <c r="E287" s="629" t="n"/>
      <c r="F287" s="661" t="n">
        <v>2.5</v>
      </c>
      <c r="G287" s="36" t="n">
        <v>6</v>
      </c>
      <c r="H287" s="661" t="n">
        <v>15</v>
      </c>
      <c r="I287" s="661" t="n">
        <v>15.48</v>
      </c>
      <c r="J287" s="36" t="n">
        <v>48</v>
      </c>
      <c r="K287" s="37" t="inlineStr">
        <is>
          <t>СК2</t>
        </is>
      </c>
      <c r="L287" s="36" t="n">
        <v>60</v>
      </c>
      <c r="M287" s="8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3" t="n"/>
      <c r="O287" s="663" t="n"/>
      <c r="P287" s="663" t="n"/>
      <c r="Q287" s="629" t="n"/>
      <c r="R287" s="38" t="inlineStr"/>
      <c r="S287" s="38" t="inlineStr"/>
      <c r="T287" s="39" t="inlineStr">
        <is>
          <t>кг</t>
        </is>
      </c>
      <c r="U287" s="664" t="n">
        <v>200</v>
      </c>
      <c r="V287" s="665">
        <f>IFERROR(IF(U287="",0,CEILING((U287/$H287),1)*$H287),"")</f>
        <v/>
      </c>
      <c r="W287" s="40">
        <f>IFERROR(IF(V287=0,"",ROUNDUP(V287/H287,0)*0.02175),"")</f>
        <v/>
      </c>
      <c r="X287" s="66" t="inlineStr"/>
      <c r="Y287" s="67" t="inlineStr"/>
      <c r="AC287" s="68" t="n"/>
      <c r="AZ287" s="225" t="inlineStr">
        <is>
          <t>КИ</t>
        </is>
      </c>
    </row>
    <row r="288" ht="16.5" customHeight="1">
      <c r="A288" s="61" t="inlineStr">
        <is>
          <t>SU000102</t>
        </is>
      </c>
      <c r="B288" s="61" t="inlineStr">
        <is>
          <t>P002580</t>
        </is>
      </c>
      <c r="C288" s="35" t="n">
        <v>4301011238</v>
      </c>
      <c r="D288" s="310" t="n">
        <v>4607091384147</v>
      </c>
      <c r="E288" s="629" t="n"/>
      <c r="F288" s="661" t="n">
        <v>2.5</v>
      </c>
      <c r="G288" s="36" t="n">
        <v>6</v>
      </c>
      <c r="H288" s="661" t="n">
        <v>15</v>
      </c>
      <c r="I288" s="661" t="n">
        <v>15.48</v>
      </c>
      <c r="J288" s="36" t="n">
        <v>48</v>
      </c>
      <c r="K288" s="37" t="inlineStr">
        <is>
          <t>ВЗ</t>
        </is>
      </c>
      <c r="L288" s="36" t="n">
        <v>60</v>
      </c>
      <c r="M288" s="825" t="inlineStr">
        <is>
          <t>Вареные колбасы Особая Особая Весовые П/а Особый рецепт</t>
        </is>
      </c>
      <c r="N288" s="663" t="n"/>
      <c r="O288" s="663" t="n"/>
      <c r="P288" s="663" t="n"/>
      <c r="Q288" s="629" t="n"/>
      <c r="R288" s="38" t="inlineStr"/>
      <c r="S288" s="38" t="inlineStr"/>
      <c r="T288" s="39" t="inlineStr">
        <is>
          <t>кг</t>
        </is>
      </c>
      <c r="U288" s="664" t="n">
        <v>0</v>
      </c>
      <c r="V288" s="665">
        <f>IFERROR(IF(U288="",0,CEILING((U288/$H288),1)*$H288),"")</f>
        <v/>
      </c>
      <c r="W288" s="40">
        <f>IFERROR(IF(V288=0,"",ROUNDUP(V288/H288,0)*0.02039),"")</f>
        <v/>
      </c>
      <c r="X288" s="66" t="inlineStr"/>
      <c r="Y288" s="67" t="inlineStr"/>
      <c r="AC288" s="68" t="n"/>
      <c r="AZ288" s="226" t="inlineStr">
        <is>
          <t>КИ</t>
        </is>
      </c>
    </row>
    <row r="289" ht="27" customHeight="1">
      <c r="A289" s="61" t="inlineStr">
        <is>
          <t>SU001989</t>
        </is>
      </c>
      <c r="B289" s="61" t="inlineStr">
        <is>
          <t>P002560</t>
        </is>
      </c>
      <c r="C289" s="35" t="n">
        <v>4301011327</v>
      </c>
      <c r="D289" s="310" t="n">
        <v>4607091384154</v>
      </c>
      <c r="E289" s="629" t="n"/>
      <c r="F289" s="661" t="n">
        <v>0.5</v>
      </c>
      <c r="G289" s="36" t="n">
        <v>10</v>
      </c>
      <c r="H289" s="661" t="n">
        <v>5</v>
      </c>
      <c r="I289" s="661" t="n">
        <v>5.21</v>
      </c>
      <c r="J289" s="36" t="n">
        <v>120</v>
      </c>
      <c r="K289" s="37" t="inlineStr">
        <is>
          <t>СК2</t>
        </is>
      </c>
      <c r="L289" s="36" t="n">
        <v>60</v>
      </c>
      <c r="M289" s="82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3" t="n"/>
      <c r="O289" s="663" t="n"/>
      <c r="P289" s="663" t="n"/>
      <c r="Q289" s="629" t="n"/>
      <c r="R289" s="38" t="inlineStr"/>
      <c r="S289" s="38" t="inlineStr"/>
      <c r="T289" s="39" t="inlineStr">
        <is>
          <t>кг</t>
        </is>
      </c>
      <c r="U289" s="664" t="n">
        <v>0</v>
      </c>
      <c r="V289" s="665">
        <f>IFERROR(IF(U289="",0,CEILING((U289/$H289),1)*$H289),"")</f>
        <v/>
      </c>
      <c r="W289" s="40">
        <f>IFERROR(IF(V289=0,"",ROUNDUP(V289/H289,0)*0.00937),"")</f>
        <v/>
      </c>
      <c r="X289" s="66" t="inlineStr"/>
      <c r="Y289" s="67" t="inlineStr"/>
      <c r="AC289" s="68" t="n"/>
      <c r="AZ289" s="227" t="inlineStr">
        <is>
          <t>КИ</t>
        </is>
      </c>
    </row>
    <row r="290" ht="27" customHeight="1">
      <c r="A290" s="61" t="inlineStr">
        <is>
          <t>SU000256</t>
        </is>
      </c>
      <c r="B290" s="61" t="inlineStr">
        <is>
          <t>P002565</t>
        </is>
      </c>
      <c r="C290" s="35" t="n">
        <v>4301011332</v>
      </c>
      <c r="D290" s="310" t="n">
        <v>4607091384161</v>
      </c>
      <c r="E290" s="629" t="n"/>
      <c r="F290" s="661" t="n">
        <v>0.5</v>
      </c>
      <c r="G290" s="36" t="n">
        <v>10</v>
      </c>
      <c r="H290" s="661" t="n">
        <v>5</v>
      </c>
      <c r="I290" s="661" t="n">
        <v>5.21</v>
      </c>
      <c r="J290" s="36" t="n">
        <v>120</v>
      </c>
      <c r="K290" s="37" t="inlineStr">
        <is>
          <t>СК2</t>
        </is>
      </c>
      <c r="L290" s="36" t="n">
        <v>60</v>
      </c>
      <c r="M290" s="82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3" t="n"/>
      <c r="O290" s="663" t="n"/>
      <c r="P290" s="663" t="n"/>
      <c r="Q290" s="629" t="n"/>
      <c r="R290" s="38" t="inlineStr"/>
      <c r="S290" s="38" t="inlineStr"/>
      <c r="T290" s="39" t="inlineStr">
        <is>
          <t>кг</t>
        </is>
      </c>
      <c r="U290" s="664" t="n">
        <v>0</v>
      </c>
      <c r="V290" s="665">
        <f>IFERROR(IF(U290="",0,CEILING((U290/$H290),1)*$H290),"")</f>
        <v/>
      </c>
      <c r="W290" s="40">
        <f>IFERROR(IF(V290=0,"",ROUNDUP(V290/H290,0)*0.00937),"")</f>
        <v/>
      </c>
      <c r="X290" s="66" t="inlineStr"/>
      <c r="Y290" s="67" t="inlineStr"/>
      <c r="AC290" s="68" t="n"/>
      <c r="AZ290" s="228" t="inlineStr">
        <is>
          <t>КИ</t>
        </is>
      </c>
    </row>
    <row r="291">
      <c r="A291" s="318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6" t="n"/>
      <c r="M291" s="667" t="inlineStr">
        <is>
          <t>Итого</t>
        </is>
      </c>
      <c r="N291" s="637" t="n"/>
      <c r="O291" s="637" t="n"/>
      <c r="P291" s="637" t="n"/>
      <c r="Q291" s="637" t="n"/>
      <c r="R291" s="637" t="n"/>
      <c r="S291" s="638" t="n"/>
      <c r="T291" s="41" t="inlineStr">
        <is>
          <t>кор</t>
        </is>
      </c>
      <c r="U291" s="668">
        <f>IFERROR(U283/H283,"0")+IFERROR(U284/H284,"0")+IFERROR(U285/H285,"0")+IFERROR(U286/H286,"0")+IFERROR(U287/H287,"0")+IFERROR(U288/H288,"0")+IFERROR(U289/H289,"0")+IFERROR(U290/H290,"0")</f>
        <v/>
      </c>
      <c r="V291" s="668">
        <f>IFERROR(V283/H283,"0")+IFERROR(V284/H284,"0")+IFERROR(V285/H285,"0")+IFERROR(V286/H286,"0")+IFERROR(V287/H287,"0")+IFERROR(V288/H288,"0")+IFERROR(V289/H289,"0")+IFERROR(V290/H290,"0")</f>
        <v/>
      </c>
      <c r="W291" s="668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69" t="n"/>
      <c r="Y291" s="669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6" t="n"/>
      <c r="M292" s="667" t="inlineStr">
        <is>
          <t>Итого</t>
        </is>
      </c>
      <c r="N292" s="637" t="n"/>
      <c r="O292" s="637" t="n"/>
      <c r="P292" s="637" t="n"/>
      <c r="Q292" s="637" t="n"/>
      <c r="R292" s="637" t="n"/>
      <c r="S292" s="638" t="n"/>
      <c r="T292" s="41" t="inlineStr">
        <is>
          <t>кг</t>
        </is>
      </c>
      <c r="U292" s="668">
        <f>IFERROR(SUM(U283:U290),"0")</f>
        <v/>
      </c>
      <c r="V292" s="668">
        <f>IFERROR(SUM(V283:V290),"0")</f>
        <v/>
      </c>
      <c r="W292" s="41" t="n"/>
      <c r="X292" s="669" t="n"/>
      <c r="Y292" s="669" t="n"/>
    </row>
    <row r="293" ht="14.25" customHeight="1">
      <c r="A293" s="326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6" t="n"/>
      <c r="Y293" s="326" t="n"/>
    </row>
    <row r="294" ht="27" customHeight="1">
      <c r="A294" s="61" t="inlineStr">
        <is>
          <t>SU000126</t>
        </is>
      </c>
      <c r="B294" s="61" t="inlineStr">
        <is>
          <t>P002555</t>
        </is>
      </c>
      <c r="C294" s="35" t="n">
        <v>4301020178</v>
      </c>
      <c r="D294" s="310" t="n">
        <v>4607091383980</v>
      </c>
      <c r="E294" s="629" t="n"/>
      <c r="F294" s="661" t="n">
        <v>2.5</v>
      </c>
      <c r="G294" s="36" t="n">
        <v>6</v>
      </c>
      <c r="H294" s="661" t="n">
        <v>15</v>
      </c>
      <c r="I294" s="661" t="n">
        <v>15.48</v>
      </c>
      <c r="J294" s="36" t="n">
        <v>48</v>
      </c>
      <c r="K294" s="37" t="inlineStr">
        <is>
          <t>СК1</t>
        </is>
      </c>
      <c r="L294" s="36" t="n">
        <v>50</v>
      </c>
      <c r="M294" s="82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3" t="n"/>
      <c r="O294" s="663" t="n"/>
      <c r="P294" s="663" t="n"/>
      <c r="Q294" s="629" t="n"/>
      <c r="R294" s="38" t="inlineStr"/>
      <c r="S294" s="38" t="inlineStr"/>
      <c r="T294" s="39" t="inlineStr">
        <is>
          <t>кг</t>
        </is>
      </c>
      <c r="U294" s="664" t="n">
        <v>1000</v>
      </c>
      <c r="V294" s="665">
        <f>IFERROR(IF(U294="",0,CEILING((U294/$H294),1)*$H294),"")</f>
        <v/>
      </c>
      <c r="W294" s="40">
        <f>IFERROR(IF(V294=0,"",ROUNDUP(V294/H294,0)*0.02175),"")</f>
        <v/>
      </c>
      <c r="X294" s="66" t="inlineStr"/>
      <c r="Y294" s="67" t="inlineStr"/>
      <c r="AC294" s="68" t="n"/>
      <c r="AZ294" s="229" t="inlineStr">
        <is>
          <t>КИ</t>
        </is>
      </c>
    </row>
    <row r="295" ht="27" customHeight="1">
      <c r="A295" s="61" t="inlineStr">
        <is>
          <t>SU002027</t>
        </is>
      </c>
      <c r="B295" s="61" t="inlineStr">
        <is>
          <t>P002556</t>
        </is>
      </c>
      <c r="C295" s="35" t="n">
        <v>4301020179</v>
      </c>
      <c r="D295" s="310" t="n">
        <v>4607091384178</v>
      </c>
      <c r="E295" s="629" t="n"/>
      <c r="F295" s="661" t="n">
        <v>0.4</v>
      </c>
      <c r="G295" s="36" t="n">
        <v>10</v>
      </c>
      <c r="H295" s="661" t="n">
        <v>4</v>
      </c>
      <c r="I295" s="661" t="n">
        <v>4.24</v>
      </c>
      <c r="J295" s="36" t="n">
        <v>120</v>
      </c>
      <c r="K295" s="37" t="inlineStr">
        <is>
          <t>СК1</t>
        </is>
      </c>
      <c r="L295" s="36" t="n">
        <v>50</v>
      </c>
      <c r="M295" s="8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3" t="n"/>
      <c r="O295" s="663" t="n"/>
      <c r="P295" s="663" t="n"/>
      <c r="Q295" s="629" t="n"/>
      <c r="R295" s="38" t="inlineStr"/>
      <c r="S295" s="38" t="inlineStr"/>
      <c r="T295" s="39" t="inlineStr">
        <is>
          <t>кг</t>
        </is>
      </c>
      <c r="U295" s="664" t="n">
        <v>0</v>
      </c>
      <c r="V295" s="665">
        <f>IFERROR(IF(U295="",0,CEILING((U295/$H295),1)*$H295),"")</f>
        <v/>
      </c>
      <c r="W295" s="40">
        <f>IFERROR(IF(V295=0,"",ROUNDUP(V295/H295,0)*0.00937),"")</f>
        <v/>
      </c>
      <c r="X295" s="66" t="inlineStr"/>
      <c r="Y295" s="67" t="inlineStr"/>
      <c r="AC295" s="68" t="n"/>
      <c r="AZ295" s="230" t="inlineStr">
        <is>
          <t>КИ</t>
        </is>
      </c>
    </row>
    <row r="296">
      <c r="A296" s="318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6" t="n"/>
      <c r="M296" s="667" t="inlineStr">
        <is>
          <t>Итого</t>
        </is>
      </c>
      <c r="N296" s="637" t="n"/>
      <c r="O296" s="637" t="n"/>
      <c r="P296" s="637" t="n"/>
      <c r="Q296" s="637" t="n"/>
      <c r="R296" s="637" t="n"/>
      <c r="S296" s="638" t="n"/>
      <c r="T296" s="41" t="inlineStr">
        <is>
          <t>кор</t>
        </is>
      </c>
      <c r="U296" s="668">
        <f>IFERROR(U294/H294,"0")+IFERROR(U295/H295,"0")</f>
        <v/>
      </c>
      <c r="V296" s="668">
        <f>IFERROR(V294/H294,"0")+IFERROR(V295/H295,"0")</f>
        <v/>
      </c>
      <c r="W296" s="668">
        <f>IFERROR(IF(W294="",0,W294),"0")+IFERROR(IF(W295="",0,W295),"0")</f>
        <v/>
      </c>
      <c r="X296" s="669" t="n"/>
      <c r="Y296" s="669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6" t="n"/>
      <c r="M297" s="667" t="inlineStr">
        <is>
          <t>Итого</t>
        </is>
      </c>
      <c r="N297" s="637" t="n"/>
      <c r="O297" s="637" t="n"/>
      <c r="P297" s="637" t="n"/>
      <c r="Q297" s="637" t="n"/>
      <c r="R297" s="637" t="n"/>
      <c r="S297" s="638" t="n"/>
      <c r="T297" s="41" t="inlineStr">
        <is>
          <t>кг</t>
        </is>
      </c>
      <c r="U297" s="668">
        <f>IFERROR(SUM(U294:U295),"0")</f>
        <v/>
      </c>
      <c r="V297" s="668">
        <f>IFERROR(SUM(V294:V295),"0")</f>
        <v/>
      </c>
      <c r="W297" s="41" t="n"/>
      <c r="X297" s="669" t="n"/>
      <c r="Y297" s="669" t="n"/>
    </row>
    <row r="298" ht="14.25" customHeight="1">
      <c r="A298" s="326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6" t="n"/>
      <c r="Y298" s="326" t="n"/>
    </row>
    <row r="299" ht="27" customHeight="1">
      <c r="A299" s="61" t="inlineStr">
        <is>
          <t>SU000246</t>
        </is>
      </c>
      <c r="B299" s="61" t="inlineStr">
        <is>
          <t>P002690</t>
        </is>
      </c>
      <c r="C299" s="35" t="n">
        <v>4301051298</v>
      </c>
      <c r="D299" s="310" t="n">
        <v>4607091384260</v>
      </c>
      <c r="E299" s="629" t="n"/>
      <c r="F299" s="661" t="n">
        <v>1.3</v>
      </c>
      <c r="G299" s="36" t="n">
        <v>6</v>
      </c>
      <c r="H299" s="661" t="n">
        <v>7.8</v>
      </c>
      <c r="I299" s="661" t="n">
        <v>8.364000000000001</v>
      </c>
      <c r="J299" s="36" t="n">
        <v>56</v>
      </c>
      <c r="K299" s="37" t="inlineStr">
        <is>
          <t>СК2</t>
        </is>
      </c>
      <c r="L299" s="36" t="n">
        <v>35</v>
      </c>
      <c r="M299" s="83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3" t="n"/>
      <c r="O299" s="663" t="n"/>
      <c r="P299" s="663" t="n"/>
      <c r="Q299" s="629" t="n"/>
      <c r="R299" s="38" t="inlineStr"/>
      <c r="S299" s="38" t="inlineStr"/>
      <c r="T299" s="39" t="inlineStr">
        <is>
          <t>кг</t>
        </is>
      </c>
      <c r="U299" s="664" t="n">
        <v>0</v>
      </c>
      <c r="V299" s="665">
        <f>IFERROR(IF(U299="",0,CEILING((U299/$H299),1)*$H299),"")</f>
        <v/>
      </c>
      <c r="W299" s="40">
        <f>IFERROR(IF(V299=0,"",ROUNDUP(V299/H299,0)*0.02175),"")</f>
        <v/>
      </c>
      <c r="X299" s="66" t="inlineStr"/>
      <c r="Y299" s="67" t="inlineStr"/>
      <c r="AC299" s="68" t="n"/>
      <c r="AZ299" s="231" t="inlineStr">
        <is>
          <t>КИ</t>
        </is>
      </c>
    </row>
    <row r="300">
      <c r="A300" s="318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6" t="n"/>
      <c r="M300" s="667" t="inlineStr">
        <is>
          <t>Итого</t>
        </is>
      </c>
      <c r="N300" s="637" t="n"/>
      <c r="O300" s="637" t="n"/>
      <c r="P300" s="637" t="n"/>
      <c r="Q300" s="637" t="n"/>
      <c r="R300" s="637" t="n"/>
      <c r="S300" s="638" t="n"/>
      <c r="T300" s="41" t="inlineStr">
        <is>
          <t>кор</t>
        </is>
      </c>
      <c r="U300" s="668">
        <f>IFERROR(U299/H299,"0")</f>
        <v/>
      </c>
      <c r="V300" s="668">
        <f>IFERROR(V299/H299,"0")</f>
        <v/>
      </c>
      <c r="W300" s="668">
        <f>IFERROR(IF(W299="",0,W299),"0")</f>
        <v/>
      </c>
      <c r="X300" s="669" t="n"/>
      <c r="Y300" s="669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6" t="n"/>
      <c r="M301" s="667" t="inlineStr">
        <is>
          <t>Итого</t>
        </is>
      </c>
      <c r="N301" s="637" t="n"/>
      <c r="O301" s="637" t="n"/>
      <c r="P301" s="637" t="n"/>
      <c r="Q301" s="637" t="n"/>
      <c r="R301" s="637" t="n"/>
      <c r="S301" s="638" t="n"/>
      <c r="T301" s="41" t="inlineStr">
        <is>
          <t>кг</t>
        </is>
      </c>
      <c r="U301" s="668">
        <f>IFERROR(SUM(U299:U299),"0")</f>
        <v/>
      </c>
      <c r="V301" s="668">
        <f>IFERROR(SUM(V299:V299),"0")</f>
        <v/>
      </c>
      <c r="W301" s="41" t="n"/>
      <c r="X301" s="669" t="n"/>
      <c r="Y301" s="669" t="n"/>
    </row>
    <row r="302" ht="14.25" customHeight="1">
      <c r="A302" s="326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6" t="n"/>
      <c r="Y302" s="326" t="n"/>
    </row>
    <row r="303" ht="16.5" customHeight="1">
      <c r="A303" s="61" t="inlineStr">
        <is>
          <t>SU002287</t>
        </is>
      </c>
      <c r="B303" s="61" t="inlineStr">
        <is>
          <t>P002490</t>
        </is>
      </c>
      <c r="C303" s="35" t="n">
        <v>4301060314</v>
      </c>
      <c r="D303" s="310" t="n">
        <v>4607091384673</v>
      </c>
      <c r="E303" s="629" t="n"/>
      <c r="F303" s="661" t="n">
        <v>1.3</v>
      </c>
      <c r="G303" s="36" t="n">
        <v>6</v>
      </c>
      <c r="H303" s="661" t="n">
        <v>7.8</v>
      </c>
      <c r="I303" s="661" t="n">
        <v>8.364000000000001</v>
      </c>
      <c r="J303" s="36" t="n">
        <v>56</v>
      </c>
      <c r="K303" s="37" t="inlineStr">
        <is>
          <t>СК2</t>
        </is>
      </c>
      <c r="L303" s="36" t="n">
        <v>30</v>
      </c>
      <c r="M303" s="83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3" t="n"/>
      <c r="O303" s="663" t="n"/>
      <c r="P303" s="663" t="n"/>
      <c r="Q303" s="629" t="n"/>
      <c r="R303" s="38" t="inlineStr"/>
      <c r="S303" s="38" t="inlineStr"/>
      <c r="T303" s="39" t="inlineStr">
        <is>
          <t>кг</t>
        </is>
      </c>
      <c r="U303" s="664" t="n">
        <v>0</v>
      </c>
      <c r="V303" s="665">
        <f>IFERROR(IF(U303="",0,CEILING((U303/$H303),1)*$H303),"")</f>
        <v/>
      </c>
      <c r="W303" s="40">
        <f>IFERROR(IF(V303=0,"",ROUNDUP(V303/H303,0)*0.02175),"")</f>
        <v/>
      </c>
      <c r="X303" s="66" t="inlineStr"/>
      <c r="Y303" s="67" t="inlineStr"/>
      <c r="AC303" s="68" t="n"/>
      <c r="AZ303" s="232" t="inlineStr">
        <is>
          <t>КИ</t>
        </is>
      </c>
    </row>
    <row r="304">
      <c r="A304" s="318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6" t="n"/>
      <c r="M304" s="667" t="inlineStr">
        <is>
          <t>Итого</t>
        </is>
      </c>
      <c r="N304" s="637" t="n"/>
      <c r="O304" s="637" t="n"/>
      <c r="P304" s="637" t="n"/>
      <c r="Q304" s="637" t="n"/>
      <c r="R304" s="637" t="n"/>
      <c r="S304" s="638" t="n"/>
      <c r="T304" s="41" t="inlineStr">
        <is>
          <t>кор</t>
        </is>
      </c>
      <c r="U304" s="668">
        <f>IFERROR(U303/H303,"0")</f>
        <v/>
      </c>
      <c r="V304" s="668">
        <f>IFERROR(V303/H303,"0")</f>
        <v/>
      </c>
      <c r="W304" s="668">
        <f>IFERROR(IF(W303="",0,W303),"0")</f>
        <v/>
      </c>
      <c r="X304" s="669" t="n"/>
      <c r="Y304" s="669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6" t="n"/>
      <c r="M305" s="667" t="inlineStr">
        <is>
          <t>Итого</t>
        </is>
      </c>
      <c r="N305" s="637" t="n"/>
      <c r="O305" s="637" t="n"/>
      <c r="P305" s="637" t="n"/>
      <c r="Q305" s="637" t="n"/>
      <c r="R305" s="637" t="n"/>
      <c r="S305" s="638" t="n"/>
      <c r="T305" s="41" t="inlineStr">
        <is>
          <t>кг</t>
        </is>
      </c>
      <c r="U305" s="668">
        <f>IFERROR(SUM(U303:U303),"0")</f>
        <v/>
      </c>
      <c r="V305" s="668">
        <f>IFERROR(SUM(V303:V303),"0")</f>
        <v/>
      </c>
      <c r="W305" s="41" t="n"/>
      <c r="X305" s="669" t="n"/>
      <c r="Y305" s="669" t="n"/>
    </row>
    <row r="306" ht="16.5" customHeight="1">
      <c r="A306" s="325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5" t="n"/>
      <c r="Y306" s="325" t="n"/>
    </row>
    <row r="307" ht="14.25" customHeight="1">
      <c r="A307" s="326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6" t="n"/>
      <c r="Y307" s="326" t="n"/>
    </row>
    <row r="308" ht="27" customHeight="1">
      <c r="A308" s="61" t="inlineStr">
        <is>
          <t>SU002073</t>
        </is>
      </c>
      <c r="B308" s="61" t="inlineStr">
        <is>
          <t>P002563</t>
        </is>
      </c>
      <c r="C308" s="35" t="n">
        <v>4301011324</v>
      </c>
      <c r="D308" s="310" t="n">
        <v>4607091384185</v>
      </c>
      <c r="E308" s="629" t="n"/>
      <c r="F308" s="661" t="n">
        <v>0.8</v>
      </c>
      <c r="G308" s="36" t="n">
        <v>15</v>
      </c>
      <c r="H308" s="661" t="n">
        <v>12</v>
      </c>
      <c r="I308" s="661" t="n">
        <v>12.48</v>
      </c>
      <c r="J308" s="36" t="n">
        <v>56</v>
      </c>
      <c r="K308" s="37" t="inlineStr">
        <is>
          <t>СК2</t>
        </is>
      </c>
      <c r="L308" s="36" t="n">
        <v>60</v>
      </c>
      <c r="M308" s="83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3" t="n"/>
      <c r="O308" s="663" t="n"/>
      <c r="P308" s="663" t="n"/>
      <c r="Q308" s="629" t="n"/>
      <c r="R308" s="38" t="inlineStr"/>
      <c r="S308" s="38" t="inlineStr"/>
      <c r="T308" s="39" t="inlineStr">
        <is>
          <t>кг</t>
        </is>
      </c>
      <c r="U308" s="664" t="n">
        <v>0</v>
      </c>
      <c r="V308" s="665">
        <f>IFERROR(IF(U308="",0,CEILING((U308/$H308),1)*$H308),"")</f>
        <v/>
      </c>
      <c r="W308" s="40">
        <f>IFERROR(IF(V308=0,"",ROUNDUP(V308/H308,0)*0.02175),"")</f>
        <v/>
      </c>
      <c r="X308" s="66" t="inlineStr"/>
      <c r="Y308" s="67" t="inlineStr"/>
      <c r="AC308" s="68" t="n"/>
      <c r="AZ308" s="233" t="inlineStr">
        <is>
          <t>КИ</t>
        </is>
      </c>
    </row>
    <row r="309" ht="27" customHeight="1">
      <c r="A309" s="61" t="inlineStr">
        <is>
          <t>SU002187</t>
        </is>
      </c>
      <c r="B309" s="61" t="inlineStr">
        <is>
          <t>P002559</t>
        </is>
      </c>
      <c r="C309" s="35" t="n">
        <v>4301011312</v>
      </c>
      <c r="D309" s="310" t="n">
        <v>4607091384192</v>
      </c>
      <c r="E309" s="629" t="n"/>
      <c r="F309" s="661" t="n">
        <v>1.8</v>
      </c>
      <c r="G309" s="36" t="n">
        <v>6</v>
      </c>
      <c r="H309" s="661" t="n">
        <v>10.8</v>
      </c>
      <c r="I309" s="661" t="n">
        <v>11.28</v>
      </c>
      <c r="J309" s="36" t="n">
        <v>56</v>
      </c>
      <c r="K309" s="37" t="inlineStr">
        <is>
          <t>СК1</t>
        </is>
      </c>
      <c r="L309" s="36" t="n">
        <v>60</v>
      </c>
      <c r="M309" s="83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3" t="n"/>
      <c r="O309" s="663" t="n"/>
      <c r="P309" s="663" t="n"/>
      <c r="Q309" s="629" t="n"/>
      <c r="R309" s="38" t="inlineStr"/>
      <c r="S309" s="38" t="inlineStr"/>
      <c r="T309" s="39" t="inlineStr">
        <is>
          <t>кг</t>
        </is>
      </c>
      <c r="U309" s="664" t="n">
        <v>0</v>
      </c>
      <c r="V309" s="665">
        <f>IFERROR(IF(U309="",0,CEILING((U309/$H309),1)*$H309),"")</f>
        <v/>
      </c>
      <c r="W309" s="40">
        <f>IFERROR(IF(V309=0,"",ROUNDUP(V309/H309,0)*0.02175),"")</f>
        <v/>
      </c>
      <c r="X309" s="66" t="inlineStr"/>
      <c r="Y309" s="67" t="inlineStr"/>
      <c r="AC309" s="68" t="n"/>
      <c r="AZ309" s="234" t="inlineStr">
        <is>
          <t>КИ</t>
        </is>
      </c>
    </row>
    <row r="310" ht="27" customHeight="1">
      <c r="A310" s="61" t="inlineStr">
        <is>
          <t>SU002899</t>
        </is>
      </c>
      <c r="B310" s="61" t="inlineStr">
        <is>
          <t>P003323</t>
        </is>
      </c>
      <c r="C310" s="35" t="n">
        <v>4301011483</v>
      </c>
      <c r="D310" s="310" t="n">
        <v>4680115881907</v>
      </c>
      <c r="E310" s="629" t="n"/>
      <c r="F310" s="661" t="n">
        <v>1.8</v>
      </c>
      <c r="G310" s="36" t="n">
        <v>6</v>
      </c>
      <c r="H310" s="661" t="n">
        <v>10.8</v>
      </c>
      <c r="I310" s="661" t="n">
        <v>11.28</v>
      </c>
      <c r="J310" s="36" t="n">
        <v>56</v>
      </c>
      <c r="K310" s="37" t="inlineStr">
        <is>
          <t>СК2</t>
        </is>
      </c>
      <c r="L310" s="36" t="n">
        <v>60</v>
      </c>
      <c r="M310" s="83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3" t="n"/>
      <c r="O310" s="663" t="n"/>
      <c r="P310" s="663" t="n"/>
      <c r="Q310" s="629" t="n"/>
      <c r="R310" s="38" t="inlineStr"/>
      <c r="S310" s="38" t="inlineStr"/>
      <c r="T310" s="39" t="inlineStr">
        <is>
          <t>кг</t>
        </is>
      </c>
      <c r="U310" s="664" t="n">
        <v>0</v>
      </c>
      <c r="V310" s="665">
        <f>IFERROR(IF(U310="",0,CEILING((U310/$H310),1)*$H310),"")</f>
        <v/>
      </c>
      <c r="W310" s="40">
        <f>IFERROR(IF(V310=0,"",ROUNDUP(V310/H310,0)*0.02175),"")</f>
        <v/>
      </c>
      <c r="X310" s="66" t="inlineStr"/>
      <c r="Y310" s="67" t="inlineStr"/>
      <c r="AC310" s="68" t="n"/>
      <c r="AZ310" s="235" t="inlineStr">
        <is>
          <t>КИ</t>
        </is>
      </c>
    </row>
    <row r="311" ht="27" customHeight="1">
      <c r="A311" s="61" t="inlineStr">
        <is>
          <t>SU002462</t>
        </is>
      </c>
      <c r="B311" s="61" t="inlineStr">
        <is>
          <t>P002768</t>
        </is>
      </c>
      <c r="C311" s="35" t="n">
        <v>4301011303</v>
      </c>
      <c r="D311" s="310" t="n">
        <v>4607091384680</v>
      </c>
      <c r="E311" s="629" t="n"/>
      <c r="F311" s="661" t="n">
        <v>0.4</v>
      </c>
      <c r="G311" s="36" t="n">
        <v>10</v>
      </c>
      <c r="H311" s="661" t="n">
        <v>4</v>
      </c>
      <c r="I311" s="661" t="n">
        <v>4.21</v>
      </c>
      <c r="J311" s="36" t="n">
        <v>120</v>
      </c>
      <c r="K311" s="37" t="inlineStr">
        <is>
          <t>СК2</t>
        </is>
      </c>
      <c r="L311" s="36" t="n">
        <v>60</v>
      </c>
      <c r="M311" s="8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3" t="n"/>
      <c r="O311" s="663" t="n"/>
      <c r="P311" s="663" t="n"/>
      <c r="Q311" s="629" t="n"/>
      <c r="R311" s="38" t="inlineStr"/>
      <c r="S311" s="38" t="inlineStr"/>
      <c r="T311" s="39" t="inlineStr">
        <is>
          <t>кг</t>
        </is>
      </c>
      <c r="U311" s="664" t="n">
        <v>0</v>
      </c>
      <c r="V311" s="665">
        <f>IFERROR(IF(U311="",0,CEILING((U311/$H311),1)*$H311),"")</f>
        <v/>
      </c>
      <c r="W311" s="40">
        <f>IFERROR(IF(V311=0,"",ROUNDUP(V311/H311,0)*0.00937),"")</f>
        <v/>
      </c>
      <c r="X311" s="66" t="inlineStr"/>
      <c r="Y311" s="67" t="inlineStr"/>
      <c r="AC311" s="68" t="n"/>
      <c r="AZ311" s="236" t="inlineStr">
        <is>
          <t>КИ</t>
        </is>
      </c>
    </row>
    <row r="312">
      <c r="A312" s="318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6" t="n"/>
      <c r="M312" s="667" t="inlineStr">
        <is>
          <t>Итого</t>
        </is>
      </c>
      <c r="N312" s="637" t="n"/>
      <c r="O312" s="637" t="n"/>
      <c r="P312" s="637" t="n"/>
      <c r="Q312" s="637" t="n"/>
      <c r="R312" s="637" t="n"/>
      <c r="S312" s="638" t="n"/>
      <c r="T312" s="41" t="inlineStr">
        <is>
          <t>кор</t>
        </is>
      </c>
      <c r="U312" s="668">
        <f>IFERROR(U308/H308,"0")+IFERROR(U309/H309,"0")+IFERROR(U310/H310,"0")+IFERROR(U311/H311,"0")</f>
        <v/>
      </c>
      <c r="V312" s="668">
        <f>IFERROR(V308/H308,"0")+IFERROR(V309/H309,"0")+IFERROR(V310/H310,"0")+IFERROR(V311/H311,"0")</f>
        <v/>
      </c>
      <c r="W312" s="668">
        <f>IFERROR(IF(W308="",0,W308),"0")+IFERROR(IF(W309="",0,W309),"0")+IFERROR(IF(W310="",0,W310),"0")+IFERROR(IF(W311="",0,W311),"0")</f>
        <v/>
      </c>
      <c r="X312" s="669" t="n"/>
      <c r="Y312" s="669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6" t="n"/>
      <c r="M313" s="667" t="inlineStr">
        <is>
          <t>Итого</t>
        </is>
      </c>
      <c r="N313" s="637" t="n"/>
      <c r="O313" s="637" t="n"/>
      <c r="P313" s="637" t="n"/>
      <c r="Q313" s="637" t="n"/>
      <c r="R313" s="637" t="n"/>
      <c r="S313" s="638" t="n"/>
      <c r="T313" s="41" t="inlineStr">
        <is>
          <t>кг</t>
        </is>
      </c>
      <c r="U313" s="668">
        <f>IFERROR(SUM(U308:U311),"0")</f>
        <v/>
      </c>
      <c r="V313" s="668">
        <f>IFERROR(SUM(V308:V311),"0")</f>
        <v/>
      </c>
      <c r="W313" s="41" t="n"/>
      <c r="X313" s="669" t="n"/>
      <c r="Y313" s="669" t="n"/>
    </row>
    <row r="314" ht="14.25" customHeight="1">
      <c r="A314" s="326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6" t="n"/>
      <c r="Y314" s="326" t="n"/>
    </row>
    <row r="315" ht="27" customHeight="1">
      <c r="A315" s="61" t="inlineStr">
        <is>
          <t>SU002360</t>
        </is>
      </c>
      <c r="B315" s="61" t="inlineStr">
        <is>
          <t>P002629</t>
        </is>
      </c>
      <c r="C315" s="35" t="n">
        <v>4301031139</v>
      </c>
      <c r="D315" s="310" t="n">
        <v>4607091384802</v>
      </c>
      <c r="E315" s="629" t="n"/>
      <c r="F315" s="661" t="n">
        <v>0.73</v>
      </c>
      <c r="G315" s="36" t="n">
        <v>6</v>
      </c>
      <c r="H315" s="661" t="n">
        <v>4.38</v>
      </c>
      <c r="I315" s="661" t="n">
        <v>4.58</v>
      </c>
      <c r="J315" s="36" t="n">
        <v>156</v>
      </c>
      <c r="K315" s="37" t="inlineStr">
        <is>
          <t>СК2</t>
        </is>
      </c>
      <c r="L315" s="36" t="n">
        <v>35</v>
      </c>
      <c r="M315" s="8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3" t="n"/>
      <c r="O315" s="663" t="n"/>
      <c r="P315" s="663" t="n"/>
      <c r="Q315" s="629" t="n"/>
      <c r="R315" s="38" t="inlineStr"/>
      <c r="S315" s="38" t="inlineStr"/>
      <c r="T315" s="39" t="inlineStr">
        <is>
          <t>кг</t>
        </is>
      </c>
      <c r="U315" s="664" t="n">
        <v>0</v>
      </c>
      <c r="V315" s="665">
        <f>IFERROR(IF(U315="",0,CEILING((U315/$H315),1)*$H315),"")</f>
        <v/>
      </c>
      <c r="W315" s="40">
        <f>IFERROR(IF(V315=0,"",ROUNDUP(V315/H315,0)*0.00753),"")</f>
        <v/>
      </c>
      <c r="X315" s="66" t="inlineStr"/>
      <c r="Y315" s="67" t="inlineStr"/>
      <c r="AC315" s="68" t="n"/>
      <c r="AZ315" s="237" t="inlineStr">
        <is>
          <t>КИ</t>
        </is>
      </c>
    </row>
    <row r="316" ht="27" customHeight="1">
      <c r="A316" s="61" t="inlineStr">
        <is>
          <t>SU002361</t>
        </is>
      </c>
      <c r="B316" s="61" t="inlineStr">
        <is>
          <t>P002630</t>
        </is>
      </c>
      <c r="C316" s="35" t="n">
        <v>4301031140</v>
      </c>
      <c r="D316" s="310" t="n">
        <v>4607091384826</v>
      </c>
      <c r="E316" s="629" t="n"/>
      <c r="F316" s="661" t="n">
        <v>0.35</v>
      </c>
      <c r="G316" s="36" t="n">
        <v>8</v>
      </c>
      <c r="H316" s="661" t="n">
        <v>2.8</v>
      </c>
      <c r="I316" s="661" t="n">
        <v>2.9</v>
      </c>
      <c r="J316" s="36" t="n">
        <v>234</v>
      </c>
      <c r="K316" s="37" t="inlineStr">
        <is>
          <t>СК2</t>
        </is>
      </c>
      <c r="L316" s="36" t="n">
        <v>35</v>
      </c>
      <c r="M316" s="8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3" t="n"/>
      <c r="O316" s="663" t="n"/>
      <c r="P316" s="663" t="n"/>
      <c r="Q316" s="629" t="n"/>
      <c r="R316" s="38" t="inlineStr"/>
      <c r="S316" s="38" t="inlineStr"/>
      <c r="T316" s="39" t="inlineStr">
        <is>
          <t>кг</t>
        </is>
      </c>
      <c r="U316" s="664" t="n">
        <v>0</v>
      </c>
      <c r="V316" s="665">
        <f>IFERROR(IF(U316="",0,CEILING((U316/$H316),1)*$H316),"")</f>
        <v/>
      </c>
      <c r="W316" s="40">
        <f>IFERROR(IF(V316=0,"",ROUNDUP(V316/H316,0)*0.00502),"")</f>
        <v/>
      </c>
      <c r="X316" s="66" t="inlineStr"/>
      <c r="Y316" s="67" t="inlineStr"/>
      <c r="AC316" s="68" t="n"/>
      <c r="AZ316" s="238" t="inlineStr">
        <is>
          <t>КИ</t>
        </is>
      </c>
    </row>
    <row r="317">
      <c r="A317" s="318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6" t="n"/>
      <c r="M317" s="667" t="inlineStr">
        <is>
          <t>Итого</t>
        </is>
      </c>
      <c r="N317" s="637" t="n"/>
      <c r="O317" s="637" t="n"/>
      <c r="P317" s="637" t="n"/>
      <c r="Q317" s="637" t="n"/>
      <c r="R317" s="637" t="n"/>
      <c r="S317" s="638" t="n"/>
      <c r="T317" s="41" t="inlineStr">
        <is>
          <t>кор</t>
        </is>
      </c>
      <c r="U317" s="668">
        <f>IFERROR(U315/H315,"0")+IFERROR(U316/H316,"0")</f>
        <v/>
      </c>
      <c r="V317" s="668">
        <f>IFERROR(V315/H315,"0")+IFERROR(V316/H316,"0")</f>
        <v/>
      </c>
      <c r="W317" s="668">
        <f>IFERROR(IF(W315="",0,W315),"0")+IFERROR(IF(W316="",0,W316),"0")</f>
        <v/>
      </c>
      <c r="X317" s="669" t="n"/>
      <c r="Y317" s="669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6" t="n"/>
      <c r="M318" s="667" t="inlineStr">
        <is>
          <t>Итого</t>
        </is>
      </c>
      <c r="N318" s="637" t="n"/>
      <c r="O318" s="637" t="n"/>
      <c r="P318" s="637" t="n"/>
      <c r="Q318" s="637" t="n"/>
      <c r="R318" s="637" t="n"/>
      <c r="S318" s="638" t="n"/>
      <c r="T318" s="41" t="inlineStr">
        <is>
          <t>кг</t>
        </is>
      </c>
      <c r="U318" s="668">
        <f>IFERROR(SUM(U315:U316),"0")</f>
        <v/>
      </c>
      <c r="V318" s="668">
        <f>IFERROR(SUM(V315:V316),"0")</f>
        <v/>
      </c>
      <c r="W318" s="41" t="n"/>
      <c r="X318" s="669" t="n"/>
      <c r="Y318" s="669" t="n"/>
    </row>
    <row r="319" ht="14.25" customHeight="1">
      <c r="A319" s="326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27" customHeight="1">
      <c r="A320" s="61" t="inlineStr">
        <is>
          <t>SU002074</t>
        </is>
      </c>
      <c r="B320" s="61" t="inlineStr">
        <is>
          <t>P002693</t>
        </is>
      </c>
      <c r="C320" s="35" t="n">
        <v>4301051303</v>
      </c>
      <c r="D320" s="310" t="n">
        <v>4607091384246</v>
      </c>
      <c r="E320" s="629" t="n"/>
      <c r="F320" s="661" t="n">
        <v>1.3</v>
      </c>
      <c r="G320" s="36" t="n">
        <v>6</v>
      </c>
      <c r="H320" s="661" t="n">
        <v>7.8</v>
      </c>
      <c r="I320" s="661" t="n">
        <v>8.364000000000001</v>
      </c>
      <c r="J320" s="36" t="n">
        <v>56</v>
      </c>
      <c r="K320" s="37" t="inlineStr">
        <is>
          <t>СК2</t>
        </is>
      </c>
      <c r="L320" s="36" t="n">
        <v>40</v>
      </c>
      <c r="M320" s="8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3" t="n"/>
      <c r="O320" s="663" t="n"/>
      <c r="P320" s="663" t="n"/>
      <c r="Q320" s="629" t="n"/>
      <c r="R320" s="38" t="inlineStr"/>
      <c r="S320" s="38" t="inlineStr"/>
      <c r="T320" s="39" t="inlineStr">
        <is>
          <t>кг</t>
        </is>
      </c>
      <c r="U320" s="664" t="n">
        <v>0</v>
      </c>
      <c r="V320" s="665">
        <f>IFERROR(IF(U320="",0,CEILING((U320/$H320),1)*$H320),"")</f>
        <v/>
      </c>
      <c r="W320" s="40">
        <f>IFERROR(IF(V320=0,"",ROUNDUP(V320/H320,0)*0.02175),"")</f>
        <v/>
      </c>
      <c r="X320" s="66" t="inlineStr"/>
      <c r="Y320" s="67" t="inlineStr"/>
      <c r="AC320" s="68" t="n"/>
      <c r="AZ320" s="239" t="inlineStr">
        <is>
          <t>КИ</t>
        </is>
      </c>
    </row>
    <row r="321" ht="27" customHeight="1">
      <c r="A321" s="61" t="inlineStr">
        <is>
          <t>SU002896</t>
        </is>
      </c>
      <c r="B321" s="61" t="inlineStr">
        <is>
          <t>P003330</t>
        </is>
      </c>
      <c r="C321" s="35" t="n">
        <v>4301051445</v>
      </c>
      <c r="D321" s="310" t="n">
        <v>4680115881976</v>
      </c>
      <c r="E321" s="629" t="n"/>
      <c r="F321" s="661" t="n">
        <v>1.3</v>
      </c>
      <c r="G321" s="36" t="n">
        <v>6</v>
      </c>
      <c r="H321" s="661" t="n">
        <v>7.8</v>
      </c>
      <c r="I321" s="661" t="n">
        <v>8.279999999999999</v>
      </c>
      <c r="J321" s="36" t="n">
        <v>56</v>
      </c>
      <c r="K321" s="37" t="inlineStr">
        <is>
          <t>СК2</t>
        </is>
      </c>
      <c r="L321" s="36" t="n">
        <v>40</v>
      </c>
      <c r="M321" s="8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3" t="n"/>
      <c r="O321" s="663" t="n"/>
      <c r="P321" s="663" t="n"/>
      <c r="Q321" s="629" t="n"/>
      <c r="R321" s="38" t="inlineStr"/>
      <c r="S321" s="38" t="inlineStr"/>
      <c r="T321" s="39" t="inlineStr">
        <is>
          <t>кг</t>
        </is>
      </c>
      <c r="U321" s="664" t="n">
        <v>0</v>
      </c>
      <c r="V321" s="665">
        <f>IFERROR(IF(U321="",0,CEILING((U321/$H321),1)*$H321),"")</f>
        <v/>
      </c>
      <c r="W321" s="40">
        <f>IFERROR(IF(V321=0,"",ROUNDUP(V321/H321,0)*0.02175),"")</f>
        <v/>
      </c>
      <c r="X321" s="66" t="inlineStr"/>
      <c r="Y321" s="67" t="inlineStr"/>
      <c r="AC321" s="68" t="n"/>
      <c r="AZ321" s="240" t="inlineStr">
        <is>
          <t>КИ</t>
        </is>
      </c>
    </row>
    <row r="322" ht="27" customHeight="1">
      <c r="A322" s="61" t="inlineStr">
        <is>
          <t>SU002205</t>
        </is>
      </c>
      <c r="B322" s="61" t="inlineStr">
        <is>
          <t>P002694</t>
        </is>
      </c>
      <c r="C322" s="35" t="n">
        <v>4301051297</v>
      </c>
      <c r="D322" s="310" t="n">
        <v>4607091384253</v>
      </c>
      <c r="E322" s="629" t="n"/>
      <c r="F322" s="661" t="n">
        <v>0.4</v>
      </c>
      <c r="G322" s="36" t="n">
        <v>6</v>
      </c>
      <c r="H322" s="661" t="n">
        <v>2.4</v>
      </c>
      <c r="I322" s="661" t="n">
        <v>2.684</v>
      </c>
      <c r="J322" s="36" t="n">
        <v>156</v>
      </c>
      <c r="K322" s="37" t="inlineStr">
        <is>
          <t>СК2</t>
        </is>
      </c>
      <c r="L322" s="36" t="n">
        <v>40</v>
      </c>
      <c r="M322" s="8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3" t="n"/>
      <c r="O322" s="663" t="n"/>
      <c r="P322" s="663" t="n"/>
      <c r="Q322" s="629" t="n"/>
      <c r="R322" s="38" t="inlineStr"/>
      <c r="S322" s="38" t="inlineStr"/>
      <c r="T322" s="39" t="inlineStr">
        <is>
          <t>кг</t>
        </is>
      </c>
      <c r="U322" s="664" t="n">
        <v>0</v>
      </c>
      <c r="V322" s="665">
        <f>IFERROR(IF(U322="",0,CEILING((U322/$H322),1)*$H322),"")</f>
        <v/>
      </c>
      <c r="W322" s="40">
        <f>IFERROR(IF(V322=0,"",ROUNDUP(V322/H322,0)*0.00753),"")</f>
        <v/>
      </c>
      <c r="X322" s="66" t="inlineStr"/>
      <c r="Y322" s="67" t="inlineStr"/>
      <c r="AC322" s="68" t="n"/>
      <c r="AZ322" s="241" t="inlineStr">
        <is>
          <t>КИ</t>
        </is>
      </c>
    </row>
    <row r="323" ht="27" customHeight="1">
      <c r="A323" s="61" t="inlineStr">
        <is>
          <t>SU002895</t>
        </is>
      </c>
      <c r="B323" s="61" t="inlineStr">
        <is>
          <t>P003329</t>
        </is>
      </c>
      <c r="C323" s="35" t="n">
        <v>4301051444</v>
      </c>
      <c r="D323" s="310" t="n">
        <v>4680115881969</v>
      </c>
      <c r="E323" s="629" t="n"/>
      <c r="F323" s="661" t="n">
        <v>0.4</v>
      </c>
      <c r="G323" s="36" t="n">
        <v>6</v>
      </c>
      <c r="H323" s="661" t="n">
        <v>2.4</v>
      </c>
      <c r="I323" s="661" t="n">
        <v>2.6</v>
      </c>
      <c r="J323" s="36" t="n">
        <v>156</v>
      </c>
      <c r="K323" s="37" t="inlineStr">
        <is>
          <t>СК2</t>
        </is>
      </c>
      <c r="L323" s="36" t="n">
        <v>40</v>
      </c>
      <c r="M323" s="8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3" t="n"/>
      <c r="O323" s="663" t="n"/>
      <c r="P323" s="663" t="n"/>
      <c r="Q323" s="629" t="n"/>
      <c r="R323" s="38" t="inlineStr"/>
      <c r="S323" s="38" t="inlineStr"/>
      <c r="T323" s="39" t="inlineStr">
        <is>
          <t>кг</t>
        </is>
      </c>
      <c r="U323" s="664" t="n">
        <v>0</v>
      </c>
      <c r="V323" s="665">
        <f>IFERROR(IF(U323="",0,CEILING((U323/$H323),1)*$H323),"")</f>
        <v/>
      </c>
      <c r="W323" s="40">
        <f>IFERROR(IF(V323=0,"",ROUNDUP(V323/H323,0)*0.00753),"")</f>
        <v/>
      </c>
      <c r="X323" s="66" t="inlineStr"/>
      <c r="Y323" s="67" t="inlineStr"/>
      <c r="AC323" s="68" t="n"/>
      <c r="AZ323" s="242" t="inlineStr">
        <is>
          <t>КИ</t>
        </is>
      </c>
    </row>
    <row r="324">
      <c r="A324" s="318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6" t="n"/>
      <c r="M324" s="667" t="inlineStr">
        <is>
          <t>Итого</t>
        </is>
      </c>
      <c r="N324" s="637" t="n"/>
      <c r="O324" s="637" t="n"/>
      <c r="P324" s="637" t="n"/>
      <c r="Q324" s="637" t="n"/>
      <c r="R324" s="637" t="n"/>
      <c r="S324" s="638" t="n"/>
      <c r="T324" s="41" t="inlineStr">
        <is>
          <t>кор</t>
        </is>
      </c>
      <c r="U324" s="668">
        <f>IFERROR(U320/H320,"0")+IFERROR(U321/H321,"0")+IFERROR(U322/H322,"0")+IFERROR(U323/H323,"0")</f>
        <v/>
      </c>
      <c r="V324" s="668">
        <f>IFERROR(V320/H320,"0")+IFERROR(V321/H321,"0")+IFERROR(V322/H322,"0")+IFERROR(V323/H323,"0")</f>
        <v/>
      </c>
      <c r="W324" s="668">
        <f>IFERROR(IF(W320="",0,W320),"0")+IFERROR(IF(W321="",0,W321),"0")+IFERROR(IF(W322="",0,W322),"0")+IFERROR(IF(W323="",0,W323),"0")</f>
        <v/>
      </c>
      <c r="X324" s="669" t="n"/>
      <c r="Y324" s="669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6" t="n"/>
      <c r="M325" s="667" t="inlineStr">
        <is>
          <t>Итого</t>
        </is>
      </c>
      <c r="N325" s="637" t="n"/>
      <c r="O325" s="637" t="n"/>
      <c r="P325" s="637" t="n"/>
      <c r="Q325" s="637" t="n"/>
      <c r="R325" s="637" t="n"/>
      <c r="S325" s="638" t="n"/>
      <c r="T325" s="41" t="inlineStr">
        <is>
          <t>кг</t>
        </is>
      </c>
      <c r="U325" s="668">
        <f>IFERROR(SUM(U320:U323),"0")</f>
        <v/>
      </c>
      <c r="V325" s="668">
        <f>IFERROR(SUM(V320:V323),"0")</f>
        <v/>
      </c>
      <c r="W325" s="41" t="n"/>
      <c r="X325" s="669" t="n"/>
      <c r="Y325" s="669" t="n"/>
    </row>
    <row r="326" ht="14.25" customHeight="1">
      <c r="A326" s="326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6" t="n"/>
      <c r="Y326" s="326" t="n"/>
    </row>
    <row r="327" ht="27" customHeight="1">
      <c r="A327" s="61" t="inlineStr">
        <is>
          <t>SU002472</t>
        </is>
      </c>
      <c r="B327" s="61" t="inlineStr">
        <is>
          <t>P002973</t>
        </is>
      </c>
      <c r="C327" s="35" t="n">
        <v>4301060322</v>
      </c>
      <c r="D327" s="310" t="n">
        <v>4607091389357</v>
      </c>
      <c r="E327" s="629" t="n"/>
      <c r="F327" s="661" t="n">
        <v>1.3</v>
      </c>
      <c r="G327" s="36" t="n">
        <v>6</v>
      </c>
      <c r="H327" s="661" t="n">
        <v>7.8</v>
      </c>
      <c r="I327" s="661" t="n">
        <v>8.279999999999999</v>
      </c>
      <c r="J327" s="36" t="n">
        <v>56</v>
      </c>
      <c r="K327" s="37" t="inlineStr">
        <is>
          <t>СК2</t>
        </is>
      </c>
      <c r="L327" s="36" t="n">
        <v>40</v>
      </c>
      <c r="M327" s="8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3" t="n"/>
      <c r="O327" s="663" t="n"/>
      <c r="P327" s="663" t="n"/>
      <c r="Q327" s="629" t="n"/>
      <c r="R327" s="38" t="inlineStr"/>
      <c r="S327" s="38" t="inlineStr"/>
      <c r="T327" s="39" t="inlineStr">
        <is>
          <t>кг</t>
        </is>
      </c>
      <c r="U327" s="664" t="n">
        <v>0</v>
      </c>
      <c r="V327" s="665">
        <f>IFERROR(IF(U327="",0,CEILING((U327/$H327),1)*$H327),"")</f>
        <v/>
      </c>
      <c r="W327" s="40">
        <f>IFERROR(IF(V327=0,"",ROUNDUP(V327/H327,0)*0.02175),"")</f>
        <v/>
      </c>
      <c r="X327" s="66" t="inlineStr"/>
      <c r="Y327" s="67" t="inlineStr"/>
      <c r="AC327" s="68" t="n"/>
      <c r="AZ327" s="243" t="inlineStr">
        <is>
          <t>КИ</t>
        </is>
      </c>
    </row>
    <row r="328">
      <c r="A328" s="318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6" t="n"/>
      <c r="M328" s="667" t="inlineStr">
        <is>
          <t>Итого</t>
        </is>
      </c>
      <c r="N328" s="637" t="n"/>
      <c r="O328" s="637" t="n"/>
      <c r="P328" s="637" t="n"/>
      <c r="Q328" s="637" t="n"/>
      <c r="R328" s="637" t="n"/>
      <c r="S328" s="638" t="n"/>
      <c r="T328" s="41" t="inlineStr">
        <is>
          <t>кор</t>
        </is>
      </c>
      <c r="U328" s="668">
        <f>IFERROR(U327/H327,"0")</f>
        <v/>
      </c>
      <c r="V328" s="668">
        <f>IFERROR(V327/H327,"0")</f>
        <v/>
      </c>
      <c r="W328" s="668">
        <f>IFERROR(IF(W327="",0,W327),"0")</f>
        <v/>
      </c>
      <c r="X328" s="669" t="n"/>
      <c r="Y328" s="669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6" t="n"/>
      <c r="M329" s="667" t="inlineStr">
        <is>
          <t>Итого</t>
        </is>
      </c>
      <c r="N329" s="637" t="n"/>
      <c r="O329" s="637" t="n"/>
      <c r="P329" s="637" t="n"/>
      <c r="Q329" s="637" t="n"/>
      <c r="R329" s="637" t="n"/>
      <c r="S329" s="638" t="n"/>
      <c r="T329" s="41" t="inlineStr">
        <is>
          <t>кг</t>
        </is>
      </c>
      <c r="U329" s="668">
        <f>IFERROR(SUM(U327:U327),"0")</f>
        <v/>
      </c>
      <c r="V329" s="668">
        <f>IFERROR(SUM(V327:V327),"0")</f>
        <v/>
      </c>
      <c r="W329" s="41" t="n"/>
      <c r="X329" s="669" t="n"/>
      <c r="Y329" s="669" t="n"/>
    </row>
    <row r="330" ht="27.75" customHeight="1">
      <c r="A330" s="331" t="inlineStr">
        <is>
          <t>Баварушка</t>
        </is>
      </c>
      <c r="B330" s="660" t="n"/>
      <c r="C330" s="660" t="n"/>
      <c r="D330" s="660" t="n"/>
      <c r="E330" s="660" t="n"/>
      <c r="F330" s="660" t="n"/>
      <c r="G330" s="660" t="n"/>
      <c r="H330" s="660" t="n"/>
      <c r="I330" s="660" t="n"/>
      <c r="J330" s="660" t="n"/>
      <c r="K330" s="660" t="n"/>
      <c r="L330" s="660" t="n"/>
      <c r="M330" s="660" t="n"/>
      <c r="N330" s="660" t="n"/>
      <c r="O330" s="660" t="n"/>
      <c r="P330" s="660" t="n"/>
      <c r="Q330" s="660" t="n"/>
      <c r="R330" s="660" t="n"/>
      <c r="S330" s="660" t="n"/>
      <c r="T330" s="660" t="n"/>
      <c r="U330" s="660" t="n"/>
      <c r="V330" s="660" t="n"/>
      <c r="W330" s="660" t="n"/>
      <c r="X330" s="53" t="n"/>
      <c r="Y330" s="53" t="n"/>
    </row>
    <row r="331" ht="16.5" customHeight="1">
      <c r="A331" s="325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5" t="n"/>
      <c r="Y331" s="325" t="n"/>
    </row>
    <row r="332" ht="14.25" customHeight="1">
      <c r="A332" s="326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6" t="n"/>
      <c r="Y332" s="326" t="n"/>
    </row>
    <row r="333" ht="27" customHeight="1">
      <c r="A333" s="61" t="inlineStr">
        <is>
          <t>SU002477</t>
        </is>
      </c>
      <c r="B333" s="61" t="inlineStr">
        <is>
          <t>P003148</t>
        </is>
      </c>
      <c r="C333" s="35" t="n">
        <v>4301011428</v>
      </c>
      <c r="D333" s="310" t="n">
        <v>4607091389708</v>
      </c>
      <c r="E333" s="629" t="n"/>
      <c r="F333" s="661" t="n">
        <v>0.45</v>
      </c>
      <c r="G333" s="36" t="n">
        <v>6</v>
      </c>
      <c r="H333" s="661" t="n">
        <v>2.7</v>
      </c>
      <c r="I333" s="661" t="n">
        <v>2.9</v>
      </c>
      <c r="J333" s="36" t="n">
        <v>156</v>
      </c>
      <c r="K333" s="37" t="inlineStr">
        <is>
          <t>СК1</t>
        </is>
      </c>
      <c r="L333" s="36" t="n">
        <v>50</v>
      </c>
      <c r="M333" s="8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3" t="n"/>
      <c r="O333" s="663" t="n"/>
      <c r="P333" s="663" t="n"/>
      <c r="Q333" s="629" t="n"/>
      <c r="R333" s="38" t="inlineStr"/>
      <c r="S333" s="38" t="inlineStr"/>
      <c r="T333" s="39" t="inlineStr">
        <is>
          <t>кг</t>
        </is>
      </c>
      <c r="U333" s="664" t="n">
        <v>0</v>
      </c>
      <c r="V333" s="665">
        <f>IFERROR(IF(U333="",0,CEILING((U333/$H333),1)*$H333),"")</f>
        <v/>
      </c>
      <c r="W333" s="40">
        <f>IFERROR(IF(V333=0,"",ROUNDUP(V333/H333,0)*0.00753),"")</f>
        <v/>
      </c>
      <c r="X333" s="66" t="inlineStr"/>
      <c r="Y333" s="67" t="inlineStr"/>
      <c r="AC333" s="68" t="n"/>
      <c r="AZ333" s="244" t="inlineStr">
        <is>
          <t>КИ</t>
        </is>
      </c>
    </row>
    <row r="334" ht="27" customHeight="1">
      <c r="A334" s="61" t="inlineStr">
        <is>
          <t>SU002476</t>
        </is>
      </c>
      <c r="B334" s="61" t="inlineStr">
        <is>
          <t>P003147</t>
        </is>
      </c>
      <c r="C334" s="35" t="n">
        <v>4301011427</v>
      </c>
      <c r="D334" s="310" t="n">
        <v>4607091389692</v>
      </c>
      <c r="E334" s="629" t="n"/>
      <c r="F334" s="661" t="n">
        <v>0.45</v>
      </c>
      <c r="G334" s="36" t="n">
        <v>6</v>
      </c>
      <c r="H334" s="661" t="n">
        <v>2.7</v>
      </c>
      <c r="I334" s="661" t="n">
        <v>2.9</v>
      </c>
      <c r="J334" s="36" t="n">
        <v>156</v>
      </c>
      <c r="K334" s="37" t="inlineStr">
        <is>
          <t>СК1</t>
        </is>
      </c>
      <c r="L334" s="36" t="n">
        <v>50</v>
      </c>
      <c r="M334" s="8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3" t="n"/>
      <c r="O334" s="663" t="n"/>
      <c r="P334" s="663" t="n"/>
      <c r="Q334" s="629" t="n"/>
      <c r="R334" s="38" t="inlineStr"/>
      <c r="S334" s="38" t="inlineStr"/>
      <c r="T334" s="39" t="inlineStr">
        <is>
          <t>кг</t>
        </is>
      </c>
      <c r="U334" s="664" t="n">
        <v>0</v>
      </c>
      <c r="V334" s="665">
        <f>IFERROR(IF(U334="",0,CEILING((U334/$H334),1)*$H334),"")</f>
        <v/>
      </c>
      <c r="W334" s="40">
        <f>IFERROR(IF(V334=0,"",ROUNDUP(V334/H334,0)*0.00753),"")</f>
        <v/>
      </c>
      <c r="X334" s="66" t="inlineStr"/>
      <c r="Y334" s="67" t="inlineStr"/>
      <c r="AC334" s="68" t="n"/>
      <c r="AZ334" s="245" t="inlineStr">
        <is>
          <t>КИ</t>
        </is>
      </c>
    </row>
    <row r="335">
      <c r="A335" s="318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6" t="n"/>
      <c r="M335" s="667" t="inlineStr">
        <is>
          <t>Итого</t>
        </is>
      </c>
      <c r="N335" s="637" t="n"/>
      <c r="O335" s="637" t="n"/>
      <c r="P335" s="637" t="n"/>
      <c r="Q335" s="637" t="n"/>
      <c r="R335" s="637" t="n"/>
      <c r="S335" s="638" t="n"/>
      <c r="T335" s="41" t="inlineStr">
        <is>
          <t>кор</t>
        </is>
      </c>
      <c r="U335" s="668">
        <f>IFERROR(U333/H333,"0")+IFERROR(U334/H334,"0")</f>
        <v/>
      </c>
      <c r="V335" s="668">
        <f>IFERROR(V333/H333,"0")+IFERROR(V334/H334,"0")</f>
        <v/>
      </c>
      <c r="W335" s="668">
        <f>IFERROR(IF(W333="",0,W333),"0")+IFERROR(IF(W334="",0,W334),"0")</f>
        <v/>
      </c>
      <c r="X335" s="669" t="n"/>
      <c r="Y335" s="66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6" t="n"/>
      <c r="M336" s="667" t="inlineStr">
        <is>
          <t>Итого</t>
        </is>
      </c>
      <c r="N336" s="637" t="n"/>
      <c r="O336" s="637" t="n"/>
      <c r="P336" s="637" t="n"/>
      <c r="Q336" s="637" t="n"/>
      <c r="R336" s="637" t="n"/>
      <c r="S336" s="638" t="n"/>
      <c r="T336" s="41" t="inlineStr">
        <is>
          <t>кг</t>
        </is>
      </c>
      <c r="U336" s="668">
        <f>IFERROR(SUM(U333:U334),"0")</f>
        <v/>
      </c>
      <c r="V336" s="668">
        <f>IFERROR(SUM(V333:V334),"0")</f>
        <v/>
      </c>
      <c r="W336" s="41" t="n"/>
      <c r="X336" s="669" t="n"/>
      <c r="Y336" s="669" t="n"/>
    </row>
    <row r="337" ht="14.25" customHeight="1">
      <c r="A337" s="326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6" t="n"/>
      <c r="Y337" s="326" t="n"/>
    </row>
    <row r="338" ht="27" customHeight="1">
      <c r="A338" s="61" t="inlineStr">
        <is>
          <t>SU002614</t>
        </is>
      </c>
      <c r="B338" s="61" t="inlineStr">
        <is>
          <t>P003138</t>
        </is>
      </c>
      <c r="C338" s="35" t="n">
        <v>4301031177</v>
      </c>
      <c r="D338" s="310" t="n">
        <v>4607091389753</v>
      </c>
      <c r="E338" s="629" t="n"/>
      <c r="F338" s="661" t="n">
        <v>0.7</v>
      </c>
      <c r="G338" s="36" t="n">
        <v>6</v>
      </c>
      <c r="H338" s="661" t="n">
        <v>4.2</v>
      </c>
      <c r="I338" s="661" t="n">
        <v>4.43</v>
      </c>
      <c r="J338" s="36" t="n">
        <v>156</v>
      </c>
      <c r="K338" s="37" t="inlineStr">
        <is>
          <t>СК2</t>
        </is>
      </c>
      <c r="L338" s="36" t="n">
        <v>45</v>
      </c>
      <c r="M338" s="8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3" t="n"/>
      <c r="O338" s="663" t="n"/>
      <c r="P338" s="663" t="n"/>
      <c r="Q338" s="629" t="n"/>
      <c r="R338" s="38" t="inlineStr"/>
      <c r="S338" s="38" t="inlineStr"/>
      <c r="T338" s="39" t="inlineStr">
        <is>
          <t>кг</t>
        </is>
      </c>
      <c r="U338" s="664" t="n">
        <v>0</v>
      </c>
      <c r="V338" s="665">
        <f>IFERROR(IF(U338="",0,CEILING((U338/$H338),1)*$H338),"")</f>
        <v/>
      </c>
      <c r="W338" s="40">
        <f>IFERROR(IF(V338=0,"",ROUNDUP(V338/H338,0)*0.00753),"")</f>
        <v/>
      </c>
      <c r="X338" s="66" t="inlineStr"/>
      <c r="Y338" s="67" t="inlineStr"/>
      <c r="AC338" s="68" t="n"/>
      <c r="AZ338" s="246" t="inlineStr">
        <is>
          <t>КИ</t>
        </is>
      </c>
    </row>
    <row r="339" ht="27" customHeight="1">
      <c r="A339" s="61" t="inlineStr">
        <is>
          <t>SU002615</t>
        </is>
      </c>
      <c r="B339" s="61" t="inlineStr">
        <is>
          <t>P003136</t>
        </is>
      </c>
      <c r="C339" s="35" t="n">
        <v>4301031174</v>
      </c>
      <c r="D339" s="310" t="n">
        <v>4607091389760</v>
      </c>
      <c r="E339" s="629" t="n"/>
      <c r="F339" s="661" t="n">
        <v>0.7</v>
      </c>
      <c r="G339" s="36" t="n">
        <v>6</v>
      </c>
      <c r="H339" s="661" t="n">
        <v>4.2</v>
      </c>
      <c r="I339" s="661" t="n">
        <v>4.43</v>
      </c>
      <c r="J339" s="36" t="n">
        <v>156</v>
      </c>
      <c r="K339" s="37" t="inlineStr">
        <is>
          <t>СК2</t>
        </is>
      </c>
      <c r="L339" s="36" t="n">
        <v>45</v>
      </c>
      <c r="M339" s="8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3" t="n"/>
      <c r="O339" s="663" t="n"/>
      <c r="P339" s="663" t="n"/>
      <c r="Q339" s="629" t="n"/>
      <c r="R339" s="38" t="inlineStr"/>
      <c r="S339" s="38" t="inlineStr"/>
      <c r="T339" s="39" t="inlineStr">
        <is>
          <t>кг</t>
        </is>
      </c>
      <c r="U339" s="664" t="n">
        <v>0</v>
      </c>
      <c r="V339" s="665">
        <f>IFERROR(IF(U339="",0,CEILING((U339/$H339),1)*$H339),"")</f>
        <v/>
      </c>
      <c r="W339" s="40">
        <f>IFERROR(IF(V339=0,"",ROUNDUP(V339/H339,0)*0.00753),"")</f>
        <v/>
      </c>
      <c r="X339" s="66" t="inlineStr"/>
      <c r="Y339" s="67" t="inlineStr"/>
      <c r="AC339" s="68" t="n"/>
      <c r="AZ339" s="247" t="inlineStr">
        <is>
          <t>КИ</t>
        </is>
      </c>
    </row>
    <row r="340" ht="27" customHeight="1">
      <c r="A340" s="61" t="inlineStr">
        <is>
          <t>SU002613</t>
        </is>
      </c>
      <c r="B340" s="61" t="inlineStr">
        <is>
          <t>P003133</t>
        </is>
      </c>
      <c r="C340" s="35" t="n">
        <v>4301031175</v>
      </c>
      <c r="D340" s="310" t="n">
        <v>4607091389746</v>
      </c>
      <c r="E340" s="629" t="n"/>
      <c r="F340" s="661" t="n">
        <v>0.7</v>
      </c>
      <c r="G340" s="36" t="n">
        <v>6</v>
      </c>
      <c r="H340" s="661" t="n">
        <v>4.2</v>
      </c>
      <c r="I340" s="661" t="n">
        <v>4.43</v>
      </c>
      <c r="J340" s="36" t="n">
        <v>156</v>
      </c>
      <c r="K340" s="37" t="inlineStr">
        <is>
          <t>СК2</t>
        </is>
      </c>
      <c r="L340" s="36" t="n">
        <v>45</v>
      </c>
      <c r="M340" s="8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3" t="n"/>
      <c r="O340" s="663" t="n"/>
      <c r="P340" s="663" t="n"/>
      <c r="Q340" s="629" t="n"/>
      <c r="R340" s="38" t="inlineStr"/>
      <c r="S340" s="38" t="inlineStr"/>
      <c r="T340" s="39" t="inlineStr">
        <is>
          <t>кг</t>
        </is>
      </c>
      <c r="U340" s="664" t="n">
        <v>80</v>
      </c>
      <c r="V340" s="665">
        <f>IFERROR(IF(U340="",0,CEILING((U340/$H340),1)*$H340),"")</f>
        <v/>
      </c>
      <c r="W340" s="40">
        <f>IFERROR(IF(V340=0,"",ROUNDUP(V340/H340,0)*0.00753),"")</f>
        <v/>
      </c>
      <c r="X340" s="66" t="inlineStr"/>
      <c r="Y340" s="67" t="inlineStr"/>
      <c r="AC340" s="68" t="n"/>
      <c r="AZ340" s="248" t="inlineStr">
        <is>
          <t>КИ</t>
        </is>
      </c>
    </row>
    <row r="341" ht="37.5" customHeight="1">
      <c r="A341" s="61" t="inlineStr">
        <is>
          <t>SU003035</t>
        </is>
      </c>
      <c r="B341" s="61" t="inlineStr">
        <is>
          <t>P003496</t>
        </is>
      </c>
      <c r="C341" s="35" t="n">
        <v>4301031236</v>
      </c>
      <c r="D341" s="310" t="n">
        <v>4680115882928</v>
      </c>
      <c r="E341" s="629" t="n"/>
      <c r="F341" s="661" t="n">
        <v>0.28</v>
      </c>
      <c r="G341" s="36" t="n">
        <v>6</v>
      </c>
      <c r="H341" s="661" t="n">
        <v>1.68</v>
      </c>
      <c r="I341" s="661" t="n">
        <v>2.6</v>
      </c>
      <c r="J341" s="36" t="n">
        <v>156</v>
      </c>
      <c r="K341" s="37" t="inlineStr">
        <is>
          <t>СК2</t>
        </is>
      </c>
      <c r="L341" s="36" t="n">
        <v>35</v>
      </c>
      <c r="M341" s="8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3" t="n"/>
      <c r="O341" s="663" t="n"/>
      <c r="P341" s="663" t="n"/>
      <c r="Q341" s="629" t="n"/>
      <c r="R341" s="38" t="inlineStr"/>
      <c r="S341" s="38" t="inlineStr"/>
      <c r="T341" s="39" t="inlineStr">
        <is>
          <t>кг</t>
        </is>
      </c>
      <c r="U341" s="664" t="n">
        <v>0</v>
      </c>
      <c r="V341" s="665">
        <f>IFERROR(IF(U341="",0,CEILING((U341/$H341),1)*$H341),"")</f>
        <v/>
      </c>
      <c r="W341" s="40">
        <f>IFERROR(IF(V341=0,"",ROUNDUP(V341/H341,0)*0.00753),"")</f>
        <v/>
      </c>
      <c r="X341" s="66" t="inlineStr"/>
      <c r="Y341" s="67" t="inlineStr"/>
      <c r="AC341" s="68" t="n"/>
      <c r="AZ341" s="249" t="inlineStr">
        <is>
          <t>КИ</t>
        </is>
      </c>
    </row>
    <row r="342" ht="27" customHeight="1">
      <c r="A342" s="61" t="inlineStr">
        <is>
          <t>SU003083</t>
        </is>
      </c>
      <c r="B342" s="61" t="inlineStr">
        <is>
          <t>P003646</t>
        </is>
      </c>
      <c r="C342" s="35" t="n">
        <v>4301031257</v>
      </c>
      <c r="D342" s="310" t="n">
        <v>4680115883147</v>
      </c>
      <c r="E342" s="629" t="n"/>
      <c r="F342" s="661" t="n">
        <v>0.28</v>
      </c>
      <c r="G342" s="36" t="n">
        <v>6</v>
      </c>
      <c r="H342" s="661" t="n">
        <v>1.68</v>
      </c>
      <c r="I342" s="661" t="n">
        <v>1.81</v>
      </c>
      <c r="J342" s="36" t="n">
        <v>234</v>
      </c>
      <c r="K342" s="37" t="inlineStr">
        <is>
          <t>СК2</t>
        </is>
      </c>
      <c r="L342" s="36" t="n">
        <v>45</v>
      </c>
      <c r="M342" s="8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3" t="n"/>
      <c r="O342" s="663" t="n"/>
      <c r="P342" s="663" t="n"/>
      <c r="Q342" s="629" t="n"/>
      <c r="R342" s="38" t="inlineStr"/>
      <c r="S342" s="38" t="inlineStr"/>
      <c r="T342" s="39" t="inlineStr">
        <is>
          <t>кг</t>
        </is>
      </c>
      <c r="U342" s="664" t="n">
        <v>0</v>
      </c>
      <c r="V342" s="665">
        <f>IFERROR(IF(U342="",0,CEILING((U342/$H342),1)*$H342),"")</f>
        <v/>
      </c>
      <c r="W342" s="40">
        <f>IFERROR(IF(V342=0,"",ROUNDUP(V342/H342,0)*0.00502),"")</f>
        <v/>
      </c>
      <c r="X342" s="66" t="inlineStr"/>
      <c r="Y342" s="67" t="inlineStr"/>
      <c r="AC342" s="68" t="n"/>
      <c r="AZ342" s="250" t="inlineStr">
        <is>
          <t>КИ</t>
        </is>
      </c>
    </row>
    <row r="343" ht="27" customHeight="1">
      <c r="A343" s="61" t="inlineStr">
        <is>
          <t>SU002538</t>
        </is>
      </c>
      <c r="B343" s="61" t="inlineStr">
        <is>
          <t>P003139</t>
        </is>
      </c>
      <c r="C343" s="35" t="n">
        <v>4301031178</v>
      </c>
      <c r="D343" s="310" t="n">
        <v>4607091384338</v>
      </c>
      <c r="E343" s="629" t="n"/>
      <c r="F343" s="661" t="n">
        <v>0.35</v>
      </c>
      <c r="G343" s="36" t="n">
        <v>6</v>
      </c>
      <c r="H343" s="661" t="n">
        <v>2.1</v>
      </c>
      <c r="I343" s="661" t="n">
        <v>2.23</v>
      </c>
      <c r="J343" s="36" t="n">
        <v>234</v>
      </c>
      <c r="K343" s="37" t="inlineStr">
        <is>
          <t>СК2</t>
        </is>
      </c>
      <c r="L343" s="36" t="n">
        <v>45</v>
      </c>
      <c r="M343" s="8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3" t="n"/>
      <c r="O343" s="663" t="n"/>
      <c r="P343" s="663" t="n"/>
      <c r="Q343" s="629" t="n"/>
      <c r="R343" s="38" t="inlineStr"/>
      <c r="S343" s="38" t="inlineStr"/>
      <c r="T343" s="39" t="inlineStr">
        <is>
          <t>кг</t>
        </is>
      </c>
      <c r="U343" s="664" t="n">
        <v>0</v>
      </c>
      <c r="V343" s="665">
        <f>IFERROR(IF(U343="",0,CEILING((U343/$H343),1)*$H343),"")</f>
        <v/>
      </c>
      <c r="W343" s="40">
        <f>IFERROR(IF(V343=0,"",ROUNDUP(V343/H343,0)*0.00502),"")</f>
        <v/>
      </c>
      <c r="X343" s="66" t="inlineStr"/>
      <c r="Y343" s="67" t="inlineStr"/>
      <c r="AC343" s="68" t="n"/>
      <c r="AZ343" s="251" t="inlineStr">
        <is>
          <t>КИ</t>
        </is>
      </c>
    </row>
    <row r="344" ht="37.5" customHeight="1">
      <c r="A344" s="61" t="inlineStr">
        <is>
          <t>SU003079</t>
        </is>
      </c>
      <c r="B344" s="61" t="inlineStr">
        <is>
          <t>P003643</t>
        </is>
      </c>
      <c r="C344" s="35" t="n">
        <v>4301031254</v>
      </c>
      <c r="D344" s="310" t="n">
        <v>4680115883154</v>
      </c>
      <c r="E344" s="629" t="n"/>
      <c r="F344" s="661" t="n">
        <v>0.28</v>
      </c>
      <c r="G344" s="36" t="n">
        <v>6</v>
      </c>
      <c r="H344" s="661" t="n">
        <v>1.68</v>
      </c>
      <c r="I344" s="661" t="n">
        <v>1.81</v>
      </c>
      <c r="J344" s="36" t="n">
        <v>234</v>
      </c>
      <c r="K344" s="37" t="inlineStr">
        <is>
          <t>СК2</t>
        </is>
      </c>
      <c r="L344" s="36" t="n">
        <v>45</v>
      </c>
      <c r="M344" s="8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3" t="n"/>
      <c r="O344" s="663" t="n"/>
      <c r="P344" s="663" t="n"/>
      <c r="Q344" s="629" t="n"/>
      <c r="R344" s="38" t="inlineStr"/>
      <c r="S344" s="38" t="inlineStr"/>
      <c r="T344" s="39" t="inlineStr">
        <is>
          <t>кг</t>
        </is>
      </c>
      <c r="U344" s="664" t="n">
        <v>0</v>
      </c>
      <c r="V344" s="665">
        <f>IFERROR(IF(U344="",0,CEILING((U344/$H344),1)*$H344),"")</f>
        <v/>
      </c>
      <c r="W344" s="40">
        <f>IFERROR(IF(V344=0,"",ROUNDUP(V344/H344,0)*0.00502),"")</f>
        <v/>
      </c>
      <c r="X344" s="66" t="inlineStr"/>
      <c r="Y344" s="67" t="inlineStr"/>
      <c r="AC344" s="68" t="n"/>
      <c r="AZ344" s="252" t="inlineStr">
        <is>
          <t>КИ</t>
        </is>
      </c>
    </row>
    <row r="345" ht="37.5" customHeight="1">
      <c r="A345" s="61" t="inlineStr">
        <is>
          <t>SU002602</t>
        </is>
      </c>
      <c r="B345" s="61" t="inlineStr">
        <is>
          <t>P003132</t>
        </is>
      </c>
      <c r="C345" s="35" t="n">
        <v>4301031171</v>
      </c>
      <c r="D345" s="310" t="n">
        <v>4607091389524</v>
      </c>
      <c r="E345" s="629" t="n"/>
      <c r="F345" s="661" t="n">
        <v>0.35</v>
      </c>
      <c r="G345" s="36" t="n">
        <v>6</v>
      </c>
      <c r="H345" s="661" t="n">
        <v>2.1</v>
      </c>
      <c r="I345" s="661" t="n">
        <v>2.23</v>
      </c>
      <c r="J345" s="36" t="n">
        <v>234</v>
      </c>
      <c r="K345" s="37" t="inlineStr">
        <is>
          <t>СК2</t>
        </is>
      </c>
      <c r="L345" s="36" t="n">
        <v>45</v>
      </c>
      <c r="M345" s="8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3" t="n"/>
      <c r="O345" s="663" t="n"/>
      <c r="P345" s="663" t="n"/>
      <c r="Q345" s="629" t="n"/>
      <c r="R345" s="38" t="inlineStr"/>
      <c r="S345" s="38" t="inlineStr"/>
      <c r="T345" s="39" t="inlineStr">
        <is>
          <t>кг</t>
        </is>
      </c>
      <c r="U345" s="664" t="n">
        <v>0</v>
      </c>
      <c r="V345" s="665">
        <f>IFERROR(IF(U345="",0,CEILING((U345/$H345),1)*$H345),"")</f>
        <v/>
      </c>
      <c r="W345" s="40">
        <f>IFERROR(IF(V345=0,"",ROUNDUP(V345/H345,0)*0.00502),"")</f>
        <v/>
      </c>
      <c r="X345" s="66" t="inlineStr"/>
      <c r="Y345" s="67" t="inlineStr"/>
      <c r="AC345" s="68" t="n"/>
      <c r="AZ345" s="253" t="inlineStr">
        <is>
          <t>КИ</t>
        </is>
      </c>
    </row>
    <row r="346" ht="27" customHeight="1">
      <c r="A346" s="61" t="inlineStr">
        <is>
          <t>SU003080</t>
        </is>
      </c>
      <c r="B346" s="61" t="inlineStr">
        <is>
          <t>P003647</t>
        </is>
      </c>
      <c r="C346" s="35" t="n">
        <v>4301031258</v>
      </c>
      <c r="D346" s="310" t="n">
        <v>4680115883161</v>
      </c>
      <c r="E346" s="629" t="n"/>
      <c r="F346" s="661" t="n">
        <v>0.28</v>
      </c>
      <c r="G346" s="36" t="n">
        <v>6</v>
      </c>
      <c r="H346" s="661" t="n">
        <v>1.68</v>
      </c>
      <c r="I346" s="661" t="n">
        <v>1.81</v>
      </c>
      <c r="J346" s="36" t="n">
        <v>234</v>
      </c>
      <c r="K346" s="37" t="inlineStr">
        <is>
          <t>СК2</t>
        </is>
      </c>
      <c r="L346" s="36" t="n">
        <v>45</v>
      </c>
      <c r="M346" s="8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3" t="n"/>
      <c r="O346" s="663" t="n"/>
      <c r="P346" s="663" t="n"/>
      <c r="Q346" s="629" t="n"/>
      <c r="R346" s="38" t="inlineStr"/>
      <c r="S346" s="38" t="inlineStr"/>
      <c r="T346" s="39" t="inlineStr">
        <is>
          <t>кг</t>
        </is>
      </c>
      <c r="U346" s="664" t="n">
        <v>0</v>
      </c>
      <c r="V346" s="665">
        <f>IFERROR(IF(U346="",0,CEILING((U346/$H346),1)*$H346),"")</f>
        <v/>
      </c>
      <c r="W346" s="40">
        <f>IFERROR(IF(V346=0,"",ROUNDUP(V346/H346,0)*0.00502),"")</f>
        <v/>
      </c>
      <c r="X346" s="66" t="inlineStr"/>
      <c r="Y346" s="67" t="inlineStr"/>
      <c r="AC346" s="68" t="n"/>
      <c r="AZ346" s="254" t="inlineStr">
        <is>
          <t>КИ</t>
        </is>
      </c>
    </row>
    <row r="347" ht="27" customHeight="1">
      <c r="A347" s="61" t="inlineStr">
        <is>
          <t>SU002603</t>
        </is>
      </c>
      <c r="B347" s="61" t="inlineStr">
        <is>
          <t>P003131</t>
        </is>
      </c>
      <c r="C347" s="35" t="n">
        <v>4301031170</v>
      </c>
      <c r="D347" s="310" t="n">
        <v>4607091384345</v>
      </c>
      <c r="E347" s="629" t="n"/>
      <c r="F347" s="661" t="n">
        <v>0.35</v>
      </c>
      <c r="G347" s="36" t="n">
        <v>6</v>
      </c>
      <c r="H347" s="661" t="n">
        <v>2.1</v>
      </c>
      <c r="I347" s="661" t="n">
        <v>2.23</v>
      </c>
      <c r="J347" s="36" t="n">
        <v>234</v>
      </c>
      <c r="K347" s="37" t="inlineStr">
        <is>
          <t>СК2</t>
        </is>
      </c>
      <c r="L347" s="36" t="n">
        <v>45</v>
      </c>
      <c r="M347" s="8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3" t="n"/>
      <c r="O347" s="663" t="n"/>
      <c r="P347" s="663" t="n"/>
      <c r="Q347" s="629" t="n"/>
      <c r="R347" s="38" t="inlineStr"/>
      <c r="S347" s="38" t="inlineStr"/>
      <c r="T347" s="39" t="inlineStr">
        <is>
          <t>кг</t>
        </is>
      </c>
      <c r="U347" s="664" t="n">
        <v>0</v>
      </c>
      <c r="V347" s="665">
        <f>IFERROR(IF(U347="",0,CEILING((U347/$H347),1)*$H347),"")</f>
        <v/>
      </c>
      <c r="W347" s="40">
        <f>IFERROR(IF(V347=0,"",ROUNDUP(V347/H347,0)*0.00502),"")</f>
        <v/>
      </c>
      <c r="X347" s="66" t="inlineStr"/>
      <c r="Y347" s="67" t="inlineStr"/>
      <c r="AC347" s="68" t="n"/>
      <c r="AZ347" s="255" t="inlineStr">
        <is>
          <t>КИ</t>
        </is>
      </c>
    </row>
    <row r="348" ht="27" customHeight="1">
      <c r="A348" s="61" t="inlineStr">
        <is>
          <t>SU003081</t>
        </is>
      </c>
      <c r="B348" s="61" t="inlineStr">
        <is>
          <t>P003645</t>
        </is>
      </c>
      <c r="C348" s="35" t="n">
        <v>4301031256</v>
      </c>
      <c r="D348" s="310" t="n">
        <v>4680115883178</v>
      </c>
      <c r="E348" s="629" t="n"/>
      <c r="F348" s="661" t="n">
        <v>0.28</v>
      </c>
      <c r="G348" s="36" t="n">
        <v>6</v>
      </c>
      <c r="H348" s="661" t="n">
        <v>1.68</v>
      </c>
      <c r="I348" s="661" t="n">
        <v>1.81</v>
      </c>
      <c r="J348" s="36" t="n">
        <v>234</v>
      </c>
      <c r="K348" s="37" t="inlineStr">
        <is>
          <t>СК2</t>
        </is>
      </c>
      <c r="L348" s="36" t="n">
        <v>45</v>
      </c>
      <c r="M348" s="8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3" t="n"/>
      <c r="O348" s="663" t="n"/>
      <c r="P348" s="663" t="n"/>
      <c r="Q348" s="629" t="n"/>
      <c r="R348" s="38" t="inlineStr"/>
      <c r="S348" s="38" t="inlineStr"/>
      <c r="T348" s="39" t="inlineStr">
        <is>
          <t>кг</t>
        </is>
      </c>
      <c r="U348" s="664" t="n">
        <v>0</v>
      </c>
      <c r="V348" s="665">
        <f>IFERROR(IF(U348="",0,CEILING((U348/$H348),1)*$H348),"")</f>
        <v/>
      </c>
      <c r="W348" s="40">
        <f>IFERROR(IF(V348=0,"",ROUNDUP(V348/H348,0)*0.00502),"")</f>
        <v/>
      </c>
      <c r="X348" s="66" t="inlineStr"/>
      <c r="Y348" s="67" t="inlineStr"/>
      <c r="AC348" s="68" t="n"/>
      <c r="AZ348" s="256" t="inlineStr">
        <is>
          <t>КИ</t>
        </is>
      </c>
    </row>
    <row r="349" ht="27" customHeight="1">
      <c r="A349" s="61" t="inlineStr">
        <is>
          <t>SU002606</t>
        </is>
      </c>
      <c r="B349" s="61" t="inlineStr">
        <is>
          <t>P003134</t>
        </is>
      </c>
      <c r="C349" s="35" t="n">
        <v>4301031172</v>
      </c>
      <c r="D349" s="310" t="n">
        <v>4607091389531</v>
      </c>
      <c r="E349" s="629" t="n"/>
      <c r="F349" s="661" t="n">
        <v>0.35</v>
      </c>
      <c r="G349" s="36" t="n">
        <v>6</v>
      </c>
      <c r="H349" s="661" t="n">
        <v>2.1</v>
      </c>
      <c r="I349" s="661" t="n">
        <v>2.23</v>
      </c>
      <c r="J349" s="36" t="n">
        <v>234</v>
      </c>
      <c r="K349" s="37" t="inlineStr">
        <is>
          <t>СК2</t>
        </is>
      </c>
      <c r="L349" s="36" t="n">
        <v>45</v>
      </c>
      <c r="M349" s="8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3" t="n"/>
      <c r="O349" s="663" t="n"/>
      <c r="P349" s="663" t="n"/>
      <c r="Q349" s="629" t="n"/>
      <c r="R349" s="38" t="inlineStr"/>
      <c r="S349" s="38" t="inlineStr"/>
      <c r="T349" s="39" t="inlineStr">
        <is>
          <t>кг</t>
        </is>
      </c>
      <c r="U349" s="664" t="n">
        <v>0</v>
      </c>
      <c r="V349" s="665">
        <f>IFERROR(IF(U349="",0,CEILING((U349/$H349),1)*$H349),"")</f>
        <v/>
      </c>
      <c r="W349" s="40">
        <f>IFERROR(IF(V349=0,"",ROUNDUP(V349/H349,0)*0.00502),"")</f>
        <v/>
      </c>
      <c r="X349" s="66" t="inlineStr"/>
      <c r="Y349" s="67" t="inlineStr"/>
      <c r="AC349" s="68" t="n"/>
      <c r="AZ349" s="257" t="inlineStr">
        <is>
          <t>КИ</t>
        </is>
      </c>
    </row>
    <row r="350" ht="27" customHeight="1">
      <c r="A350" s="61" t="inlineStr">
        <is>
          <t>SU003082</t>
        </is>
      </c>
      <c r="B350" s="61" t="inlineStr">
        <is>
          <t>P003644</t>
        </is>
      </c>
      <c r="C350" s="35" t="n">
        <v>4301031255</v>
      </c>
      <c r="D350" s="310" t="n">
        <v>4680115883185</v>
      </c>
      <c r="E350" s="629" t="n"/>
      <c r="F350" s="661" t="n">
        <v>0.28</v>
      </c>
      <c r="G350" s="36" t="n">
        <v>6</v>
      </c>
      <c r="H350" s="661" t="n">
        <v>1.68</v>
      </c>
      <c r="I350" s="661" t="n">
        <v>1.81</v>
      </c>
      <c r="J350" s="36" t="n">
        <v>234</v>
      </c>
      <c r="K350" s="37" t="inlineStr">
        <is>
          <t>СК2</t>
        </is>
      </c>
      <c r="L350" s="36" t="n">
        <v>45</v>
      </c>
      <c r="M350" s="857" t="inlineStr">
        <is>
          <t>В/к колбасы «Филейбургская с душистым чесноком» срез Фикс.вес 0,28 фиброуз в/у Баварушка</t>
        </is>
      </c>
      <c r="N350" s="663" t="n"/>
      <c r="O350" s="663" t="n"/>
      <c r="P350" s="663" t="n"/>
      <c r="Q350" s="629" t="n"/>
      <c r="R350" s="38" t="inlineStr"/>
      <c r="S350" s="38" t="inlineStr"/>
      <c r="T350" s="39" t="inlineStr">
        <is>
          <t>кг</t>
        </is>
      </c>
      <c r="U350" s="664" t="n">
        <v>0</v>
      </c>
      <c r="V350" s="665">
        <f>IFERROR(IF(U350="",0,CEILING((U350/$H350),1)*$H350),"")</f>
        <v/>
      </c>
      <c r="W350" s="40">
        <f>IFERROR(IF(V350=0,"",ROUNDUP(V350/H350,0)*0.00502),"")</f>
        <v/>
      </c>
      <c r="X350" s="66" t="inlineStr"/>
      <c r="Y350" s="67" t="inlineStr"/>
      <c r="AC350" s="68" t="n"/>
      <c r="AZ350" s="258" t="inlineStr">
        <is>
          <t>КИ</t>
        </is>
      </c>
    </row>
    <row r="351">
      <c r="A351" s="318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6" t="n"/>
      <c r="M351" s="667" t="inlineStr">
        <is>
          <t>Итого</t>
        </is>
      </c>
      <c r="N351" s="637" t="n"/>
      <c r="O351" s="637" t="n"/>
      <c r="P351" s="637" t="n"/>
      <c r="Q351" s="637" t="n"/>
      <c r="R351" s="637" t="n"/>
      <c r="S351" s="638" t="n"/>
      <c r="T351" s="41" t="inlineStr">
        <is>
          <t>кор</t>
        </is>
      </c>
      <c r="U351" s="668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68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68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69" t="n"/>
      <c r="Y351" s="669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6" t="n"/>
      <c r="M352" s="667" t="inlineStr">
        <is>
          <t>Итого</t>
        </is>
      </c>
      <c r="N352" s="637" t="n"/>
      <c r="O352" s="637" t="n"/>
      <c r="P352" s="637" t="n"/>
      <c r="Q352" s="637" t="n"/>
      <c r="R352" s="637" t="n"/>
      <c r="S352" s="638" t="n"/>
      <c r="T352" s="41" t="inlineStr">
        <is>
          <t>кг</t>
        </is>
      </c>
      <c r="U352" s="668">
        <f>IFERROR(SUM(U338:U350),"0")</f>
        <v/>
      </c>
      <c r="V352" s="668">
        <f>IFERROR(SUM(V338:V350),"0")</f>
        <v/>
      </c>
      <c r="W352" s="41" t="n"/>
      <c r="X352" s="669" t="n"/>
      <c r="Y352" s="669" t="n"/>
    </row>
    <row r="353" ht="14.25" customHeight="1">
      <c r="A353" s="326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6" t="n"/>
      <c r="Y353" s="326" t="n"/>
    </row>
    <row r="354" ht="27" customHeight="1">
      <c r="A354" s="61" t="inlineStr">
        <is>
          <t>SU002448</t>
        </is>
      </c>
      <c r="B354" s="61" t="inlineStr">
        <is>
          <t>P002914</t>
        </is>
      </c>
      <c r="C354" s="35" t="n">
        <v>4301051258</v>
      </c>
      <c r="D354" s="310" t="n">
        <v>4607091389685</v>
      </c>
      <c r="E354" s="629" t="n"/>
      <c r="F354" s="661" t="n">
        <v>1.3</v>
      </c>
      <c r="G354" s="36" t="n">
        <v>6</v>
      </c>
      <c r="H354" s="661" t="n">
        <v>7.8</v>
      </c>
      <c r="I354" s="661" t="n">
        <v>8.346</v>
      </c>
      <c r="J354" s="36" t="n">
        <v>56</v>
      </c>
      <c r="K354" s="37" t="inlineStr">
        <is>
          <t>СК3</t>
        </is>
      </c>
      <c r="L354" s="36" t="n">
        <v>45</v>
      </c>
      <c r="M354" s="8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3" t="n"/>
      <c r="O354" s="663" t="n"/>
      <c r="P354" s="663" t="n"/>
      <c r="Q354" s="629" t="n"/>
      <c r="R354" s="38" t="inlineStr"/>
      <c r="S354" s="38" t="inlineStr"/>
      <c r="T354" s="39" t="inlineStr">
        <is>
          <t>кг</t>
        </is>
      </c>
      <c r="U354" s="664" t="n">
        <v>0</v>
      </c>
      <c r="V354" s="665">
        <f>IFERROR(IF(U354="",0,CEILING((U354/$H354),1)*$H354),"")</f>
        <v/>
      </c>
      <c r="W354" s="40">
        <f>IFERROR(IF(V354=0,"",ROUNDUP(V354/H354,0)*0.02175),"")</f>
        <v/>
      </c>
      <c r="X354" s="66" t="inlineStr"/>
      <c r="Y354" s="67" t="inlineStr"/>
      <c r="AC354" s="68" t="n"/>
      <c r="AZ354" s="259" t="inlineStr">
        <is>
          <t>КИ</t>
        </is>
      </c>
    </row>
    <row r="355" ht="27" customHeight="1">
      <c r="A355" s="61" t="inlineStr">
        <is>
          <t>SU002557</t>
        </is>
      </c>
      <c r="B355" s="61" t="inlineStr">
        <is>
          <t>P003318</t>
        </is>
      </c>
      <c r="C355" s="35" t="n">
        <v>4301051431</v>
      </c>
      <c r="D355" s="310" t="n">
        <v>4607091389654</v>
      </c>
      <c r="E355" s="629" t="n"/>
      <c r="F355" s="661" t="n">
        <v>0.33</v>
      </c>
      <c r="G355" s="36" t="n">
        <v>6</v>
      </c>
      <c r="H355" s="661" t="n">
        <v>1.98</v>
      </c>
      <c r="I355" s="661" t="n">
        <v>2.258</v>
      </c>
      <c r="J355" s="36" t="n">
        <v>156</v>
      </c>
      <c r="K355" s="37" t="inlineStr">
        <is>
          <t>СК3</t>
        </is>
      </c>
      <c r="L355" s="36" t="n">
        <v>45</v>
      </c>
      <c r="M355" s="8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3" t="n"/>
      <c r="O355" s="663" t="n"/>
      <c r="P355" s="663" t="n"/>
      <c r="Q355" s="629" t="n"/>
      <c r="R355" s="38" t="inlineStr"/>
      <c r="S355" s="38" t="inlineStr"/>
      <c r="T355" s="39" t="inlineStr">
        <is>
          <t>кг</t>
        </is>
      </c>
      <c r="U355" s="664" t="n">
        <v>0</v>
      </c>
      <c r="V355" s="665">
        <f>IFERROR(IF(U355="",0,CEILING((U355/$H355),1)*$H355),"")</f>
        <v/>
      </c>
      <c r="W355" s="40">
        <f>IFERROR(IF(V355=0,"",ROUNDUP(V355/H355,0)*0.00753),"")</f>
        <v/>
      </c>
      <c r="X355" s="66" t="inlineStr"/>
      <c r="Y355" s="67" t="inlineStr"/>
      <c r="AC355" s="68" t="n"/>
      <c r="AZ355" s="260" t="inlineStr">
        <is>
          <t>КИ</t>
        </is>
      </c>
    </row>
    <row r="356" ht="27" customHeight="1">
      <c r="A356" s="61" t="inlineStr">
        <is>
          <t>SU002285</t>
        </is>
      </c>
      <c r="B356" s="61" t="inlineStr">
        <is>
          <t>P002969</t>
        </is>
      </c>
      <c r="C356" s="35" t="n">
        <v>4301051284</v>
      </c>
      <c r="D356" s="310" t="n">
        <v>4607091384352</v>
      </c>
      <c r="E356" s="629" t="n"/>
      <c r="F356" s="661" t="n">
        <v>0.6</v>
      </c>
      <c r="G356" s="36" t="n">
        <v>4</v>
      </c>
      <c r="H356" s="661" t="n">
        <v>2.4</v>
      </c>
      <c r="I356" s="661" t="n">
        <v>2.646</v>
      </c>
      <c r="J356" s="36" t="n">
        <v>120</v>
      </c>
      <c r="K356" s="37" t="inlineStr">
        <is>
          <t>СК3</t>
        </is>
      </c>
      <c r="L356" s="36" t="n">
        <v>45</v>
      </c>
      <c r="M356" s="8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3" t="n"/>
      <c r="O356" s="663" t="n"/>
      <c r="P356" s="663" t="n"/>
      <c r="Q356" s="629" t="n"/>
      <c r="R356" s="38" t="inlineStr"/>
      <c r="S356" s="38" t="inlineStr"/>
      <c r="T356" s="39" t="inlineStr">
        <is>
          <t>кг</t>
        </is>
      </c>
      <c r="U356" s="664" t="n">
        <v>0</v>
      </c>
      <c r="V356" s="665">
        <f>IFERROR(IF(U356="",0,CEILING((U356/$H356),1)*$H356),"")</f>
        <v/>
      </c>
      <c r="W356" s="40">
        <f>IFERROR(IF(V356=0,"",ROUNDUP(V356/H356,0)*0.00937),"")</f>
        <v/>
      </c>
      <c r="X356" s="66" t="inlineStr"/>
      <c r="Y356" s="67" t="inlineStr"/>
      <c r="AC356" s="68" t="n"/>
      <c r="AZ356" s="261" t="inlineStr">
        <is>
          <t>КИ</t>
        </is>
      </c>
    </row>
    <row r="357" ht="27" customHeight="1">
      <c r="A357" s="61" t="inlineStr">
        <is>
          <t>SU002419</t>
        </is>
      </c>
      <c r="B357" s="61" t="inlineStr">
        <is>
          <t>P002913</t>
        </is>
      </c>
      <c r="C357" s="35" t="n">
        <v>4301051257</v>
      </c>
      <c r="D357" s="310" t="n">
        <v>4607091389661</v>
      </c>
      <c r="E357" s="629" t="n"/>
      <c r="F357" s="661" t="n">
        <v>0.55</v>
      </c>
      <c r="G357" s="36" t="n">
        <v>4</v>
      </c>
      <c r="H357" s="661" t="n">
        <v>2.2</v>
      </c>
      <c r="I357" s="661" t="n">
        <v>2.492</v>
      </c>
      <c r="J357" s="36" t="n">
        <v>120</v>
      </c>
      <c r="K357" s="37" t="inlineStr">
        <is>
          <t>СК3</t>
        </is>
      </c>
      <c r="L357" s="36" t="n">
        <v>45</v>
      </c>
      <c r="M357" s="8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3" t="n"/>
      <c r="O357" s="663" t="n"/>
      <c r="P357" s="663" t="n"/>
      <c r="Q357" s="629" t="n"/>
      <c r="R357" s="38" t="inlineStr"/>
      <c r="S357" s="38" t="inlineStr"/>
      <c r="T357" s="39" t="inlineStr">
        <is>
          <t>кг</t>
        </is>
      </c>
      <c r="U357" s="664" t="n">
        <v>0</v>
      </c>
      <c r="V357" s="665">
        <f>IFERROR(IF(U357="",0,CEILING((U357/$H357),1)*$H357),"")</f>
        <v/>
      </c>
      <c r="W357" s="40">
        <f>IFERROR(IF(V357=0,"",ROUNDUP(V357/H357,0)*0.00937),"")</f>
        <v/>
      </c>
      <c r="X357" s="66" t="inlineStr"/>
      <c r="Y357" s="67" t="inlineStr"/>
      <c r="AC357" s="68" t="n"/>
      <c r="AZ357" s="262" t="inlineStr">
        <is>
          <t>КИ</t>
        </is>
      </c>
    </row>
    <row r="358">
      <c r="A358" s="318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6" t="n"/>
      <c r="M358" s="667" t="inlineStr">
        <is>
          <t>Итого</t>
        </is>
      </c>
      <c r="N358" s="637" t="n"/>
      <c r="O358" s="637" t="n"/>
      <c r="P358" s="637" t="n"/>
      <c r="Q358" s="637" t="n"/>
      <c r="R358" s="637" t="n"/>
      <c r="S358" s="638" t="n"/>
      <c r="T358" s="41" t="inlineStr">
        <is>
          <t>кор</t>
        </is>
      </c>
      <c r="U358" s="668">
        <f>IFERROR(U354/H354,"0")+IFERROR(U355/H355,"0")+IFERROR(U356/H356,"0")+IFERROR(U357/H357,"0")</f>
        <v/>
      </c>
      <c r="V358" s="668">
        <f>IFERROR(V354/H354,"0")+IFERROR(V355/H355,"0")+IFERROR(V356/H356,"0")+IFERROR(V357/H357,"0")</f>
        <v/>
      </c>
      <c r="W358" s="668">
        <f>IFERROR(IF(W354="",0,W354),"0")+IFERROR(IF(W355="",0,W355),"0")+IFERROR(IF(W356="",0,W356),"0")+IFERROR(IF(W357="",0,W357),"0")</f>
        <v/>
      </c>
      <c r="X358" s="669" t="n"/>
      <c r="Y358" s="669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6" t="n"/>
      <c r="M359" s="667" t="inlineStr">
        <is>
          <t>Итого</t>
        </is>
      </c>
      <c r="N359" s="637" t="n"/>
      <c r="O359" s="637" t="n"/>
      <c r="P359" s="637" t="n"/>
      <c r="Q359" s="637" t="n"/>
      <c r="R359" s="637" t="n"/>
      <c r="S359" s="638" t="n"/>
      <c r="T359" s="41" t="inlineStr">
        <is>
          <t>кг</t>
        </is>
      </c>
      <c r="U359" s="668">
        <f>IFERROR(SUM(U354:U357),"0")</f>
        <v/>
      </c>
      <c r="V359" s="668">
        <f>IFERROR(SUM(V354:V357),"0")</f>
        <v/>
      </c>
      <c r="W359" s="41" t="n"/>
      <c r="X359" s="669" t="n"/>
      <c r="Y359" s="669" t="n"/>
    </row>
    <row r="360" ht="14.25" customHeight="1">
      <c r="A360" s="326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6" t="n"/>
      <c r="Y360" s="326" t="n"/>
    </row>
    <row r="361" ht="27" customHeight="1">
      <c r="A361" s="61" t="inlineStr">
        <is>
          <t>SU002846</t>
        </is>
      </c>
      <c r="B361" s="61" t="inlineStr">
        <is>
          <t>P003254</t>
        </is>
      </c>
      <c r="C361" s="35" t="n">
        <v>4301060352</v>
      </c>
      <c r="D361" s="310" t="n">
        <v>4680115881648</v>
      </c>
      <c r="E361" s="629" t="n"/>
      <c r="F361" s="661" t="n">
        <v>1</v>
      </c>
      <c r="G361" s="36" t="n">
        <v>4</v>
      </c>
      <c r="H361" s="661" t="n">
        <v>4</v>
      </c>
      <c r="I361" s="661" t="n">
        <v>4.404</v>
      </c>
      <c r="J361" s="36" t="n">
        <v>104</v>
      </c>
      <c r="K361" s="37" t="inlineStr">
        <is>
          <t>СК2</t>
        </is>
      </c>
      <c r="L361" s="36" t="n">
        <v>35</v>
      </c>
      <c r="M361" s="8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3" t="n"/>
      <c r="O361" s="663" t="n"/>
      <c r="P361" s="663" t="n"/>
      <c r="Q361" s="629" t="n"/>
      <c r="R361" s="38" t="inlineStr"/>
      <c r="S361" s="38" t="inlineStr"/>
      <c r="T361" s="39" t="inlineStr">
        <is>
          <t>кг</t>
        </is>
      </c>
      <c r="U361" s="664" t="n">
        <v>0</v>
      </c>
      <c r="V361" s="665">
        <f>IFERROR(IF(U361="",0,CEILING((U361/$H361),1)*$H361),"")</f>
        <v/>
      </c>
      <c r="W361" s="40">
        <f>IFERROR(IF(V361=0,"",ROUNDUP(V361/H361,0)*0.01196),"")</f>
        <v/>
      </c>
      <c r="X361" s="66" t="inlineStr"/>
      <c r="Y361" s="67" t="inlineStr"/>
      <c r="AC361" s="68" t="n"/>
      <c r="AZ361" s="263" t="inlineStr">
        <is>
          <t>КИ</t>
        </is>
      </c>
    </row>
    <row r="362">
      <c r="A362" s="318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6" t="n"/>
      <c r="M362" s="667" t="inlineStr">
        <is>
          <t>Итого</t>
        </is>
      </c>
      <c r="N362" s="637" t="n"/>
      <c r="O362" s="637" t="n"/>
      <c r="P362" s="637" t="n"/>
      <c r="Q362" s="637" t="n"/>
      <c r="R362" s="637" t="n"/>
      <c r="S362" s="638" t="n"/>
      <c r="T362" s="41" t="inlineStr">
        <is>
          <t>кор</t>
        </is>
      </c>
      <c r="U362" s="668">
        <f>IFERROR(U361/H361,"0")</f>
        <v/>
      </c>
      <c r="V362" s="668">
        <f>IFERROR(V361/H361,"0")</f>
        <v/>
      </c>
      <c r="W362" s="668">
        <f>IFERROR(IF(W361="",0,W361),"0")</f>
        <v/>
      </c>
      <c r="X362" s="669" t="n"/>
      <c r="Y362" s="669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6" t="n"/>
      <c r="M363" s="667" t="inlineStr">
        <is>
          <t>Итого</t>
        </is>
      </c>
      <c r="N363" s="637" t="n"/>
      <c r="O363" s="637" t="n"/>
      <c r="P363" s="637" t="n"/>
      <c r="Q363" s="637" t="n"/>
      <c r="R363" s="637" t="n"/>
      <c r="S363" s="638" t="n"/>
      <c r="T363" s="41" t="inlineStr">
        <is>
          <t>кг</t>
        </is>
      </c>
      <c r="U363" s="668">
        <f>IFERROR(SUM(U361:U361),"0")</f>
        <v/>
      </c>
      <c r="V363" s="668">
        <f>IFERROR(SUM(V361:V361),"0")</f>
        <v/>
      </c>
      <c r="W363" s="41" t="n"/>
      <c r="X363" s="669" t="n"/>
      <c r="Y363" s="669" t="n"/>
    </row>
    <row r="364" ht="14.25" customHeight="1">
      <c r="A364" s="326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6" t="n"/>
      <c r="Y364" s="326" t="n"/>
    </row>
    <row r="365" ht="27" customHeight="1">
      <c r="A365" s="61" t="inlineStr">
        <is>
          <t>SU003058</t>
        </is>
      </c>
      <c r="B365" s="61" t="inlineStr">
        <is>
          <t>P003620</t>
        </is>
      </c>
      <c r="C365" s="35" t="n">
        <v>4301032042</v>
      </c>
      <c r="D365" s="310" t="n">
        <v>4680115883017</v>
      </c>
      <c r="E365" s="629" t="n"/>
      <c r="F365" s="661" t="n">
        <v>0.03</v>
      </c>
      <c r="G365" s="36" t="n">
        <v>20</v>
      </c>
      <c r="H365" s="661" t="n">
        <v>0.6</v>
      </c>
      <c r="I365" s="661" t="n">
        <v>0.63</v>
      </c>
      <c r="J365" s="36" t="n">
        <v>350</v>
      </c>
      <c r="K365" s="37" t="inlineStr">
        <is>
          <t>ДК</t>
        </is>
      </c>
      <c r="L365" s="36" t="n">
        <v>60</v>
      </c>
      <c r="M365" s="86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3" t="n"/>
      <c r="O365" s="663" t="n"/>
      <c r="P365" s="663" t="n"/>
      <c r="Q365" s="629" t="n"/>
      <c r="R365" s="38" t="inlineStr"/>
      <c r="S365" s="38" t="inlineStr"/>
      <c r="T365" s="39" t="inlineStr">
        <is>
          <t>кг</t>
        </is>
      </c>
      <c r="U365" s="664" t="n">
        <v>0</v>
      </c>
      <c r="V365" s="665">
        <f>IFERROR(IF(U365="",0,CEILING((U365/$H365),1)*$H365),"")</f>
        <v/>
      </c>
      <c r="W365" s="40">
        <f>IFERROR(IF(V365=0,"",ROUNDUP(V365/H365,0)*0.00349),"")</f>
        <v/>
      </c>
      <c r="X365" s="66" t="inlineStr"/>
      <c r="Y365" s="67" t="inlineStr"/>
      <c r="AC365" s="68" t="n"/>
      <c r="AZ365" s="264" t="inlineStr">
        <is>
          <t>КИ</t>
        </is>
      </c>
    </row>
    <row r="366" ht="27" customHeight="1">
      <c r="A366" s="61" t="inlineStr">
        <is>
          <t>SU003061</t>
        </is>
      </c>
      <c r="B366" s="61" t="inlineStr">
        <is>
          <t>P003621</t>
        </is>
      </c>
      <c r="C366" s="35" t="n">
        <v>4301032043</v>
      </c>
      <c r="D366" s="310" t="n">
        <v>4680115883031</v>
      </c>
      <c r="E366" s="629" t="n"/>
      <c r="F366" s="661" t="n">
        <v>0.03</v>
      </c>
      <c r="G366" s="36" t="n">
        <v>20</v>
      </c>
      <c r="H366" s="661" t="n">
        <v>0.6</v>
      </c>
      <c r="I366" s="661" t="n">
        <v>0.63</v>
      </c>
      <c r="J366" s="36" t="n">
        <v>350</v>
      </c>
      <c r="K366" s="37" t="inlineStr">
        <is>
          <t>ДК</t>
        </is>
      </c>
      <c r="L366" s="36" t="n">
        <v>60</v>
      </c>
      <c r="M366" s="86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3" t="n"/>
      <c r="O366" s="663" t="n"/>
      <c r="P366" s="663" t="n"/>
      <c r="Q366" s="629" t="n"/>
      <c r="R366" s="38" t="inlineStr"/>
      <c r="S366" s="38" t="inlineStr"/>
      <c r="T366" s="39" t="inlineStr">
        <is>
          <t>кг</t>
        </is>
      </c>
      <c r="U366" s="664" t="n">
        <v>0</v>
      </c>
      <c r="V366" s="665">
        <f>IFERROR(IF(U366="",0,CEILING((U366/$H366),1)*$H366),"")</f>
        <v/>
      </c>
      <c r="W366" s="40">
        <f>IFERROR(IF(V366=0,"",ROUNDUP(V366/H366,0)*0.00349),"")</f>
        <v/>
      </c>
      <c r="X366" s="66" t="inlineStr"/>
      <c r="Y366" s="67" t="inlineStr"/>
      <c r="AC366" s="68" t="n"/>
      <c r="AZ366" s="265" t="inlineStr">
        <is>
          <t>КИ</t>
        </is>
      </c>
    </row>
    <row r="367" ht="27" customHeight="1">
      <c r="A367" s="61" t="inlineStr">
        <is>
          <t>SU003057</t>
        </is>
      </c>
      <c r="B367" s="61" t="inlineStr">
        <is>
          <t>P003619</t>
        </is>
      </c>
      <c r="C367" s="35" t="n">
        <v>4301032041</v>
      </c>
      <c r="D367" s="310" t="n">
        <v>4680115883024</v>
      </c>
      <c r="E367" s="629" t="n"/>
      <c r="F367" s="661" t="n">
        <v>0.03</v>
      </c>
      <c r="G367" s="36" t="n">
        <v>20</v>
      </c>
      <c r="H367" s="661" t="n">
        <v>0.6</v>
      </c>
      <c r="I367" s="661" t="n">
        <v>0.63</v>
      </c>
      <c r="J367" s="36" t="n">
        <v>350</v>
      </c>
      <c r="K367" s="37" t="inlineStr">
        <is>
          <t>ДК</t>
        </is>
      </c>
      <c r="L367" s="36" t="n">
        <v>60</v>
      </c>
      <c r="M367" s="86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3" t="n"/>
      <c r="O367" s="663" t="n"/>
      <c r="P367" s="663" t="n"/>
      <c r="Q367" s="629" t="n"/>
      <c r="R367" s="38" t="inlineStr"/>
      <c r="S367" s="38" t="inlineStr"/>
      <c r="T367" s="39" t="inlineStr">
        <is>
          <t>кг</t>
        </is>
      </c>
      <c r="U367" s="664" t="n">
        <v>0</v>
      </c>
      <c r="V367" s="665">
        <f>IFERROR(IF(U367="",0,CEILING((U367/$H367),1)*$H367),"")</f>
        <v/>
      </c>
      <c r="W367" s="40">
        <f>IFERROR(IF(V367=0,"",ROUNDUP(V367/H367,0)*0.00349),"")</f>
        <v/>
      </c>
      <c r="X367" s="66" t="inlineStr"/>
      <c r="Y367" s="67" t="inlineStr"/>
      <c r="AC367" s="68" t="n"/>
      <c r="AZ367" s="266" t="inlineStr">
        <is>
          <t>КИ</t>
        </is>
      </c>
    </row>
    <row r="368">
      <c r="A368" s="318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6" t="n"/>
      <c r="M368" s="667" t="inlineStr">
        <is>
          <t>Итого</t>
        </is>
      </c>
      <c r="N368" s="637" t="n"/>
      <c r="O368" s="637" t="n"/>
      <c r="P368" s="637" t="n"/>
      <c r="Q368" s="637" t="n"/>
      <c r="R368" s="637" t="n"/>
      <c r="S368" s="638" t="n"/>
      <c r="T368" s="41" t="inlineStr">
        <is>
          <t>кор</t>
        </is>
      </c>
      <c r="U368" s="668">
        <f>IFERROR(U365/H365,"0")+IFERROR(U366/H366,"0")+IFERROR(U367/H367,"0")</f>
        <v/>
      </c>
      <c r="V368" s="668">
        <f>IFERROR(V365/H365,"0")+IFERROR(V366/H366,"0")+IFERROR(V367/H367,"0")</f>
        <v/>
      </c>
      <c r="W368" s="668">
        <f>IFERROR(IF(W365="",0,W365),"0")+IFERROR(IF(W366="",0,W366),"0")+IFERROR(IF(W367="",0,W367),"0")</f>
        <v/>
      </c>
      <c r="X368" s="669" t="n"/>
      <c r="Y368" s="669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6" t="n"/>
      <c r="M369" s="667" t="inlineStr">
        <is>
          <t>Итого</t>
        </is>
      </c>
      <c r="N369" s="637" t="n"/>
      <c r="O369" s="637" t="n"/>
      <c r="P369" s="637" t="n"/>
      <c r="Q369" s="637" t="n"/>
      <c r="R369" s="637" t="n"/>
      <c r="S369" s="638" t="n"/>
      <c r="T369" s="41" t="inlineStr">
        <is>
          <t>кг</t>
        </is>
      </c>
      <c r="U369" s="668">
        <f>IFERROR(SUM(U365:U367),"0")</f>
        <v/>
      </c>
      <c r="V369" s="668">
        <f>IFERROR(SUM(V365:V367),"0")</f>
        <v/>
      </c>
      <c r="W369" s="41" t="n"/>
      <c r="X369" s="669" t="n"/>
      <c r="Y369" s="669" t="n"/>
    </row>
    <row r="370" ht="14.25" customHeight="1">
      <c r="A370" s="326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6" t="n"/>
      <c r="Y370" s="326" t="n"/>
    </row>
    <row r="371" ht="27" customHeight="1">
      <c r="A371" s="61" t="inlineStr">
        <is>
          <t>SU003060</t>
        </is>
      </c>
      <c r="B371" s="61" t="inlineStr">
        <is>
          <t>P003624</t>
        </is>
      </c>
      <c r="C371" s="35" t="n">
        <v>4301170009</v>
      </c>
      <c r="D371" s="310" t="n">
        <v>4680115882997</v>
      </c>
      <c r="E371" s="629" t="n"/>
      <c r="F371" s="661" t="n">
        <v>0.13</v>
      </c>
      <c r="G371" s="36" t="n">
        <v>10</v>
      </c>
      <c r="H371" s="661" t="n">
        <v>1.3</v>
      </c>
      <c r="I371" s="661" t="n">
        <v>1.46</v>
      </c>
      <c r="J371" s="36" t="n">
        <v>200</v>
      </c>
      <c r="K371" s="37" t="inlineStr">
        <is>
          <t>ДК</t>
        </is>
      </c>
      <c r="L371" s="36" t="n">
        <v>150</v>
      </c>
      <c r="M371" s="866" t="inlineStr">
        <is>
          <t>с/в колбасы «Филейбургская с филе сочного окорока» ф/в 0,13 н/о ТМ «Баварушка»</t>
        </is>
      </c>
      <c r="N371" s="663" t="n"/>
      <c r="O371" s="663" t="n"/>
      <c r="P371" s="663" t="n"/>
      <c r="Q371" s="629" t="n"/>
      <c r="R371" s="38" t="inlineStr"/>
      <c r="S371" s="38" t="inlineStr"/>
      <c r="T371" s="39" t="inlineStr">
        <is>
          <t>кг</t>
        </is>
      </c>
      <c r="U371" s="664" t="n">
        <v>0</v>
      </c>
      <c r="V371" s="665">
        <f>IFERROR(IF(U371="",0,CEILING((U371/$H371),1)*$H371),"")</f>
        <v/>
      </c>
      <c r="W371" s="40">
        <f>IFERROR(IF(V371=0,"",ROUNDUP(V371/H371,0)*0.00673),"")</f>
        <v/>
      </c>
      <c r="X371" s="66" t="inlineStr"/>
      <c r="Y371" s="67" t="inlineStr"/>
      <c r="AC371" s="68" t="n"/>
      <c r="AZ371" s="267" t="inlineStr">
        <is>
          <t>КИ</t>
        </is>
      </c>
    </row>
    <row r="372">
      <c r="A372" s="318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6" t="n"/>
      <c r="M372" s="667" t="inlineStr">
        <is>
          <t>Итого</t>
        </is>
      </c>
      <c r="N372" s="637" t="n"/>
      <c r="O372" s="637" t="n"/>
      <c r="P372" s="637" t="n"/>
      <c r="Q372" s="637" t="n"/>
      <c r="R372" s="637" t="n"/>
      <c r="S372" s="638" t="n"/>
      <c r="T372" s="41" t="inlineStr">
        <is>
          <t>кор</t>
        </is>
      </c>
      <c r="U372" s="668">
        <f>IFERROR(U371/H371,"0")</f>
        <v/>
      </c>
      <c r="V372" s="668">
        <f>IFERROR(V371/H371,"0")</f>
        <v/>
      </c>
      <c r="W372" s="668">
        <f>IFERROR(IF(W371="",0,W371),"0")</f>
        <v/>
      </c>
      <c r="X372" s="669" t="n"/>
      <c r="Y372" s="669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6" t="n"/>
      <c r="M373" s="667" t="inlineStr">
        <is>
          <t>Итого</t>
        </is>
      </c>
      <c r="N373" s="637" t="n"/>
      <c r="O373" s="637" t="n"/>
      <c r="P373" s="637" t="n"/>
      <c r="Q373" s="637" t="n"/>
      <c r="R373" s="637" t="n"/>
      <c r="S373" s="638" t="n"/>
      <c r="T373" s="41" t="inlineStr">
        <is>
          <t>кг</t>
        </is>
      </c>
      <c r="U373" s="668">
        <f>IFERROR(SUM(U371:U371),"0")</f>
        <v/>
      </c>
      <c r="V373" s="668">
        <f>IFERROR(SUM(V371:V371),"0")</f>
        <v/>
      </c>
      <c r="W373" s="41" t="n"/>
      <c r="X373" s="669" t="n"/>
      <c r="Y373" s="669" t="n"/>
    </row>
    <row r="374" ht="16.5" customHeight="1">
      <c r="A374" s="325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5" t="n"/>
      <c r="Y374" s="325" t="n"/>
    </row>
    <row r="375" ht="14.25" customHeight="1">
      <c r="A375" s="326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6" t="n"/>
      <c r="Y375" s="326" t="n"/>
    </row>
    <row r="376" ht="27" customHeight="1">
      <c r="A376" s="61" t="inlineStr">
        <is>
          <t>SU002542</t>
        </is>
      </c>
      <c r="B376" s="61" t="inlineStr">
        <is>
          <t>P002847</t>
        </is>
      </c>
      <c r="C376" s="35" t="n">
        <v>4301020196</v>
      </c>
      <c r="D376" s="310" t="n">
        <v>4607091389388</v>
      </c>
      <c r="E376" s="629" t="n"/>
      <c r="F376" s="661" t="n">
        <v>1.3</v>
      </c>
      <c r="G376" s="36" t="n">
        <v>4</v>
      </c>
      <c r="H376" s="661" t="n">
        <v>5.2</v>
      </c>
      <c r="I376" s="661" t="n">
        <v>5.608</v>
      </c>
      <c r="J376" s="36" t="n">
        <v>104</v>
      </c>
      <c r="K376" s="37" t="inlineStr">
        <is>
          <t>СК3</t>
        </is>
      </c>
      <c r="L376" s="36" t="n">
        <v>35</v>
      </c>
      <c r="M376" s="8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3" t="n"/>
      <c r="O376" s="663" t="n"/>
      <c r="P376" s="663" t="n"/>
      <c r="Q376" s="629" t="n"/>
      <c r="R376" s="38" t="inlineStr"/>
      <c r="S376" s="38" t="inlineStr"/>
      <c r="T376" s="39" t="inlineStr">
        <is>
          <t>кг</t>
        </is>
      </c>
      <c r="U376" s="664" t="n">
        <v>0</v>
      </c>
      <c r="V376" s="665">
        <f>IFERROR(IF(U376="",0,CEILING((U376/$H376),1)*$H376),"")</f>
        <v/>
      </c>
      <c r="W376" s="40">
        <f>IFERROR(IF(V376=0,"",ROUNDUP(V376/H376,0)*0.01196),"")</f>
        <v/>
      </c>
      <c r="X376" s="66" t="inlineStr"/>
      <c r="Y376" s="67" t="inlineStr"/>
      <c r="AC376" s="68" t="n"/>
      <c r="AZ376" s="268" t="inlineStr">
        <is>
          <t>КИ</t>
        </is>
      </c>
    </row>
    <row r="377" ht="27" customHeight="1">
      <c r="A377" s="61" t="inlineStr">
        <is>
          <t>SU002319</t>
        </is>
      </c>
      <c r="B377" s="61" t="inlineStr">
        <is>
          <t>P002597</t>
        </is>
      </c>
      <c r="C377" s="35" t="n">
        <v>4301020185</v>
      </c>
      <c r="D377" s="310" t="n">
        <v>4607091389364</v>
      </c>
      <c r="E377" s="629" t="n"/>
      <c r="F377" s="661" t="n">
        <v>0.42</v>
      </c>
      <c r="G377" s="36" t="n">
        <v>6</v>
      </c>
      <c r="H377" s="661" t="n">
        <v>2.52</v>
      </c>
      <c r="I377" s="661" t="n">
        <v>2.75</v>
      </c>
      <c r="J377" s="36" t="n">
        <v>156</v>
      </c>
      <c r="K377" s="37" t="inlineStr">
        <is>
          <t>СК3</t>
        </is>
      </c>
      <c r="L377" s="36" t="n">
        <v>35</v>
      </c>
      <c r="M377" s="8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3" t="n"/>
      <c r="O377" s="663" t="n"/>
      <c r="P377" s="663" t="n"/>
      <c r="Q377" s="629" t="n"/>
      <c r="R377" s="38" t="inlineStr"/>
      <c r="S377" s="38" t="inlineStr"/>
      <c r="T377" s="39" t="inlineStr">
        <is>
          <t>кг</t>
        </is>
      </c>
      <c r="U377" s="664" t="n">
        <v>0</v>
      </c>
      <c r="V377" s="665">
        <f>IFERROR(IF(U377="",0,CEILING((U377/$H377),1)*$H377),"")</f>
        <v/>
      </c>
      <c r="W377" s="40">
        <f>IFERROR(IF(V377=0,"",ROUNDUP(V377/H377,0)*0.00753),"")</f>
        <v/>
      </c>
      <c r="X377" s="66" t="inlineStr"/>
      <c r="Y377" s="67" t="inlineStr"/>
      <c r="AC377" s="68" t="n"/>
      <c r="AZ377" s="269" t="inlineStr">
        <is>
          <t>КИ</t>
        </is>
      </c>
    </row>
    <row r="378">
      <c r="A378" s="318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6" t="n"/>
      <c r="M378" s="667" t="inlineStr">
        <is>
          <t>Итого</t>
        </is>
      </c>
      <c r="N378" s="637" t="n"/>
      <c r="O378" s="637" t="n"/>
      <c r="P378" s="637" t="n"/>
      <c r="Q378" s="637" t="n"/>
      <c r="R378" s="637" t="n"/>
      <c r="S378" s="638" t="n"/>
      <c r="T378" s="41" t="inlineStr">
        <is>
          <t>кор</t>
        </is>
      </c>
      <c r="U378" s="668">
        <f>IFERROR(U376/H376,"0")+IFERROR(U377/H377,"0")</f>
        <v/>
      </c>
      <c r="V378" s="668">
        <f>IFERROR(V376/H376,"0")+IFERROR(V377/H377,"0")</f>
        <v/>
      </c>
      <c r="W378" s="668">
        <f>IFERROR(IF(W376="",0,W376),"0")+IFERROR(IF(W377="",0,W377),"0")</f>
        <v/>
      </c>
      <c r="X378" s="669" t="n"/>
      <c r="Y378" s="669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6" t="n"/>
      <c r="M379" s="667" t="inlineStr">
        <is>
          <t>Итого</t>
        </is>
      </c>
      <c r="N379" s="637" t="n"/>
      <c r="O379" s="637" t="n"/>
      <c r="P379" s="637" t="n"/>
      <c r="Q379" s="637" t="n"/>
      <c r="R379" s="637" t="n"/>
      <c r="S379" s="638" t="n"/>
      <c r="T379" s="41" t="inlineStr">
        <is>
          <t>кг</t>
        </is>
      </c>
      <c r="U379" s="668">
        <f>IFERROR(SUM(U376:U377),"0")</f>
        <v/>
      </c>
      <c r="V379" s="668">
        <f>IFERROR(SUM(V376:V377),"0")</f>
        <v/>
      </c>
      <c r="W379" s="41" t="n"/>
      <c r="X379" s="669" t="n"/>
      <c r="Y379" s="669" t="n"/>
    </row>
    <row r="380" ht="14.25" customHeight="1">
      <c r="A380" s="326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6" t="n"/>
      <c r="Y380" s="326" t="n"/>
    </row>
    <row r="381" ht="27" customHeight="1">
      <c r="A381" s="61" t="inlineStr">
        <is>
          <t>SU002612</t>
        </is>
      </c>
      <c r="B381" s="61" t="inlineStr">
        <is>
          <t>P003140</t>
        </is>
      </c>
      <c r="C381" s="35" t="n">
        <v>4301031212</v>
      </c>
      <c r="D381" s="310" t="n">
        <v>4607091389739</v>
      </c>
      <c r="E381" s="629" t="n"/>
      <c r="F381" s="661" t="n">
        <v>0.7</v>
      </c>
      <c r="G381" s="36" t="n">
        <v>6</v>
      </c>
      <c r="H381" s="661" t="n">
        <v>4.2</v>
      </c>
      <c r="I381" s="661" t="n">
        <v>4.43</v>
      </c>
      <c r="J381" s="36" t="n">
        <v>156</v>
      </c>
      <c r="K381" s="37" t="inlineStr">
        <is>
          <t>СК1</t>
        </is>
      </c>
      <c r="L381" s="36" t="n">
        <v>45</v>
      </c>
      <c r="M381" s="8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3" t="n"/>
      <c r="O381" s="663" t="n"/>
      <c r="P381" s="663" t="n"/>
      <c r="Q381" s="629" t="n"/>
      <c r="R381" s="38" t="inlineStr"/>
      <c r="S381" s="38" t="inlineStr"/>
      <c r="T381" s="39" t="inlineStr">
        <is>
          <t>кг</t>
        </is>
      </c>
      <c r="U381" s="664" t="n">
        <v>0</v>
      </c>
      <c r="V381" s="665">
        <f>IFERROR(IF(U381="",0,CEILING((U381/$H381),1)*$H381),"")</f>
        <v/>
      </c>
      <c r="W381" s="40">
        <f>IFERROR(IF(V381=0,"",ROUNDUP(V381/H381,0)*0.00753),"")</f>
        <v/>
      </c>
      <c r="X381" s="66" t="inlineStr"/>
      <c r="Y381" s="67" t="inlineStr"/>
      <c r="AC381" s="68" t="n"/>
      <c r="AZ381" s="270" t="inlineStr">
        <is>
          <t>КИ</t>
        </is>
      </c>
    </row>
    <row r="382" ht="27" customHeight="1">
      <c r="A382" s="61" t="inlineStr">
        <is>
          <t>SU003071</t>
        </is>
      </c>
      <c r="B382" s="61" t="inlineStr">
        <is>
          <t>P003612</t>
        </is>
      </c>
      <c r="C382" s="35" t="n">
        <v>4301031247</v>
      </c>
      <c r="D382" s="310" t="n">
        <v>4680115883048</v>
      </c>
      <c r="E382" s="629" t="n"/>
      <c r="F382" s="661" t="n">
        <v>1</v>
      </c>
      <c r="G382" s="36" t="n">
        <v>4</v>
      </c>
      <c r="H382" s="661" t="n">
        <v>4</v>
      </c>
      <c r="I382" s="661" t="n">
        <v>4.21</v>
      </c>
      <c r="J382" s="36" t="n">
        <v>120</v>
      </c>
      <c r="K382" s="37" t="inlineStr">
        <is>
          <t>СК2</t>
        </is>
      </c>
      <c r="L382" s="36" t="n">
        <v>40</v>
      </c>
      <c r="M382" s="8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3" t="n"/>
      <c r="O382" s="663" t="n"/>
      <c r="P382" s="663" t="n"/>
      <c r="Q382" s="629" t="n"/>
      <c r="R382" s="38" t="inlineStr"/>
      <c r="S382" s="38" t="inlineStr"/>
      <c r="T382" s="39" t="inlineStr">
        <is>
          <t>кг</t>
        </is>
      </c>
      <c r="U382" s="664" t="n">
        <v>0</v>
      </c>
      <c r="V382" s="665">
        <f>IFERROR(IF(U382="",0,CEILING((U382/$H382),1)*$H382),"")</f>
        <v/>
      </c>
      <c r="W382" s="40">
        <f>IFERROR(IF(V382=0,"",ROUNDUP(V382/H382,0)*0.00937),"")</f>
        <v/>
      </c>
      <c r="X382" s="66" t="inlineStr"/>
      <c r="Y382" s="67" t="inlineStr"/>
      <c r="AC382" s="68" t="n"/>
      <c r="AZ382" s="271" t="inlineStr">
        <is>
          <t>КИ</t>
        </is>
      </c>
    </row>
    <row r="383" ht="27" customHeight="1">
      <c r="A383" s="61" t="inlineStr">
        <is>
          <t>SU002545</t>
        </is>
      </c>
      <c r="B383" s="61" t="inlineStr">
        <is>
          <t>P003137</t>
        </is>
      </c>
      <c r="C383" s="35" t="n">
        <v>4301031176</v>
      </c>
      <c r="D383" s="310" t="n">
        <v>4607091389425</v>
      </c>
      <c r="E383" s="629" t="n"/>
      <c r="F383" s="661" t="n">
        <v>0.35</v>
      </c>
      <c r="G383" s="36" t="n">
        <v>6</v>
      </c>
      <c r="H383" s="661" t="n">
        <v>2.1</v>
      </c>
      <c r="I383" s="661" t="n">
        <v>2.23</v>
      </c>
      <c r="J383" s="36" t="n">
        <v>234</v>
      </c>
      <c r="K383" s="37" t="inlineStr">
        <is>
          <t>СК2</t>
        </is>
      </c>
      <c r="L383" s="36" t="n">
        <v>45</v>
      </c>
      <c r="M383" s="8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3" t="n"/>
      <c r="O383" s="663" t="n"/>
      <c r="P383" s="663" t="n"/>
      <c r="Q383" s="629" t="n"/>
      <c r="R383" s="38" t="inlineStr"/>
      <c r="S383" s="38" t="inlineStr"/>
      <c r="T383" s="39" t="inlineStr">
        <is>
          <t>кг</t>
        </is>
      </c>
      <c r="U383" s="664" t="n">
        <v>0</v>
      </c>
      <c r="V383" s="665">
        <f>IFERROR(IF(U383="",0,CEILING((U383/$H383),1)*$H383),"")</f>
        <v/>
      </c>
      <c r="W383" s="40">
        <f>IFERROR(IF(V383=0,"",ROUNDUP(V383/H383,0)*0.00502),"")</f>
        <v/>
      </c>
      <c r="X383" s="66" t="inlineStr"/>
      <c r="Y383" s="67" t="inlineStr"/>
      <c r="AC383" s="68" t="n"/>
      <c r="AZ383" s="272" t="inlineStr">
        <is>
          <t>КИ</t>
        </is>
      </c>
    </row>
    <row r="384" ht="27" customHeight="1">
      <c r="A384" s="61" t="inlineStr">
        <is>
          <t>SU002917</t>
        </is>
      </c>
      <c r="B384" s="61" t="inlineStr">
        <is>
          <t>P003343</t>
        </is>
      </c>
      <c r="C384" s="35" t="n">
        <v>4301031215</v>
      </c>
      <c r="D384" s="310" t="n">
        <v>4680115882911</v>
      </c>
      <c r="E384" s="629" t="n"/>
      <c r="F384" s="661" t="n">
        <v>0.4</v>
      </c>
      <c r="G384" s="36" t="n">
        <v>6</v>
      </c>
      <c r="H384" s="661" t="n">
        <v>2.4</v>
      </c>
      <c r="I384" s="661" t="n">
        <v>2.53</v>
      </c>
      <c r="J384" s="36" t="n">
        <v>234</v>
      </c>
      <c r="K384" s="37" t="inlineStr">
        <is>
          <t>СК2</t>
        </is>
      </c>
      <c r="L384" s="36" t="n">
        <v>40</v>
      </c>
      <c r="M384" s="872" t="inlineStr">
        <is>
          <t>П/к колбасы «Балыкбургская по-баварски» Фикс.вес 0,4 н/о мгс ТМ «Баварушка»</t>
        </is>
      </c>
      <c r="N384" s="663" t="n"/>
      <c r="O384" s="663" t="n"/>
      <c r="P384" s="663" t="n"/>
      <c r="Q384" s="629" t="n"/>
      <c r="R384" s="38" t="inlineStr"/>
      <c r="S384" s="38" t="inlineStr"/>
      <c r="T384" s="39" t="inlineStr">
        <is>
          <t>кг</t>
        </is>
      </c>
      <c r="U384" s="664" t="n">
        <v>0</v>
      </c>
      <c r="V384" s="665">
        <f>IFERROR(IF(U384="",0,CEILING((U384/$H384),1)*$H384),"")</f>
        <v/>
      </c>
      <c r="W384" s="40">
        <f>IFERROR(IF(V384=0,"",ROUNDUP(V384/H384,0)*0.00502),"")</f>
        <v/>
      </c>
      <c r="X384" s="66" t="inlineStr"/>
      <c r="Y384" s="67" t="inlineStr"/>
      <c r="AC384" s="68" t="n"/>
      <c r="AZ384" s="273" t="inlineStr">
        <is>
          <t>КИ</t>
        </is>
      </c>
    </row>
    <row r="385" ht="27" customHeight="1">
      <c r="A385" s="61" t="inlineStr">
        <is>
          <t>SU002726</t>
        </is>
      </c>
      <c r="B385" s="61" t="inlineStr">
        <is>
          <t>P003095</t>
        </is>
      </c>
      <c r="C385" s="35" t="n">
        <v>4301031167</v>
      </c>
      <c r="D385" s="310" t="n">
        <v>4680115880771</v>
      </c>
      <c r="E385" s="629" t="n"/>
      <c r="F385" s="661" t="n">
        <v>0.28</v>
      </c>
      <c r="G385" s="36" t="n">
        <v>6</v>
      </c>
      <c r="H385" s="661" t="n">
        <v>1.68</v>
      </c>
      <c r="I385" s="661" t="n">
        <v>1.81</v>
      </c>
      <c r="J385" s="36" t="n">
        <v>234</v>
      </c>
      <c r="K385" s="37" t="inlineStr">
        <is>
          <t>СК2</t>
        </is>
      </c>
      <c r="L385" s="36" t="n">
        <v>45</v>
      </c>
      <c r="M385" s="8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3" t="n"/>
      <c r="O385" s="663" t="n"/>
      <c r="P385" s="663" t="n"/>
      <c r="Q385" s="629" t="n"/>
      <c r="R385" s="38" t="inlineStr"/>
      <c r="S385" s="38" t="inlineStr"/>
      <c r="T385" s="39" t="inlineStr">
        <is>
          <t>кг</t>
        </is>
      </c>
      <c r="U385" s="664" t="n">
        <v>0</v>
      </c>
      <c r="V385" s="665">
        <f>IFERROR(IF(U385="",0,CEILING((U385/$H385),1)*$H385),"")</f>
        <v/>
      </c>
      <c r="W385" s="40">
        <f>IFERROR(IF(V385=0,"",ROUNDUP(V385/H385,0)*0.00502),"")</f>
        <v/>
      </c>
      <c r="X385" s="66" t="inlineStr"/>
      <c r="Y385" s="67" t="inlineStr"/>
      <c r="AC385" s="68" t="n"/>
      <c r="AZ385" s="274" t="inlineStr">
        <is>
          <t>КИ</t>
        </is>
      </c>
    </row>
    <row r="386" ht="27" customHeight="1">
      <c r="A386" s="61" t="inlineStr">
        <is>
          <t>SU002604</t>
        </is>
      </c>
      <c r="B386" s="61" t="inlineStr">
        <is>
          <t>P003135</t>
        </is>
      </c>
      <c r="C386" s="35" t="n">
        <v>4301031173</v>
      </c>
      <c r="D386" s="310" t="n">
        <v>4607091389500</v>
      </c>
      <c r="E386" s="629" t="n"/>
      <c r="F386" s="661" t="n">
        <v>0.35</v>
      </c>
      <c r="G386" s="36" t="n">
        <v>6</v>
      </c>
      <c r="H386" s="661" t="n">
        <v>2.1</v>
      </c>
      <c r="I386" s="661" t="n">
        <v>2.23</v>
      </c>
      <c r="J386" s="36" t="n">
        <v>234</v>
      </c>
      <c r="K386" s="37" t="inlineStr">
        <is>
          <t>СК2</t>
        </is>
      </c>
      <c r="L386" s="36" t="n">
        <v>45</v>
      </c>
      <c r="M386" s="8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3" t="n"/>
      <c r="O386" s="663" t="n"/>
      <c r="P386" s="663" t="n"/>
      <c r="Q386" s="629" t="n"/>
      <c r="R386" s="38" t="inlineStr"/>
      <c r="S386" s="38" t="inlineStr"/>
      <c r="T386" s="39" t="inlineStr">
        <is>
          <t>кг</t>
        </is>
      </c>
      <c r="U386" s="664" t="n">
        <v>0</v>
      </c>
      <c r="V386" s="665">
        <f>IFERROR(IF(U386="",0,CEILING((U386/$H386),1)*$H386),"")</f>
        <v/>
      </c>
      <c r="W386" s="40">
        <f>IFERROR(IF(V386=0,"",ROUNDUP(V386/H386,0)*0.00502),"")</f>
        <v/>
      </c>
      <c r="X386" s="66" t="inlineStr"/>
      <c r="Y386" s="67" t="inlineStr"/>
      <c r="AC386" s="68" t="n"/>
      <c r="AZ386" s="275" t="inlineStr">
        <is>
          <t>КИ</t>
        </is>
      </c>
    </row>
    <row r="387" ht="27" customHeight="1">
      <c r="A387" s="61" t="inlineStr">
        <is>
          <t>SU002358</t>
        </is>
      </c>
      <c r="B387" s="61" t="inlineStr">
        <is>
          <t>P002642</t>
        </is>
      </c>
      <c r="C387" s="35" t="n">
        <v>4301031103</v>
      </c>
      <c r="D387" s="310" t="n">
        <v>4680115881983</v>
      </c>
      <c r="E387" s="629" t="n"/>
      <c r="F387" s="661" t="n">
        <v>0.28</v>
      </c>
      <c r="G387" s="36" t="n">
        <v>4</v>
      </c>
      <c r="H387" s="661" t="n">
        <v>1.12</v>
      </c>
      <c r="I387" s="661" t="n">
        <v>1.252</v>
      </c>
      <c r="J387" s="36" t="n">
        <v>234</v>
      </c>
      <c r="K387" s="37" t="inlineStr">
        <is>
          <t>СК2</t>
        </is>
      </c>
      <c r="L387" s="36" t="n">
        <v>40</v>
      </c>
      <c r="M387" s="8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3" t="n"/>
      <c r="O387" s="663" t="n"/>
      <c r="P387" s="663" t="n"/>
      <c r="Q387" s="629" t="n"/>
      <c r="R387" s="38" t="inlineStr"/>
      <c r="S387" s="38" t="inlineStr"/>
      <c r="T387" s="39" t="inlineStr">
        <is>
          <t>кг</t>
        </is>
      </c>
      <c r="U387" s="664" t="n">
        <v>0</v>
      </c>
      <c r="V387" s="665">
        <f>IFERROR(IF(U387="",0,CEILING((U387/$H387),1)*$H387),"")</f>
        <v/>
      </c>
      <c r="W387" s="40">
        <f>IFERROR(IF(V387=0,"",ROUNDUP(V387/H387,0)*0.00502),"")</f>
        <v/>
      </c>
      <c r="X387" s="66" t="inlineStr"/>
      <c r="Y387" s="67" t="inlineStr"/>
      <c r="AC387" s="68" t="n"/>
      <c r="AZ387" s="276" t="inlineStr">
        <is>
          <t>КИ</t>
        </is>
      </c>
    </row>
    <row r="388">
      <c r="A388" s="318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6" t="n"/>
      <c r="M388" s="667" t="inlineStr">
        <is>
          <t>Итого</t>
        </is>
      </c>
      <c r="N388" s="637" t="n"/>
      <c r="O388" s="637" t="n"/>
      <c r="P388" s="637" t="n"/>
      <c r="Q388" s="637" t="n"/>
      <c r="R388" s="637" t="n"/>
      <c r="S388" s="638" t="n"/>
      <c r="T388" s="41" t="inlineStr">
        <is>
          <t>кор</t>
        </is>
      </c>
      <c r="U388" s="668">
        <f>IFERROR(U381/H381,"0")+IFERROR(U382/H382,"0")+IFERROR(U383/H383,"0")+IFERROR(U384/H384,"0")+IFERROR(U385/H385,"0")+IFERROR(U386/H386,"0")+IFERROR(U387/H387,"0")</f>
        <v/>
      </c>
      <c r="V388" s="668">
        <f>IFERROR(V381/H381,"0")+IFERROR(V382/H382,"0")+IFERROR(V383/H383,"0")+IFERROR(V384/H384,"0")+IFERROR(V385/H385,"0")+IFERROR(V386/H386,"0")+IFERROR(V387/H387,"0")</f>
        <v/>
      </c>
      <c r="W388" s="668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69" t="n"/>
      <c r="Y388" s="669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6" t="n"/>
      <c r="M389" s="667" t="inlineStr">
        <is>
          <t>Итого</t>
        </is>
      </c>
      <c r="N389" s="637" t="n"/>
      <c r="O389" s="637" t="n"/>
      <c r="P389" s="637" t="n"/>
      <c r="Q389" s="637" t="n"/>
      <c r="R389" s="637" t="n"/>
      <c r="S389" s="638" t="n"/>
      <c r="T389" s="41" t="inlineStr">
        <is>
          <t>кг</t>
        </is>
      </c>
      <c r="U389" s="668">
        <f>IFERROR(SUM(U381:U387),"0")</f>
        <v/>
      </c>
      <c r="V389" s="668">
        <f>IFERROR(SUM(V381:V387),"0")</f>
        <v/>
      </c>
      <c r="W389" s="41" t="n"/>
      <c r="X389" s="669" t="n"/>
      <c r="Y389" s="669" t="n"/>
    </row>
    <row r="390" ht="14.25" customHeight="1">
      <c r="A390" s="326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6" t="n"/>
      <c r="Y390" s="326" t="n"/>
    </row>
    <row r="391" ht="27" customHeight="1">
      <c r="A391" s="61" t="inlineStr">
        <is>
          <t>SU003059</t>
        </is>
      </c>
      <c r="B391" s="61" t="inlineStr">
        <is>
          <t>P003623</t>
        </is>
      </c>
      <c r="C391" s="35" t="n">
        <v>4301032044</v>
      </c>
      <c r="D391" s="310" t="n">
        <v>4680115883000</v>
      </c>
      <c r="E391" s="629" t="n"/>
      <c r="F391" s="661" t="n">
        <v>0.03</v>
      </c>
      <c r="G391" s="36" t="n">
        <v>20</v>
      </c>
      <c r="H391" s="661" t="n">
        <v>0.6</v>
      </c>
      <c r="I391" s="661" t="n">
        <v>0.63</v>
      </c>
      <c r="J391" s="36" t="n">
        <v>350</v>
      </c>
      <c r="K391" s="37" t="inlineStr">
        <is>
          <t>ДК</t>
        </is>
      </c>
      <c r="L391" s="36" t="n">
        <v>60</v>
      </c>
      <c r="M391" s="87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3" t="n"/>
      <c r="O391" s="663" t="n"/>
      <c r="P391" s="663" t="n"/>
      <c r="Q391" s="629" t="n"/>
      <c r="R391" s="38" t="inlineStr"/>
      <c r="S391" s="38" t="inlineStr"/>
      <c r="T391" s="39" t="inlineStr">
        <is>
          <t>кг</t>
        </is>
      </c>
      <c r="U391" s="664" t="n"/>
      <c r="V391" s="665">
        <f>IFERROR(IF(U391="",0,CEILING((U391/$H391),1)*$H391),"")</f>
        <v/>
      </c>
      <c r="W391" s="40">
        <f>IFERROR(IF(V391=0,"",ROUNDUP(V391/H391,0)*0.00349),"")</f>
        <v/>
      </c>
      <c r="X391" s="66" t="inlineStr"/>
      <c r="Y391" s="67" t="inlineStr"/>
      <c r="AC391" s="68" t="n"/>
      <c r="AZ391" s="277" t="inlineStr">
        <is>
          <t>КИ</t>
        </is>
      </c>
    </row>
    <row r="392">
      <c r="A392" s="318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6" t="n"/>
      <c r="M392" s="667" t="inlineStr">
        <is>
          <t>Итого</t>
        </is>
      </c>
      <c r="N392" s="637" t="n"/>
      <c r="O392" s="637" t="n"/>
      <c r="P392" s="637" t="n"/>
      <c r="Q392" s="637" t="n"/>
      <c r="R392" s="637" t="n"/>
      <c r="S392" s="638" t="n"/>
      <c r="T392" s="41" t="inlineStr">
        <is>
          <t>кор</t>
        </is>
      </c>
      <c r="U392" s="668">
        <f>IFERROR(U391/H391,"0")</f>
        <v/>
      </c>
      <c r="V392" s="668">
        <f>IFERROR(V391/H391,"0")</f>
        <v/>
      </c>
      <c r="W392" s="668">
        <f>IFERROR(IF(W391="",0,W391),"0")</f>
        <v/>
      </c>
      <c r="X392" s="669" t="n"/>
      <c r="Y392" s="669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6" t="n"/>
      <c r="M393" s="667" t="inlineStr">
        <is>
          <t>Итого</t>
        </is>
      </c>
      <c r="N393" s="637" t="n"/>
      <c r="O393" s="637" t="n"/>
      <c r="P393" s="637" t="n"/>
      <c r="Q393" s="637" t="n"/>
      <c r="R393" s="637" t="n"/>
      <c r="S393" s="638" t="n"/>
      <c r="T393" s="41" t="inlineStr">
        <is>
          <t>кг</t>
        </is>
      </c>
      <c r="U393" s="668">
        <f>IFERROR(SUM(U391:U391),"0")</f>
        <v/>
      </c>
      <c r="V393" s="668">
        <f>IFERROR(SUM(V391:V391),"0")</f>
        <v/>
      </c>
      <c r="W393" s="41" t="n"/>
      <c r="X393" s="669" t="n"/>
      <c r="Y393" s="669" t="n"/>
    </row>
    <row r="394" ht="14.25" customHeight="1">
      <c r="A394" s="326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6" t="n"/>
      <c r="Y394" s="326" t="n"/>
    </row>
    <row r="395" ht="27" customHeight="1">
      <c r="A395" s="61" t="inlineStr">
        <is>
          <t>SU003056</t>
        </is>
      </c>
      <c r="B395" s="61" t="inlineStr">
        <is>
          <t>P003622</t>
        </is>
      </c>
      <c r="C395" s="35" t="n">
        <v>4301170008</v>
      </c>
      <c r="D395" s="310" t="n">
        <v>4680115882980</v>
      </c>
      <c r="E395" s="629" t="n"/>
      <c r="F395" s="661" t="n">
        <v>0.13</v>
      </c>
      <c r="G395" s="36" t="n">
        <v>10</v>
      </c>
      <c r="H395" s="661" t="n">
        <v>1.3</v>
      </c>
      <c r="I395" s="661" t="n">
        <v>1.46</v>
      </c>
      <c r="J395" s="36" t="n">
        <v>200</v>
      </c>
      <c r="K395" s="37" t="inlineStr">
        <is>
          <t>ДК</t>
        </is>
      </c>
      <c r="L395" s="36" t="n">
        <v>150</v>
      </c>
      <c r="M395" s="87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3" t="n"/>
      <c r="O395" s="663" t="n"/>
      <c r="P395" s="663" t="n"/>
      <c r="Q395" s="629" t="n"/>
      <c r="R395" s="38" t="inlineStr"/>
      <c r="S395" s="38" t="inlineStr"/>
      <c r="T395" s="39" t="inlineStr">
        <is>
          <t>кг</t>
        </is>
      </c>
      <c r="U395" s="664" t="n">
        <v>0</v>
      </c>
      <c r="V395" s="665">
        <f>IFERROR(IF(U395="",0,CEILING((U395/$H395),1)*$H395),"")</f>
        <v/>
      </c>
      <c r="W395" s="40">
        <f>IFERROR(IF(V395=0,"",ROUNDUP(V395/H395,0)*0.00673),"")</f>
        <v/>
      </c>
      <c r="X395" s="66" t="inlineStr"/>
      <c r="Y395" s="67" t="inlineStr"/>
      <c r="AC395" s="68" t="n"/>
      <c r="AZ395" s="278" t="inlineStr">
        <is>
          <t>КИ</t>
        </is>
      </c>
    </row>
    <row r="396">
      <c r="A396" s="318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6" t="n"/>
      <c r="M396" s="667" t="inlineStr">
        <is>
          <t>Итого</t>
        </is>
      </c>
      <c r="N396" s="637" t="n"/>
      <c r="O396" s="637" t="n"/>
      <c r="P396" s="637" t="n"/>
      <c r="Q396" s="637" t="n"/>
      <c r="R396" s="637" t="n"/>
      <c r="S396" s="638" t="n"/>
      <c r="T396" s="41" t="inlineStr">
        <is>
          <t>кор</t>
        </is>
      </c>
      <c r="U396" s="668">
        <f>IFERROR(U395/H395,"0")</f>
        <v/>
      </c>
      <c r="V396" s="668">
        <f>IFERROR(V395/H395,"0")</f>
        <v/>
      </c>
      <c r="W396" s="668">
        <f>IFERROR(IF(W395="",0,W395),"0")</f>
        <v/>
      </c>
      <c r="X396" s="669" t="n"/>
      <c r="Y396" s="669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6" t="n"/>
      <c r="M397" s="667" t="inlineStr">
        <is>
          <t>Итого</t>
        </is>
      </c>
      <c r="N397" s="637" t="n"/>
      <c r="O397" s="637" t="n"/>
      <c r="P397" s="637" t="n"/>
      <c r="Q397" s="637" t="n"/>
      <c r="R397" s="637" t="n"/>
      <c r="S397" s="638" t="n"/>
      <c r="T397" s="41" t="inlineStr">
        <is>
          <t>кг</t>
        </is>
      </c>
      <c r="U397" s="668">
        <f>IFERROR(SUM(U395:U395),"0")</f>
        <v/>
      </c>
      <c r="V397" s="668">
        <f>IFERROR(SUM(V395:V395),"0")</f>
        <v/>
      </c>
      <c r="W397" s="41" t="n"/>
      <c r="X397" s="669" t="n"/>
      <c r="Y397" s="669" t="n"/>
    </row>
    <row r="398" ht="27.75" customHeight="1">
      <c r="A398" s="331" t="inlineStr">
        <is>
          <t>Дугушка</t>
        </is>
      </c>
      <c r="B398" s="660" t="n"/>
      <c r="C398" s="660" t="n"/>
      <c r="D398" s="660" t="n"/>
      <c r="E398" s="660" t="n"/>
      <c r="F398" s="660" t="n"/>
      <c r="G398" s="660" t="n"/>
      <c r="H398" s="660" t="n"/>
      <c r="I398" s="660" t="n"/>
      <c r="J398" s="660" t="n"/>
      <c r="K398" s="660" t="n"/>
      <c r="L398" s="660" t="n"/>
      <c r="M398" s="660" t="n"/>
      <c r="N398" s="660" t="n"/>
      <c r="O398" s="660" t="n"/>
      <c r="P398" s="660" t="n"/>
      <c r="Q398" s="660" t="n"/>
      <c r="R398" s="660" t="n"/>
      <c r="S398" s="660" t="n"/>
      <c r="T398" s="660" t="n"/>
      <c r="U398" s="660" t="n"/>
      <c r="V398" s="660" t="n"/>
      <c r="W398" s="660" t="n"/>
      <c r="X398" s="53" t="n"/>
      <c r="Y398" s="53" t="n"/>
    </row>
    <row r="399" ht="16.5" customHeight="1">
      <c r="A399" s="325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5" t="n"/>
      <c r="Y399" s="325" t="n"/>
    </row>
    <row r="400" ht="14.25" customHeight="1">
      <c r="A400" s="326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6" t="n"/>
      <c r="Y400" s="326" t="n"/>
    </row>
    <row r="401" ht="27" customHeight="1">
      <c r="A401" s="61" t="inlineStr">
        <is>
          <t>SU002011</t>
        </is>
      </c>
      <c r="B401" s="61" t="inlineStr">
        <is>
          <t>P002991</t>
        </is>
      </c>
      <c r="C401" s="35" t="n">
        <v>4301011371</v>
      </c>
      <c r="D401" s="310" t="n">
        <v>4607091389067</v>
      </c>
      <c r="E401" s="629" t="n"/>
      <c r="F401" s="661" t="n">
        <v>0.88</v>
      </c>
      <c r="G401" s="36" t="n">
        <v>6</v>
      </c>
      <c r="H401" s="661" t="n">
        <v>5.28</v>
      </c>
      <c r="I401" s="661" t="n">
        <v>5.64</v>
      </c>
      <c r="J401" s="36" t="n">
        <v>104</v>
      </c>
      <c r="K401" s="37" t="inlineStr">
        <is>
          <t>СК3</t>
        </is>
      </c>
      <c r="L401" s="36" t="n">
        <v>55</v>
      </c>
      <c r="M401" s="8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3" t="n"/>
      <c r="O401" s="663" t="n"/>
      <c r="P401" s="663" t="n"/>
      <c r="Q401" s="629" t="n"/>
      <c r="R401" s="38" t="inlineStr"/>
      <c r="S401" s="38" t="inlineStr"/>
      <c r="T401" s="39" t="inlineStr">
        <is>
          <t>кг</t>
        </is>
      </c>
      <c r="U401" s="664" t="n">
        <v>0</v>
      </c>
      <c r="V401" s="665">
        <f>IFERROR(IF(U401="",0,CEILING((U401/$H401),1)*$H401),"")</f>
        <v/>
      </c>
      <c r="W401" s="40">
        <f>IFERROR(IF(V401=0,"",ROUNDUP(V401/H401,0)*0.01196),"")</f>
        <v/>
      </c>
      <c r="X401" s="66" t="inlineStr"/>
      <c r="Y401" s="67" t="inlineStr"/>
      <c r="AC401" s="68" t="n"/>
      <c r="AZ401" s="279" t="inlineStr">
        <is>
          <t>КИ</t>
        </is>
      </c>
    </row>
    <row r="402" ht="27" customHeight="1">
      <c r="A402" s="61" t="inlineStr">
        <is>
          <t>SU002094</t>
        </is>
      </c>
      <c r="B402" s="61" t="inlineStr">
        <is>
          <t>P002975</t>
        </is>
      </c>
      <c r="C402" s="35" t="n">
        <v>4301011363</v>
      </c>
      <c r="D402" s="310" t="n">
        <v>4607091383522</v>
      </c>
      <c r="E402" s="629" t="n"/>
      <c r="F402" s="661" t="n">
        <v>0.88</v>
      </c>
      <c r="G402" s="36" t="n">
        <v>6</v>
      </c>
      <c r="H402" s="661" t="n">
        <v>5.28</v>
      </c>
      <c r="I402" s="661" t="n">
        <v>5.64</v>
      </c>
      <c r="J402" s="36" t="n">
        <v>104</v>
      </c>
      <c r="K402" s="37" t="inlineStr">
        <is>
          <t>СК1</t>
        </is>
      </c>
      <c r="L402" s="36" t="n">
        <v>55</v>
      </c>
      <c r="M402" s="8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3" t="n"/>
      <c r="O402" s="663" t="n"/>
      <c r="P402" s="663" t="n"/>
      <c r="Q402" s="629" t="n"/>
      <c r="R402" s="38" t="inlineStr"/>
      <c r="S402" s="38" t="inlineStr"/>
      <c r="T402" s="39" t="inlineStr">
        <is>
          <t>кг</t>
        </is>
      </c>
      <c r="U402" s="664" t="n">
        <v>0</v>
      </c>
      <c r="V402" s="665">
        <f>IFERROR(IF(U402="",0,CEILING((U402/$H402),1)*$H402),"")</f>
        <v/>
      </c>
      <c r="W402" s="40">
        <f>IFERROR(IF(V402=0,"",ROUNDUP(V402/H402,0)*0.01196),"")</f>
        <v/>
      </c>
      <c r="X402" s="66" t="inlineStr"/>
      <c r="Y402" s="67" t="inlineStr"/>
      <c r="AC402" s="68" t="n"/>
      <c r="AZ402" s="280" t="inlineStr">
        <is>
          <t>КИ</t>
        </is>
      </c>
    </row>
    <row r="403" ht="27" customHeight="1">
      <c r="A403" s="61" t="inlineStr">
        <is>
          <t>SU002182</t>
        </is>
      </c>
      <c r="B403" s="61" t="inlineStr">
        <is>
          <t>P002990</t>
        </is>
      </c>
      <c r="C403" s="35" t="n">
        <v>4301011431</v>
      </c>
      <c r="D403" s="310" t="n">
        <v>4607091384437</v>
      </c>
      <c r="E403" s="629" t="n"/>
      <c r="F403" s="661" t="n">
        <v>0.88</v>
      </c>
      <c r="G403" s="36" t="n">
        <v>6</v>
      </c>
      <c r="H403" s="661" t="n">
        <v>5.28</v>
      </c>
      <c r="I403" s="661" t="n">
        <v>5.64</v>
      </c>
      <c r="J403" s="36" t="n">
        <v>104</v>
      </c>
      <c r="K403" s="37" t="inlineStr">
        <is>
          <t>СК1</t>
        </is>
      </c>
      <c r="L403" s="36" t="n">
        <v>50</v>
      </c>
      <c r="M403" s="8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3" t="n"/>
      <c r="O403" s="663" t="n"/>
      <c r="P403" s="663" t="n"/>
      <c r="Q403" s="629" t="n"/>
      <c r="R403" s="38" t="inlineStr"/>
      <c r="S403" s="38" t="inlineStr"/>
      <c r="T403" s="39" t="inlineStr">
        <is>
          <t>кг</t>
        </is>
      </c>
      <c r="U403" s="664" t="n">
        <v>0</v>
      </c>
      <c r="V403" s="665">
        <f>IFERROR(IF(U403="",0,CEILING((U403/$H403),1)*$H403),"")</f>
        <v/>
      </c>
      <c r="W403" s="40">
        <f>IFERROR(IF(V403=0,"",ROUNDUP(V403/H403,0)*0.01196),"")</f>
        <v/>
      </c>
      <c r="X403" s="66" t="inlineStr"/>
      <c r="Y403" s="67" t="inlineStr"/>
      <c r="AC403" s="68" t="n"/>
      <c r="AZ403" s="281" t="inlineStr">
        <is>
          <t>КИ</t>
        </is>
      </c>
    </row>
    <row r="404" ht="27" customHeight="1">
      <c r="A404" s="61" t="inlineStr">
        <is>
          <t>SU002010</t>
        </is>
      </c>
      <c r="B404" s="61" t="inlineStr">
        <is>
          <t>P002979</t>
        </is>
      </c>
      <c r="C404" s="35" t="n">
        <v>4301011365</v>
      </c>
      <c r="D404" s="310" t="n">
        <v>4607091389104</v>
      </c>
      <c r="E404" s="629" t="n"/>
      <c r="F404" s="661" t="n">
        <v>0.88</v>
      </c>
      <c r="G404" s="36" t="n">
        <v>6</v>
      </c>
      <c r="H404" s="661" t="n">
        <v>5.28</v>
      </c>
      <c r="I404" s="661" t="n">
        <v>5.64</v>
      </c>
      <c r="J404" s="36" t="n">
        <v>104</v>
      </c>
      <c r="K404" s="37" t="inlineStr">
        <is>
          <t>СК1</t>
        </is>
      </c>
      <c r="L404" s="36" t="n">
        <v>55</v>
      </c>
      <c r="M404" s="88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3" t="n"/>
      <c r="O404" s="663" t="n"/>
      <c r="P404" s="663" t="n"/>
      <c r="Q404" s="629" t="n"/>
      <c r="R404" s="38" t="inlineStr"/>
      <c r="S404" s="38" t="inlineStr"/>
      <c r="T404" s="39" t="inlineStr">
        <is>
          <t>кг</t>
        </is>
      </c>
      <c r="U404" s="664" t="n">
        <v>0</v>
      </c>
      <c r="V404" s="665">
        <f>IFERROR(IF(U404="",0,CEILING((U404/$H404),1)*$H404),"")</f>
        <v/>
      </c>
      <c r="W404" s="40">
        <f>IFERROR(IF(V404=0,"",ROUNDUP(V404/H404,0)*0.01196),"")</f>
        <v/>
      </c>
      <c r="X404" s="66" t="inlineStr"/>
      <c r="Y404" s="67" t="inlineStr"/>
      <c r="AC404" s="68" t="n"/>
      <c r="AZ404" s="282" t="inlineStr">
        <is>
          <t>КИ</t>
        </is>
      </c>
    </row>
    <row r="405" ht="27" customHeight="1">
      <c r="A405" s="61" t="inlineStr">
        <is>
          <t>SU002632</t>
        </is>
      </c>
      <c r="B405" s="61" t="inlineStr">
        <is>
          <t>P002982</t>
        </is>
      </c>
      <c r="C405" s="35" t="n">
        <v>4301011367</v>
      </c>
      <c r="D405" s="310" t="n">
        <v>4680115880603</v>
      </c>
      <c r="E405" s="629" t="n"/>
      <c r="F405" s="661" t="n">
        <v>0.6</v>
      </c>
      <c r="G405" s="36" t="n">
        <v>6</v>
      </c>
      <c r="H405" s="661" t="n">
        <v>3.6</v>
      </c>
      <c r="I405" s="661" t="n">
        <v>3.84</v>
      </c>
      <c r="J405" s="36" t="n">
        <v>120</v>
      </c>
      <c r="K405" s="37" t="inlineStr">
        <is>
          <t>СК1</t>
        </is>
      </c>
      <c r="L405" s="36" t="n">
        <v>55</v>
      </c>
      <c r="M405" s="88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3" t="n"/>
      <c r="O405" s="663" t="n"/>
      <c r="P405" s="663" t="n"/>
      <c r="Q405" s="629" t="n"/>
      <c r="R405" s="38" t="inlineStr"/>
      <c r="S405" s="38" t="inlineStr"/>
      <c r="T405" s="39" t="inlineStr">
        <is>
          <t>кг</t>
        </is>
      </c>
      <c r="U405" s="664" t="n">
        <v>0</v>
      </c>
      <c r="V405" s="665">
        <f>IFERROR(IF(U405="",0,CEILING((U405/$H405),1)*$H405),"")</f>
        <v/>
      </c>
      <c r="W405" s="40">
        <f>IFERROR(IF(V405=0,"",ROUNDUP(V405/H405,0)*0.00937),"")</f>
        <v/>
      </c>
      <c r="X405" s="66" t="inlineStr"/>
      <c r="Y405" s="67" t="inlineStr"/>
      <c r="AC405" s="68" t="n"/>
      <c r="AZ405" s="283" t="inlineStr">
        <is>
          <t>КИ</t>
        </is>
      </c>
    </row>
    <row r="406" ht="27" customHeight="1">
      <c r="A406" s="61" t="inlineStr">
        <is>
          <t>SU002220</t>
        </is>
      </c>
      <c r="B406" s="61" t="inlineStr">
        <is>
          <t>P002404</t>
        </is>
      </c>
      <c r="C406" s="35" t="n">
        <v>4301011168</v>
      </c>
      <c r="D406" s="310" t="n">
        <v>4607091389999</v>
      </c>
      <c r="E406" s="629" t="n"/>
      <c r="F406" s="661" t="n">
        <v>0.6</v>
      </c>
      <c r="G406" s="36" t="n">
        <v>6</v>
      </c>
      <c r="H406" s="661" t="n">
        <v>3.6</v>
      </c>
      <c r="I406" s="661" t="n">
        <v>3.84</v>
      </c>
      <c r="J406" s="36" t="n">
        <v>120</v>
      </c>
      <c r="K406" s="37" t="inlineStr">
        <is>
          <t>СК1</t>
        </is>
      </c>
      <c r="L406" s="36" t="n">
        <v>55</v>
      </c>
      <c r="M406" s="88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3" t="n"/>
      <c r="O406" s="663" t="n"/>
      <c r="P406" s="663" t="n"/>
      <c r="Q406" s="629" t="n"/>
      <c r="R406" s="38" t="inlineStr"/>
      <c r="S406" s="38" t="inlineStr"/>
      <c r="T406" s="39" t="inlineStr">
        <is>
          <t>кг</t>
        </is>
      </c>
      <c r="U406" s="664" t="n">
        <v>0</v>
      </c>
      <c r="V406" s="665">
        <f>IFERROR(IF(U406="",0,CEILING((U406/$H406),1)*$H406),"")</f>
        <v/>
      </c>
      <c r="W406" s="40">
        <f>IFERROR(IF(V406=0,"",ROUNDUP(V406/H406,0)*0.00937),"")</f>
        <v/>
      </c>
      <c r="X406" s="66" t="inlineStr"/>
      <c r="Y406" s="67" t="inlineStr"/>
      <c r="AC406" s="68" t="n"/>
      <c r="AZ406" s="284" t="inlineStr">
        <is>
          <t>КИ</t>
        </is>
      </c>
    </row>
    <row r="407" ht="27" customHeight="1">
      <c r="A407" s="61" t="inlineStr">
        <is>
          <t>SU002635</t>
        </is>
      </c>
      <c r="B407" s="61" t="inlineStr">
        <is>
          <t>P002992</t>
        </is>
      </c>
      <c r="C407" s="35" t="n">
        <v>4301011372</v>
      </c>
      <c r="D407" s="310" t="n">
        <v>4680115882782</v>
      </c>
      <c r="E407" s="629" t="n"/>
      <c r="F407" s="661" t="n">
        <v>0.6</v>
      </c>
      <c r="G407" s="36" t="n">
        <v>6</v>
      </c>
      <c r="H407" s="661" t="n">
        <v>3.6</v>
      </c>
      <c r="I407" s="661" t="n">
        <v>3.84</v>
      </c>
      <c r="J407" s="36" t="n">
        <v>120</v>
      </c>
      <c r="K407" s="37" t="inlineStr">
        <is>
          <t>СК1</t>
        </is>
      </c>
      <c r="L407" s="36" t="n">
        <v>50</v>
      </c>
      <c r="M407" s="88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3" t="n"/>
      <c r="O407" s="663" t="n"/>
      <c r="P407" s="663" t="n"/>
      <c r="Q407" s="629" t="n"/>
      <c r="R407" s="38" t="inlineStr"/>
      <c r="S407" s="38" t="inlineStr"/>
      <c r="T407" s="39" t="inlineStr">
        <is>
          <t>кг</t>
        </is>
      </c>
      <c r="U407" s="664" t="n">
        <v>0</v>
      </c>
      <c r="V407" s="665">
        <f>IFERROR(IF(U407="",0,CEILING((U407/$H407),1)*$H407),"")</f>
        <v/>
      </c>
      <c r="W407" s="40">
        <f>IFERROR(IF(V407=0,"",ROUNDUP(V407/H407,0)*0.00937),"")</f>
        <v/>
      </c>
      <c r="X407" s="66" t="inlineStr"/>
      <c r="Y407" s="67" t="inlineStr"/>
      <c r="AC407" s="68" t="n"/>
      <c r="AZ407" s="285" t="inlineStr">
        <is>
          <t>КИ</t>
        </is>
      </c>
    </row>
    <row r="408" ht="27" customHeight="1">
      <c r="A408" s="61" t="inlineStr">
        <is>
          <t>SU002020</t>
        </is>
      </c>
      <c r="B408" s="61" t="inlineStr">
        <is>
          <t>P002308</t>
        </is>
      </c>
      <c r="C408" s="35" t="n">
        <v>4301011190</v>
      </c>
      <c r="D408" s="310" t="n">
        <v>4607091389098</v>
      </c>
      <c r="E408" s="629" t="n"/>
      <c r="F408" s="661" t="n">
        <v>0.4</v>
      </c>
      <c r="G408" s="36" t="n">
        <v>6</v>
      </c>
      <c r="H408" s="661" t="n">
        <v>2.4</v>
      </c>
      <c r="I408" s="661" t="n">
        <v>2.6</v>
      </c>
      <c r="J408" s="36" t="n">
        <v>156</v>
      </c>
      <c r="K408" s="37" t="inlineStr">
        <is>
          <t>СК3</t>
        </is>
      </c>
      <c r="L408" s="36" t="n">
        <v>50</v>
      </c>
      <c r="M408" s="88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3" t="n"/>
      <c r="O408" s="663" t="n"/>
      <c r="P408" s="663" t="n"/>
      <c r="Q408" s="629" t="n"/>
      <c r="R408" s="38" t="inlineStr"/>
      <c r="S408" s="38" t="inlineStr"/>
      <c r="T408" s="39" t="inlineStr">
        <is>
          <t>кг</t>
        </is>
      </c>
      <c r="U408" s="664" t="n">
        <v>0</v>
      </c>
      <c r="V408" s="665">
        <f>IFERROR(IF(U408="",0,CEILING((U408/$H408),1)*$H408),"")</f>
        <v/>
      </c>
      <c r="W408" s="40">
        <f>IFERROR(IF(V408=0,"",ROUNDUP(V408/H408,0)*0.00753),"")</f>
        <v/>
      </c>
      <c r="X408" s="66" t="inlineStr"/>
      <c r="Y408" s="67" t="inlineStr"/>
      <c r="AC408" s="68" t="n"/>
      <c r="AZ408" s="286" t="inlineStr">
        <is>
          <t>КИ</t>
        </is>
      </c>
    </row>
    <row r="409" ht="27" customHeight="1">
      <c r="A409" s="61" t="inlineStr">
        <is>
          <t>SU002631</t>
        </is>
      </c>
      <c r="B409" s="61" t="inlineStr">
        <is>
          <t>P002981</t>
        </is>
      </c>
      <c r="C409" s="35" t="n">
        <v>4301011366</v>
      </c>
      <c r="D409" s="310" t="n">
        <v>4607091389982</v>
      </c>
      <c r="E409" s="629" t="n"/>
      <c r="F409" s="661" t="n">
        <v>0.6</v>
      </c>
      <c r="G409" s="36" t="n">
        <v>6</v>
      </c>
      <c r="H409" s="661" t="n">
        <v>3.6</v>
      </c>
      <c r="I409" s="661" t="n">
        <v>3.84</v>
      </c>
      <c r="J409" s="36" t="n">
        <v>120</v>
      </c>
      <c r="K409" s="37" t="inlineStr">
        <is>
          <t>СК1</t>
        </is>
      </c>
      <c r="L409" s="36" t="n">
        <v>55</v>
      </c>
      <c r="M409" s="88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3" t="n"/>
      <c r="O409" s="663" t="n"/>
      <c r="P409" s="663" t="n"/>
      <c r="Q409" s="629" t="n"/>
      <c r="R409" s="38" t="inlineStr"/>
      <c r="S409" s="38" t="inlineStr"/>
      <c r="T409" s="39" t="inlineStr">
        <is>
          <t>кг</t>
        </is>
      </c>
      <c r="U409" s="664" t="n">
        <v>0</v>
      </c>
      <c r="V409" s="665">
        <f>IFERROR(IF(U409="",0,CEILING((U409/$H409),1)*$H409),"")</f>
        <v/>
      </c>
      <c r="W409" s="40">
        <f>IFERROR(IF(V409=0,"",ROUNDUP(V409/H409,0)*0.00937),"")</f>
        <v/>
      </c>
      <c r="X409" s="66" t="inlineStr"/>
      <c r="Y409" s="67" t="inlineStr"/>
      <c r="AC409" s="68" t="n"/>
      <c r="AZ409" s="287" t="inlineStr">
        <is>
          <t>КИ</t>
        </is>
      </c>
    </row>
    <row r="410">
      <c r="A410" s="318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6" t="n"/>
      <c r="M410" s="667" t="inlineStr">
        <is>
          <t>Итого</t>
        </is>
      </c>
      <c r="N410" s="637" t="n"/>
      <c r="O410" s="637" t="n"/>
      <c r="P410" s="637" t="n"/>
      <c r="Q410" s="637" t="n"/>
      <c r="R410" s="637" t="n"/>
      <c r="S410" s="638" t="n"/>
      <c r="T410" s="41" t="inlineStr">
        <is>
          <t>кор</t>
        </is>
      </c>
      <c r="U410" s="668">
        <f>IFERROR(U401/H401,"0")+IFERROR(U402/H402,"0")+IFERROR(U403/H403,"0")+IFERROR(U404/H404,"0")+IFERROR(U405/H405,"0")+IFERROR(U406/H406,"0")+IFERROR(U407/H407,"0")+IFERROR(U408/H408,"0")+IFERROR(U409/H409,"0")</f>
        <v/>
      </c>
      <c r="V410" s="668">
        <f>IFERROR(V401/H401,"0")+IFERROR(V402/H402,"0")+IFERROR(V403/H403,"0")+IFERROR(V404/H404,"0")+IFERROR(V405/H405,"0")+IFERROR(V406/H406,"0")+IFERROR(V407/H407,"0")+IFERROR(V408/H408,"0")+IFERROR(V409/H409,"0")</f>
        <v/>
      </c>
      <c r="W410" s="668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69" t="n"/>
      <c r="Y410" s="669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6" t="n"/>
      <c r="M411" s="667" t="inlineStr">
        <is>
          <t>Итого</t>
        </is>
      </c>
      <c r="N411" s="637" t="n"/>
      <c r="O411" s="637" t="n"/>
      <c r="P411" s="637" t="n"/>
      <c r="Q411" s="637" t="n"/>
      <c r="R411" s="637" t="n"/>
      <c r="S411" s="638" t="n"/>
      <c r="T411" s="41" t="inlineStr">
        <is>
          <t>кг</t>
        </is>
      </c>
      <c r="U411" s="668">
        <f>IFERROR(SUM(U401:U409),"0")</f>
        <v/>
      </c>
      <c r="V411" s="668">
        <f>IFERROR(SUM(V401:V409),"0")</f>
        <v/>
      </c>
      <c r="W411" s="41" t="n"/>
      <c r="X411" s="669" t="n"/>
      <c r="Y411" s="669" t="n"/>
    </row>
    <row r="412" ht="14.25" customHeight="1">
      <c r="A412" s="326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6" t="n"/>
      <c r="Y412" s="326" t="n"/>
    </row>
    <row r="413" ht="16.5" customHeight="1">
      <c r="A413" s="61" t="inlineStr">
        <is>
          <t>SU002035</t>
        </is>
      </c>
      <c r="B413" s="61" t="inlineStr">
        <is>
          <t>P003146</t>
        </is>
      </c>
      <c r="C413" s="35" t="n">
        <v>4301020222</v>
      </c>
      <c r="D413" s="310" t="n">
        <v>4607091388930</v>
      </c>
      <c r="E413" s="629" t="n"/>
      <c r="F413" s="661" t="n">
        <v>0.88</v>
      </c>
      <c r="G413" s="36" t="n">
        <v>6</v>
      </c>
      <c r="H413" s="661" t="n">
        <v>5.28</v>
      </c>
      <c r="I413" s="661" t="n">
        <v>5.64</v>
      </c>
      <c r="J413" s="36" t="n">
        <v>104</v>
      </c>
      <c r="K413" s="37" t="inlineStr">
        <is>
          <t>СК1</t>
        </is>
      </c>
      <c r="L413" s="36" t="n">
        <v>55</v>
      </c>
      <c r="M413" s="887">
        <f>HYPERLINK("https://abi.ru/products/Охлажденные/Дугушка/Дугушка/Ветчины/P003146/","Ветчины Дугушка Дугушка Вес б/о Дугушка")</f>
        <v/>
      </c>
      <c r="N413" s="663" t="n"/>
      <c r="O413" s="663" t="n"/>
      <c r="P413" s="663" t="n"/>
      <c r="Q413" s="629" t="n"/>
      <c r="R413" s="38" t="inlineStr"/>
      <c r="S413" s="38" t="inlineStr"/>
      <c r="T413" s="39" t="inlineStr">
        <is>
          <t>кг</t>
        </is>
      </c>
      <c r="U413" s="664" t="n">
        <v>150</v>
      </c>
      <c r="V413" s="665">
        <f>IFERROR(IF(U413="",0,CEILING((U413/$H413),1)*$H413),"")</f>
        <v/>
      </c>
      <c r="W413" s="40">
        <f>IFERROR(IF(V413=0,"",ROUNDUP(V413/H413,0)*0.01196),"")</f>
        <v/>
      </c>
      <c r="X413" s="66" t="inlineStr"/>
      <c r="Y413" s="67" t="inlineStr"/>
      <c r="AC413" s="68" t="n"/>
      <c r="AZ413" s="288" t="inlineStr">
        <is>
          <t>КИ</t>
        </is>
      </c>
    </row>
    <row r="414" ht="16.5" customHeight="1">
      <c r="A414" s="61" t="inlineStr">
        <is>
          <t>SU002643</t>
        </is>
      </c>
      <c r="B414" s="61" t="inlineStr">
        <is>
          <t>P002993</t>
        </is>
      </c>
      <c r="C414" s="35" t="n">
        <v>4301020206</v>
      </c>
      <c r="D414" s="310" t="n">
        <v>4680115880054</v>
      </c>
      <c r="E414" s="629" t="n"/>
      <c r="F414" s="661" t="n">
        <v>0.6</v>
      </c>
      <c r="G414" s="36" t="n">
        <v>6</v>
      </c>
      <c r="H414" s="661" t="n">
        <v>3.6</v>
      </c>
      <c r="I414" s="661" t="n">
        <v>3.84</v>
      </c>
      <c r="J414" s="36" t="n">
        <v>120</v>
      </c>
      <c r="K414" s="37" t="inlineStr">
        <is>
          <t>СК1</t>
        </is>
      </c>
      <c r="L414" s="36" t="n">
        <v>55</v>
      </c>
      <c r="M414" s="888">
        <f>HYPERLINK("https://abi.ru/products/Охлажденные/Дугушка/Дугушка/Ветчины/P002993/","Ветчины «Дугушка» Фикс.вес 0,6 П/а ТМ «Дугушка»")</f>
        <v/>
      </c>
      <c r="N414" s="663" t="n"/>
      <c r="O414" s="663" t="n"/>
      <c r="P414" s="663" t="n"/>
      <c r="Q414" s="629" t="n"/>
      <c r="R414" s="38" t="inlineStr"/>
      <c r="S414" s="38" t="inlineStr"/>
      <c r="T414" s="39" t="inlineStr">
        <is>
          <t>кг</t>
        </is>
      </c>
      <c r="U414" s="664" t="n">
        <v>0</v>
      </c>
      <c r="V414" s="665">
        <f>IFERROR(IF(U414="",0,CEILING((U414/$H414),1)*$H414),"")</f>
        <v/>
      </c>
      <c r="W414" s="40">
        <f>IFERROR(IF(V414=0,"",ROUNDUP(V414/H414,0)*0.00937),"")</f>
        <v/>
      </c>
      <c r="X414" s="66" t="inlineStr"/>
      <c r="Y414" s="67" t="inlineStr"/>
      <c r="AC414" s="68" t="n"/>
      <c r="AZ414" s="289" t="inlineStr">
        <is>
          <t>КИ</t>
        </is>
      </c>
    </row>
    <row r="415">
      <c r="A415" s="318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6" t="n"/>
      <c r="M415" s="667" t="inlineStr">
        <is>
          <t>Итого</t>
        </is>
      </c>
      <c r="N415" s="637" t="n"/>
      <c r="O415" s="637" t="n"/>
      <c r="P415" s="637" t="n"/>
      <c r="Q415" s="637" t="n"/>
      <c r="R415" s="637" t="n"/>
      <c r="S415" s="638" t="n"/>
      <c r="T415" s="41" t="inlineStr">
        <is>
          <t>кор</t>
        </is>
      </c>
      <c r="U415" s="668">
        <f>IFERROR(U413/H413,"0")+IFERROR(U414/H414,"0")</f>
        <v/>
      </c>
      <c r="V415" s="668">
        <f>IFERROR(V413/H413,"0")+IFERROR(V414/H414,"0")</f>
        <v/>
      </c>
      <c r="W415" s="668">
        <f>IFERROR(IF(W413="",0,W413),"0")+IFERROR(IF(W414="",0,W414),"0")</f>
        <v/>
      </c>
      <c r="X415" s="669" t="n"/>
      <c r="Y415" s="669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6" t="n"/>
      <c r="M416" s="667" t="inlineStr">
        <is>
          <t>Итого</t>
        </is>
      </c>
      <c r="N416" s="637" t="n"/>
      <c r="O416" s="637" t="n"/>
      <c r="P416" s="637" t="n"/>
      <c r="Q416" s="637" t="n"/>
      <c r="R416" s="637" t="n"/>
      <c r="S416" s="638" t="n"/>
      <c r="T416" s="41" t="inlineStr">
        <is>
          <t>кг</t>
        </is>
      </c>
      <c r="U416" s="668">
        <f>IFERROR(SUM(U413:U414),"0")</f>
        <v/>
      </c>
      <c r="V416" s="668">
        <f>IFERROR(SUM(V413:V414),"0")</f>
        <v/>
      </c>
      <c r="W416" s="41" t="n"/>
      <c r="X416" s="669" t="n"/>
      <c r="Y416" s="669" t="n"/>
    </row>
    <row r="417" ht="14.25" customHeight="1">
      <c r="A417" s="326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6" t="n"/>
      <c r="Y417" s="326" t="n"/>
    </row>
    <row r="418" ht="27" customHeight="1">
      <c r="A418" s="61" t="inlineStr">
        <is>
          <t>SU002150</t>
        </is>
      </c>
      <c r="B418" s="61" t="inlineStr">
        <is>
          <t>P003636</t>
        </is>
      </c>
      <c r="C418" s="35" t="n">
        <v>4301031252</v>
      </c>
      <c r="D418" s="310" t="n">
        <v>4680115883116</v>
      </c>
      <c r="E418" s="629" t="n"/>
      <c r="F418" s="661" t="n">
        <v>0.88</v>
      </c>
      <c r="G418" s="36" t="n">
        <v>6</v>
      </c>
      <c r="H418" s="661" t="n">
        <v>5.28</v>
      </c>
      <c r="I418" s="661" t="n">
        <v>5.64</v>
      </c>
      <c r="J418" s="36" t="n">
        <v>104</v>
      </c>
      <c r="K418" s="37" t="inlineStr">
        <is>
          <t>СК1</t>
        </is>
      </c>
      <c r="L418" s="36" t="n">
        <v>60</v>
      </c>
      <c r="M418" s="88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3" t="n"/>
      <c r="O418" s="663" t="n"/>
      <c r="P418" s="663" t="n"/>
      <c r="Q418" s="629" t="n"/>
      <c r="R418" s="38" t="inlineStr"/>
      <c r="S418" s="38" t="inlineStr"/>
      <c r="T418" s="39" t="inlineStr">
        <is>
          <t>кг</t>
        </is>
      </c>
      <c r="U418" s="664" t="n">
        <v>0</v>
      </c>
      <c r="V418" s="665">
        <f>IFERROR(IF(U418="",0,CEILING((U418/$H418),1)*$H418),"")</f>
        <v/>
      </c>
      <c r="W418" s="40">
        <f>IFERROR(IF(V418=0,"",ROUNDUP(V418/H418,0)*0.01196),"")</f>
        <v/>
      </c>
      <c r="X418" s="66" t="inlineStr"/>
      <c r="Y418" s="67" t="inlineStr"/>
      <c r="AC418" s="68" t="n"/>
      <c r="AZ418" s="290" t="inlineStr">
        <is>
          <t>КИ</t>
        </is>
      </c>
    </row>
    <row r="419" ht="27" customHeight="1">
      <c r="A419" s="61" t="inlineStr">
        <is>
          <t>SU002158</t>
        </is>
      </c>
      <c r="B419" s="61" t="inlineStr">
        <is>
          <t>P003632</t>
        </is>
      </c>
      <c r="C419" s="35" t="n">
        <v>4301031248</v>
      </c>
      <c r="D419" s="310" t="n">
        <v>4680115883093</v>
      </c>
      <c r="E419" s="629" t="n"/>
      <c r="F419" s="661" t="n">
        <v>0.88</v>
      </c>
      <c r="G419" s="36" t="n">
        <v>6</v>
      </c>
      <c r="H419" s="661" t="n">
        <v>5.28</v>
      </c>
      <c r="I419" s="661" t="n">
        <v>5.64</v>
      </c>
      <c r="J419" s="36" t="n">
        <v>104</v>
      </c>
      <c r="K419" s="37" t="inlineStr">
        <is>
          <t>СК2</t>
        </is>
      </c>
      <c r="L419" s="36" t="n">
        <v>60</v>
      </c>
      <c r="M419" s="89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3" t="n"/>
      <c r="O419" s="663" t="n"/>
      <c r="P419" s="663" t="n"/>
      <c r="Q419" s="629" t="n"/>
      <c r="R419" s="38" t="inlineStr"/>
      <c r="S419" s="38" t="inlineStr"/>
      <c r="T419" s="39" t="inlineStr">
        <is>
          <t>кг</t>
        </is>
      </c>
      <c r="U419" s="664" t="n">
        <v>30</v>
      </c>
      <c r="V419" s="665">
        <f>IFERROR(IF(U419="",0,CEILING((U419/$H419),1)*$H419),"")</f>
        <v/>
      </c>
      <c r="W419" s="40">
        <f>IFERROR(IF(V419=0,"",ROUNDUP(V419/H419,0)*0.01196),"")</f>
        <v/>
      </c>
      <c r="X419" s="66" t="inlineStr"/>
      <c r="Y419" s="67" t="inlineStr"/>
      <c r="AC419" s="68" t="n"/>
      <c r="AZ419" s="291" t="inlineStr">
        <is>
          <t>КИ</t>
        </is>
      </c>
    </row>
    <row r="420" ht="27" customHeight="1">
      <c r="A420" s="61" t="inlineStr">
        <is>
          <t>SU002151</t>
        </is>
      </c>
      <c r="B420" s="61" t="inlineStr">
        <is>
          <t>P003634</t>
        </is>
      </c>
      <c r="C420" s="35" t="n">
        <v>4301031250</v>
      </c>
      <c r="D420" s="310" t="n">
        <v>4680115883109</v>
      </c>
      <c r="E420" s="629" t="n"/>
      <c r="F420" s="661" t="n">
        <v>0.88</v>
      </c>
      <c r="G420" s="36" t="n">
        <v>6</v>
      </c>
      <c r="H420" s="661" t="n">
        <v>5.28</v>
      </c>
      <c r="I420" s="661" t="n">
        <v>5.64</v>
      </c>
      <c r="J420" s="36" t="n">
        <v>104</v>
      </c>
      <c r="K420" s="37" t="inlineStr">
        <is>
          <t>СК2</t>
        </is>
      </c>
      <c r="L420" s="36" t="n">
        <v>60</v>
      </c>
      <c r="M420" s="8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3" t="n"/>
      <c r="O420" s="663" t="n"/>
      <c r="P420" s="663" t="n"/>
      <c r="Q420" s="629" t="n"/>
      <c r="R420" s="38" t="inlineStr"/>
      <c r="S420" s="38" t="inlineStr"/>
      <c r="T420" s="39" t="inlineStr">
        <is>
          <t>кг</t>
        </is>
      </c>
      <c r="U420" s="664" t="n">
        <v>30</v>
      </c>
      <c r="V420" s="665">
        <f>IFERROR(IF(U420="",0,CEILING((U420/$H420),1)*$H420),"")</f>
        <v/>
      </c>
      <c r="W420" s="40">
        <f>IFERROR(IF(V420=0,"",ROUNDUP(V420/H420,0)*0.01196),"")</f>
        <v/>
      </c>
      <c r="X420" s="66" t="inlineStr"/>
      <c r="Y420" s="67" t="inlineStr"/>
      <c r="AC420" s="68" t="n"/>
      <c r="AZ420" s="292" t="inlineStr">
        <is>
          <t>КИ</t>
        </is>
      </c>
    </row>
    <row r="421" ht="27" customHeight="1">
      <c r="A421" s="61" t="inlineStr">
        <is>
          <t>SU002916</t>
        </is>
      </c>
      <c r="B421" s="61" t="inlineStr">
        <is>
          <t>P003633</t>
        </is>
      </c>
      <c r="C421" s="35" t="n">
        <v>4301031249</v>
      </c>
      <c r="D421" s="310" t="n">
        <v>4680115882072</v>
      </c>
      <c r="E421" s="629" t="n"/>
      <c r="F421" s="661" t="n">
        <v>0.6</v>
      </c>
      <c r="G421" s="36" t="n">
        <v>6</v>
      </c>
      <c r="H421" s="661" t="n">
        <v>3.6</v>
      </c>
      <c r="I421" s="661" t="n">
        <v>3.84</v>
      </c>
      <c r="J421" s="36" t="n">
        <v>120</v>
      </c>
      <c r="K421" s="37" t="inlineStr">
        <is>
          <t>СК1</t>
        </is>
      </c>
      <c r="L421" s="36" t="n">
        <v>60</v>
      </c>
      <c r="M421" s="892" t="inlineStr">
        <is>
          <t>В/к колбасы «Рубленая Запеченная» Фикс.вес 0,6 Вектор ТМ «Дугушка»</t>
        </is>
      </c>
      <c r="N421" s="663" t="n"/>
      <c r="O421" s="663" t="n"/>
      <c r="P421" s="663" t="n"/>
      <c r="Q421" s="629" t="n"/>
      <c r="R421" s="38" t="inlineStr"/>
      <c r="S421" s="38" t="inlineStr"/>
      <c r="T421" s="39" t="inlineStr">
        <is>
          <t>кг</t>
        </is>
      </c>
      <c r="U421" s="664" t="n"/>
      <c r="V421" s="665">
        <f>IFERROR(IF(U421="",0,CEILING((U421/$H421),1)*$H421),"")</f>
        <v/>
      </c>
      <c r="W421" s="40">
        <f>IFERROR(IF(V421=0,"",ROUNDUP(V421/H421,0)*0.00937),"")</f>
        <v/>
      </c>
      <c r="X421" s="66" t="inlineStr"/>
      <c r="Y421" s="67" t="inlineStr"/>
      <c r="AC421" s="68" t="n"/>
      <c r="AZ421" s="293" t="inlineStr">
        <is>
          <t>КИ</t>
        </is>
      </c>
    </row>
    <row r="422" ht="27" customHeight="1">
      <c r="A422" s="61" t="inlineStr">
        <is>
          <t>SU002919</t>
        </is>
      </c>
      <c r="B422" s="61" t="inlineStr">
        <is>
          <t>P003635</t>
        </is>
      </c>
      <c r="C422" s="35" t="n">
        <v>4301031251</v>
      </c>
      <c r="D422" s="310" t="n">
        <v>4680115882102</v>
      </c>
      <c r="E422" s="629" t="n"/>
      <c r="F422" s="661" t="n">
        <v>0.6</v>
      </c>
      <c r="G422" s="36" t="n">
        <v>6</v>
      </c>
      <c r="H422" s="661" t="n">
        <v>3.6</v>
      </c>
      <c r="I422" s="661" t="n">
        <v>3.81</v>
      </c>
      <c r="J422" s="36" t="n">
        <v>120</v>
      </c>
      <c r="K422" s="37" t="inlineStr">
        <is>
          <t>СК2</t>
        </is>
      </c>
      <c r="L422" s="36" t="n">
        <v>60</v>
      </c>
      <c r="M422" s="893" t="inlineStr">
        <is>
          <t>В/к колбасы «Салями Запеченая» Фикс.вес 0,6 Вектор ТМ «Дугушка»</t>
        </is>
      </c>
      <c r="N422" s="663" t="n"/>
      <c r="O422" s="663" t="n"/>
      <c r="P422" s="663" t="n"/>
      <c r="Q422" s="629" t="n"/>
      <c r="R422" s="38" t="inlineStr"/>
      <c r="S422" s="38" t="inlineStr"/>
      <c r="T422" s="39" t="inlineStr">
        <is>
          <t>кг</t>
        </is>
      </c>
      <c r="U422" s="664" t="n"/>
      <c r="V422" s="665">
        <f>IFERROR(IF(U422="",0,CEILING((U422/$H422),1)*$H422),"")</f>
        <v/>
      </c>
      <c r="W422" s="40">
        <f>IFERROR(IF(V422=0,"",ROUNDUP(V422/H422,0)*0.00937),"")</f>
        <v/>
      </c>
      <c r="X422" s="66" t="inlineStr"/>
      <c r="Y422" s="67" t="inlineStr"/>
      <c r="AC422" s="68" t="n"/>
      <c r="AZ422" s="294" t="inlineStr">
        <is>
          <t>КИ</t>
        </is>
      </c>
    </row>
    <row r="423" ht="27" customHeight="1">
      <c r="A423" s="61" t="inlineStr">
        <is>
          <t>SU002918</t>
        </is>
      </c>
      <c r="B423" s="61" t="inlineStr">
        <is>
          <t>P003637</t>
        </is>
      </c>
      <c r="C423" s="35" t="n">
        <v>4301031253</v>
      </c>
      <c r="D423" s="310" t="n">
        <v>4680115882096</v>
      </c>
      <c r="E423" s="629" t="n"/>
      <c r="F423" s="661" t="n">
        <v>0.6</v>
      </c>
      <c r="G423" s="36" t="n">
        <v>6</v>
      </c>
      <c r="H423" s="661" t="n">
        <v>3.6</v>
      </c>
      <c r="I423" s="661" t="n">
        <v>3.81</v>
      </c>
      <c r="J423" s="36" t="n">
        <v>120</v>
      </c>
      <c r="K423" s="37" t="inlineStr">
        <is>
          <t>СК2</t>
        </is>
      </c>
      <c r="L423" s="36" t="n">
        <v>60</v>
      </c>
      <c r="M423" s="894" t="inlineStr">
        <is>
          <t>В/к колбасы «Сервелат Запеченный» Фикс.вес 0,6 Вектор ТМ «Дугушка»</t>
        </is>
      </c>
      <c r="N423" s="663" t="n"/>
      <c r="O423" s="663" t="n"/>
      <c r="P423" s="663" t="n"/>
      <c r="Q423" s="629" t="n"/>
      <c r="R423" s="38" t="inlineStr"/>
      <c r="S423" s="38" t="inlineStr"/>
      <c r="T423" s="39" t="inlineStr">
        <is>
          <t>кг</t>
        </is>
      </c>
      <c r="U423" s="664" t="n"/>
      <c r="V423" s="665">
        <f>IFERROR(IF(U423="",0,CEILING((U423/$H423),1)*$H423),"")</f>
        <v/>
      </c>
      <c r="W423" s="40">
        <f>IFERROR(IF(V423=0,"",ROUNDUP(V423/H423,0)*0.00937),"")</f>
        <v/>
      </c>
      <c r="X423" s="66" t="inlineStr"/>
      <c r="Y423" s="67" t="inlineStr"/>
      <c r="AC423" s="68" t="n"/>
      <c r="AZ423" s="295" t="inlineStr">
        <is>
          <t>КИ</t>
        </is>
      </c>
    </row>
    <row r="424">
      <c r="A424" s="318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6" t="n"/>
      <c r="M424" s="667" t="inlineStr">
        <is>
          <t>Итого</t>
        </is>
      </c>
      <c r="N424" s="637" t="n"/>
      <c r="O424" s="637" t="n"/>
      <c r="P424" s="637" t="n"/>
      <c r="Q424" s="637" t="n"/>
      <c r="R424" s="637" t="n"/>
      <c r="S424" s="638" t="n"/>
      <c r="T424" s="41" t="inlineStr">
        <is>
          <t>кор</t>
        </is>
      </c>
      <c r="U424" s="668">
        <f>IFERROR(U418/H418,"0")+IFERROR(U419/H419,"0")+IFERROR(U420/H420,"0")+IFERROR(U421/H421,"0")+IFERROR(U422/H422,"0")+IFERROR(U423/H423,"0")</f>
        <v/>
      </c>
      <c r="V424" s="668">
        <f>IFERROR(V418/H418,"0")+IFERROR(V419/H419,"0")+IFERROR(V420/H420,"0")+IFERROR(V421/H421,"0")+IFERROR(V422/H422,"0")+IFERROR(V423/H423,"0")</f>
        <v/>
      </c>
      <c r="W424" s="668">
        <f>IFERROR(IF(W418="",0,W418),"0")+IFERROR(IF(W419="",0,W419),"0")+IFERROR(IF(W420="",0,W420),"0")+IFERROR(IF(W421="",0,W421),"0")+IFERROR(IF(W422="",0,W422),"0")+IFERROR(IF(W423="",0,W423),"0")</f>
        <v/>
      </c>
      <c r="X424" s="669" t="n"/>
      <c r="Y424" s="669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6" t="n"/>
      <c r="M425" s="667" t="inlineStr">
        <is>
          <t>Итого</t>
        </is>
      </c>
      <c r="N425" s="637" t="n"/>
      <c r="O425" s="637" t="n"/>
      <c r="P425" s="637" t="n"/>
      <c r="Q425" s="637" t="n"/>
      <c r="R425" s="637" t="n"/>
      <c r="S425" s="638" t="n"/>
      <c r="T425" s="41" t="inlineStr">
        <is>
          <t>кг</t>
        </is>
      </c>
      <c r="U425" s="668">
        <f>IFERROR(SUM(U418:U423),"0")</f>
        <v/>
      </c>
      <c r="V425" s="668">
        <f>IFERROR(SUM(V418:V423),"0")</f>
        <v/>
      </c>
      <c r="W425" s="41" t="n"/>
      <c r="X425" s="669" t="n"/>
      <c r="Y425" s="669" t="n"/>
    </row>
    <row r="426" ht="14.25" customHeight="1">
      <c r="A426" s="326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6" t="n"/>
      <c r="Y426" s="326" t="n"/>
    </row>
    <row r="427" ht="16.5" customHeight="1">
      <c r="A427" s="61" t="inlineStr">
        <is>
          <t>SU002218</t>
        </is>
      </c>
      <c r="B427" s="61" t="inlineStr">
        <is>
          <t>P002854</t>
        </is>
      </c>
      <c r="C427" s="35" t="n">
        <v>4301051230</v>
      </c>
      <c r="D427" s="310" t="n">
        <v>4607091383409</v>
      </c>
      <c r="E427" s="629" t="n"/>
      <c r="F427" s="661" t="n">
        <v>1.3</v>
      </c>
      <c r="G427" s="36" t="n">
        <v>6</v>
      </c>
      <c r="H427" s="661" t="n">
        <v>7.8</v>
      </c>
      <c r="I427" s="661" t="n">
        <v>8.346</v>
      </c>
      <c r="J427" s="36" t="n">
        <v>56</v>
      </c>
      <c r="K427" s="37" t="inlineStr">
        <is>
          <t>СК2</t>
        </is>
      </c>
      <c r="L427" s="36" t="n">
        <v>45</v>
      </c>
      <c r="M427" s="895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3" t="n"/>
      <c r="O427" s="663" t="n"/>
      <c r="P427" s="663" t="n"/>
      <c r="Q427" s="629" t="n"/>
      <c r="R427" s="38" t="inlineStr"/>
      <c r="S427" s="38" t="inlineStr"/>
      <c r="T427" s="39" t="inlineStr">
        <is>
          <t>кг</t>
        </is>
      </c>
      <c r="U427" s="664" t="n">
        <v>0</v>
      </c>
      <c r="V427" s="665">
        <f>IFERROR(IF(U427="",0,CEILING((U427/$H427),1)*$H427),"")</f>
        <v/>
      </c>
      <c r="W427" s="40">
        <f>IFERROR(IF(V427=0,"",ROUNDUP(V427/H427,0)*0.02175),"")</f>
        <v/>
      </c>
      <c r="X427" s="66" t="inlineStr"/>
      <c r="Y427" s="67" t="inlineStr"/>
      <c r="AC427" s="68" t="n"/>
      <c r="AZ427" s="296" t="inlineStr">
        <is>
          <t>КИ</t>
        </is>
      </c>
    </row>
    <row r="428" ht="16.5" customHeight="1">
      <c r="A428" s="61" t="inlineStr">
        <is>
          <t>SU002219</t>
        </is>
      </c>
      <c r="B428" s="61" t="inlineStr">
        <is>
          <t>P002855</t>
        </is>
      </c>
      <c r="C428" s="35" t="n">
        <v>4301051231</v>
      </c>
      <c r="D428" s="310" t="n">
        <v>4607091383416</v>
      </c>
      <c r="E428" s="629" t="n"/>
      <c r="F428" s="661" t="n">
        <v>1.3</v>
      </c>
      <c r="G428" s="36" t="n">
        <v>6</v>
      </c>
      <c r="H428" s="661" t="n">
        <v>7.8</v>
      </c>
      <c r="I428" s="661" t="n">
        <v>8.346</v>
      </c>
      <c r="J428" s="36" t="n">
        <v>56</v>
      </c>
      <c r="K428" s="37" t="inlineStr">
        <is>
          <t>СК2</t>
        </is>
      </c>
      <c r="L428" s="36" t="n">
        <v>45</v>
      </c>
      <c r="M428" s="89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3" t="n"/>
      <c r="O428" s="663" t="n"/>
      <c r="P428" s="663" t="n"/>
      <c r="Q428" s="629" t="n"/>
      <c r="R428" s="38" t="inlineStr"/>
      <c r="S428" s="38" t="inlineStr"/>
      <c r="T428" s="39" t="inlineStr">
        <is>
          <t>кг</t>
        </is>
      </c>
      <c r="U428" s="664" t="n">
        <v>0</v>
      </c>
      <c r="V428" s="665">
        <f>IFERROR(IF(U428="",0,CEILING((U428/$H428),1)*$H428),"")</f>
        <v/>
      </c>
      <c r="W428" s="40">
        <f>IFERROR(IF(V428=0,"",ROUNDUP(V428/H428,0)*0.02175),"")</f>
        <v/>
      </c>
      <c r="X428" s="66" t="inlineStr"/>
      <c r="Y428" s="67" t="inlineStr"/>
      <c r="AC428" s="68" t="n"/>
      <c r="AZ428" s="297" t="inlineStr">
        <is>
          <t>КИ</t>
        </is>
      </c>
    </row>
    <row r="429">
      <c r="A429" s="318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6" t="n"/>
      <c r="M429" s="667" t="inlineStr">
        <is>
          <t>Итого</t>
        </is>
      </c>
      <c r="N429" s="637" t="n"/>
      <c r="O429" s="637" t="n"/>
      <c r="P429" s="637" t="n"/>
      <c r="Q429" s="637" t="n"/>
      <c r="R429" s="637" t="n"/>
      <c r="S429" s="638" t="n"/>
      <c r="T429" s="41" t="inlineStr">
        <is>
          <t>кор</t>
        </is>
      </c>
      <c r="U429" s="668">
        <f>IFERROR(U427/H427,"0")+IFERROR(U428/H428,"0")</f>
        <v/>
      </c>
      <c r="V429" s="668">
        <f>IFERROR(V427/H427,"0")+IFERROR(V428/H428,"0")</f>
        <v/>
      </c>
      <c r="W429" s="668">
        <f>IFERROR(IF(W427="",0,W427),"0")+IFERROR(IF(W428="",0,W428),"0")</f>
        <v/>
      </c>
      <c r="X429" s="669" t="n"/>
      <c r="Y429" s="669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6" t="n"/>
      <c r="M430" s="667" t="inlineStr">
        <is>
          <t>Итого</t>
        </is>
      </c>
      <c r="N430" s="637" t="n"/>
      <c r="O430" s="637" t="n"/>
      <c r="P430" s="637" t="n"/>
      <c r="Q430" s="637" t="n"/>
      <c r="R430" s="637" t="n"/>
      <c r="S430" s="638" t="n"/>
      <c r="T430" s="41" t="inlineStr">
        <is>
          <t>кг</t>
        </is>
      </c>
      <c r="U430" s="668">
        <f>IFERROR(SUM(U427:U428),"0")</f>
        <v/>
      </c>
      <c r="V430" s="668">
        <f>IFERROR(SUM(V427:V428),"0")</f>
        <v/>
      </c>
      <c r="W430" s="41" t="n"/>
      <c r="X430" s="669" t="n"/>
      <c r="Y430" s="669" t="n"/>
    </row>
    <row r="431" ht="27.75" customHeight="1">
      <c r="A431" s="331" t="inlineStr">
        <is>
          <t>Зареченские</t>
        </is>
      </c>
      <c r="B431" s="660" t="n"/>
      <c r="C431" s="660" t="n"/>
      <c r="D431" s="660" t="n"/>
      <c r="E431" s="660" t="n"/>
      <c r="F431" s="660" t="n"/>
      <c r="G431" s="660" t="n"/>
      <c r="H431" s="660" t="n"/>
      <c r="I431" s="660" t="n"/>
      <c r="J431" s="660" t="n"/>
      <c r="K431" s="660" t="n"/>
      <c r="L431" s="660" t="n"/>
      <c r="M431" s="660" t="n"/>
      <c r="N431" s="660" t="n"/>
      <c r="O431" s="660" t="n"/>
      <c r="P431" s="660" t="n"/>
      <c r="Q431" s="660" t="n"/>
      <c r="R431" s="660" t="n"/>
      <c r="S431" s="660" t="n"/>
      <c r="T431" s="660" t="n"/>
      <c r="U431" s="660" t="n"/>
      <c r="V431" s="660" t="n"/>
      <c r="W431" s="660" t="n"/>
      <c r="X431" s="53" t="n"/>
      <c r="Y431" s="53" t="n"/>
    </row>
    <row r="432" ht="16.5" customHeight="1">
      <c r="A432" s="325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5" t="n"/>
      <c r="Y432" s="325" t="n"/>
    </row>
    <row r="433" ht="14.25" customHeight="1">
      <c r="A433" s="326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6" t="n"/>
      <c r="Y433" s="326" t="n"/>
    </row>
    <row r="434" ht="27" customHeight="1">
      <c r="A434" s="61" t="inlineStr">
        <is>
          <t>SU002807</t>
        </is>
      </c>
      <c r="B434" s="61" t="inlineStr">
        <is>
          <t>P003210</t>
        </is>
      </c>
      <c r="C434" s="35" t="n">
        <v>4301011434</v>
      </c>
      <c r="D434" s="310" t="n">
        <v>4680115881099</v>
      </c>
      <c r="E434" s="629" t="n"/>
      <c r="F434" s="661" t="n">
        <v>1.5</v>
      </c>
      <c r="G434" s="36" t="n">
        <v>8</v>
      </c>
      <c r="H434" s="661" t="n">
        <v>12</v>
      </c>
      <c r="I434" s="661" t="n">
        <v>12.48</v>
      </c>
      <c r="J434" s="36" t="n">
        <v>56</v>
      </c>
      <c r="K434" s="37" t="inlineStr">
        <is>
          <t>СК1</t>
        </is>
      </c>
      <c r="L434" s="36" t="n">
        <v>50</v>
      </c>
      <c r="M434" s="89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3" t="n"/>
      <c r="O434" s="663" t="n"/>
      <c r="P434" s="663" t="n"/>
      <c r="Q434" s="629" t="n"/>
      <c r="R434" s="38" t="inlineStr"/>
      <c r="S434" s="38" t="inlineStr"/>
      <c r="T434" s="39" t="inlineStr">
        <is>
          <t>кг</t>
        </is>
      </c>
      <c r="U434" s="664" t="n">
        <v>0</v>
      </c>
      <c r="V434" s="665">
        <f>IFERROR(IF(U434="",0,CEILING((U434/$H434),1)*$H434),"")</f>
        <v/>
      </c>
      <c r="W434" s="40">
        <f>IFERROR(IF(V434=0,"",ROUNDUP(V434/H434,0)*0.02175),"")</f>
        <v/>
      </c>
      <c r="X434" s="66" t="inlineStr"/>
      <c r="Y434" s="67" t="inlineStr"/>
      <c r="AC434" s="68" t="n"/>
      <c r="AZ434" s="298" t="inlineStr">
        <is>
          <t>КИ</t>
        </is>
      </c>
    </row>
    <row r="435" ht="27" customHeight="1">
      <c r="A435" s="61" t="inlineStr">
        <is>
          <t>SU002808</t>
        </is>
      </c>
      <c r="B435" s="61" t="inlineStr">
        <is>
          <t>P003214</t>
        </is>
      </c>
      <c r="C435" s="35" t="n">
        <v>4301011435</v>
      </c>
      <c r="D435" s="310" t="n">
        <v>4680115881150</v>
      </c>
      <c r="E435" s="629" t="n"/>
      <c r="F435" s="661" t="n">
        <v>1.5</v>
      </c>
      <c r="G435" s="36" t="n">
        <v>8</v>
      </c>
      <c r="H435" s="661" t="n">
        <v>12</v>
      </c>
      <c r="I435" s="661" t="n">
        <v>12.48</v>
      </c>
      <c r="J435" s="36" t="n">
        <v>56</v>
      </c>
      <c r="K435" s="37" t="inlineStr">
        <is>
          <t>СК1</t>
        </is>
      </c>
      <c r="L435" s="36" t="n">
        <v>50</v>
      </c>
      <c r="M435" s="89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3" t="n"/>
      <c r="O435" s="663" t="n"/>
      <c r="P435" s="663" t="n"/>
      <c r="Q435" s="629" t="n"/>
      <c r="R435" s="38" t="inlineStr"/>
      <c r="S435" s="38" t="inlineStr"/>
      <c r="T435" s="39" t="inlineStr">
        <is>
          <t>кг</t>
        </is>
      </c>
      <c r="U435" s="664" t="n">
        <v>0</v>
      </c>
      <c r="V435" s="665">
        <f>IFERROR(IF(U435="",0,CEILING((U435/$H435),1)*$H435),"")</f>
        <v/>
      </c>
      <c r="W435" s="40">
        <f>IFERROR(IF(V435=0,"",ROUNDUP(V435/H435,0)*0.02175),"")</f>
        <v/>
      </c>
      <c r="X435" s="66" t="inlineStr"/>
      <c r="Y435" s="67" t="inlineStr"/>
      <c r="AC435" s="68" t="n"/>
      <c r="AZ435" s="299" t="inlineStr">
        <is>
          <t>КИ</t>
        </is>
      </c>
    </row>
    <row r="436">
      <c r="A436" s="318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6" t="n"/>
      <c r="M436" s="667" t="inlineStr">
        <is>
          <t>Итого</t>
        </is>
      </c>
      <c r="N436" s="637" t="n"/>
      <c r="O436" s="637" t="n"/>
      <c r="P436" s="637" t="n"/>
      <c r="Q436" s="637" t="n"/>
      <c r="R436" s="637" t="n"/>
      <c r="S436" s="638" t="n"/>
      <c r="T436" s="41" t="inlineStr">
        <is>
          <t>кор</t>
        </is>
      </c>
      <c r="U436" s="668">
        <f>IFERROR(U434/H434,"0")+IFERROR(U435/H435,"0")</f>
        <v/>
      </c>
      <c r="V436" s="668">
        <f>IFERROR(V434/H434,"0")+IFERROR(V435/H435,"0")</f>
        <v/>
      </c>
      <c r="W436" s="668">
        <f>IFERROR(IF(W434="",0,W434),"0")+IFERROR(IF(W435="",0,W435),"0")</f>
        <v/>
      </c>
      <c r="X436" s="669" t="n"/>
      <c r="Y436" s="669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6" t="n"/>
      <c r="M437" s="667" t="inlineStr">
        <is>
          <t>Итого</t>
        </is>
      </c>
      <c r="N437" s="637" t="n"/>
      <c r="O437" s="637" t="n"/>
      <c r="P437" s="637" t="n"/>
      <c r="Q437" s="637" t="n"/>
      <c r="R437" s="637" t="n"/>
      <c r="S437" s="638" t="n"/>
      <c r="T437" s="41" t="inlineStr">
        <is>
          <t>кг</t>
        </is>
      </c>
      <c r="U437" s="668">
        <f>IFERROR(SUM(U434:U435),"0")</f>
        <v/>
      </c>
      <c r="V437" s="668">
        <f>IFERROR(SUM(V434:V435),"0")</f>
        <v/>
      </c>
      <c r="W437" s="41" t="n"/>
      <c r="X437" s="669" t="n"/>
      <c r="Y437" s="669" t="n"/>
    </row>
    <row r="438" ht="14.25" customHeight="1">
      <c r="A438" s="326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6" t="n"/>
      <c r="Y438" s="326" t="n"/>
    </row>
    <row r="439" ht="27" customHeight="1">
      <c r="A439" s="61" t="inlineStr">
        <is>
          <t>SU002811</t>
        </is>
      </c>
      <c r="B439" s="61" t="inlineStr">
        <is>
          <t>P003208</t>
        </is>
      </c>
      <c r="C439" s="35" t="n">
        <v>4301020231</v>
      </c>
      <c r="D439" s="310" t="n">
        <v>4680115881129</v>
      </c>
      <c r="E439" s="629" t="n"/>
      <c r="F439" s="661" t="n">
        <v>1.8</v>
      </c>
      <c r="G439" s="36" t="n">
        <v>6</v>
      </c>
      <c r="H439" s="661" t="n">
        <v>10.8</v>
      </c>
      <c r="I439" s="661" t="n">
        <v>11.28</v>
      </c>
      <c r="J439" s="36" t="n">
        <v>56</v>
      </c>
      <c r="K439" s="37" t="inlineStr">
        <is>
          <t>СК1</t>
        </is>
      </c>
      <c r="L439" s="36" t="n">
        <v>50</v>
      </c>
      <c r="M439" s="89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3" t="n"/>
      <c r="O439" s="663" t="n"/>
      <c r="P439" s="663" t="n"/>
      <c r="Q439" s="629" t="n"/>
      <c r="R439" s="38" t="inlineStr"/>
      <c r="S439" s="38" t="inlineStr"/>
      <c r="T439" s="39" t="inlineStr">
        <is>
          <t>кг</t>
        </is>
      </c>
      <c r="U439" s="664" t="n">
        <v>0</v>
      </c>
      <c r="V439" s="665">
        <f>IFERROR(IF(U439="",0,CEILING((U439/$H439),1)*$H439),"")</f>
        <v/>
      </c>
      <c r="W439" s="40">
        <f>IFERROR(IF(V439=0,"",ROUNDUP(V439/H439,0)*0.02175),"")</f>
        <v/>
      </c>
      <c r="X439" s="66" t="inlineStr"/>
      <c r="Y439" s="67" t="inlineStr"/>
      <c r="AC439" s="68" t="n"/>
      <c r="AZ439" s="300" t="inlineStr">
        <is>
          <t>КИ</t>
        </is>
      </c>
    </row>
    <row r="440" ht="16.5" customHeight="1">
      <c r="A440" s="61" t="inlineStr">
        <is>
          <t>SU002806</t>
        </is>
      </c>
      <c r="B440" s="61" t="inlineStr">
        <is>
          <t>P003207</t>
        </is>
      </c>
      <c r="C440" s="35" t="n">
        <v>4301020230</v>
      </c>
      <c r="D440" s="310" t="n">
        <v>4680115881112</v>
      </c>
      <c r="E440" s="629" t="n"/>
      <c r="F440" s="661" t="n">
        <v>1.35</v>
      </c>
      <c r="G440" s="36" t="n">
        <v>8</v>
      </c>
      <c r="H440" s="661" t="n">
        <v>10.8</v>
      </c>
      <c r="I440" s="661" t="n">
        <v>11.28</v>
      </c>
      <c r="J440" s="36" t="n">
        <v>56</v>
      </c>
      <c r="K440" s="37" t="inlineStr">
        <is>
          <t>СК1</t>
        </is>
      </c>
      <c r="L440" s="36" t="n">
        <v>50</v>
      </c>
      <c r="M440" s="90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3" t="n"/>
      <c r="O440" s="663" t="n"/>
      <c r="P440" s="663" t="n"/>
      <c r="Q440" s="629" t="n"/>
      <c r="R440" s="38" t="inlineStr"/>
      <c r="S440" s="38" t="inlineStr"/>
      <c r="T440" s="39" t="inlineStr">
        <is>
          <t>кг</t>
        </is>
      </c>
      <c r="U440" s="664" t="n">
        <v>0</v>
      </c>
      <c r="V440" s="665">
        <f>IFERROR(IF(U440="",0,CEILING((U440/$H440),1)*$H440),"")</f>
        <v/>
      </c>
      <c r="W440" s="40">
        <f>IFERROR(IF(V440=0,"",ROUNDUP(V440/H440,0)*0.02175),"")</f>
        <v/>
      </c>
      <c r="X440" s="66" t="inlineStr"/>
      <c r="Y440" s="67" t="inlineStr"/>
      <c r="AC440" s="68" t="n"/>
      <c r="AZ440" s="301" t="inlineStr">
        <is>
          <t>КИ</t>
        </is>
      </c>
    </row>
    <row r="441">
      <c r="A441" s="318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6" t="n"/>
      <c r="M441" s="667" t="inlineStr">
        <is>
          <t>Итого</t>
        </is>
      </c>
      <c r="N441" s="637" t="n"/>
      <c r="O441" s="637" t="n"/>
      <c r="P441" s="637" t="n"/>
      <c r="Q441" s="637" t="n"/>
      <c r="R441" s="637" t="n"/>
      <c r="S441" s="638" t="n"/>
      <c r="T441" s="41" t="inlineStr">
        <is>
          <t>кор</t>
        </is>
      </c>
      <c r="U441" s="668">
        <f>IFERROR(U439/H439,"0")+IFERROR(U440/H440,"0")</f>
        <v/>
      </c>
      <c r="V441" s="668">
        <f>IFERROR(V439/H439,"0")+IFERROR(V440/H440,"0")</f>
        <v/>
      </c>
      <c r="W441" s="668">
        <f>IFERROR(IF(W439="",0,W439),"0")+IFERROR(IF(W440="",0,W440),"0")</f>
        <v/>
      </c>
      <c r="X441" s="669" t="n"/>
      <c r="Y441" s="669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6" t="n"/>
      <c r="M442" s="667" t="inlineStr">
        <is>
          <t>Итого</t>
        </is>
      </c>
      <c r="N442" s="637" t="n"/>
      <c r="O442" s="637" t="n"/>
      <c r="P442" s="637" t="n"/>
      <c r="Q442" s="637" t="n"/>
      <c r="R442" s="637" t="n"/>
      <c r="S442" s="638" t="n"/>
      <c r="T442" s="41" t="inlineStr">
        <is>
          <t>кг</t>
        </is>
      </c>
      <c r="U442" s="668">
        <f>IFERROR(SUM(U439:U440),"0")</f>
        <v/>
      </c>
      <c r="V442" s="668">
        <f>IFERROR(SUM(V439:V440),"0")</f>
        <v/>
      </c>
      <c r="W442" s="41" t="n"/>
      <c r="X442" s="669" t="n"/>
      <c r="Y442" s="669" t="n"/>
    </row>
    <row r="443" ht="14.25" customHeight="1">
      <c r="A443" s="326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6" t="n"/>
      <c r="Y443" s="326" t="n"/>
    </row>
    <row r="444" ht="27" customHeight="1">
      <c r="A444" s="61" t="inlineStr">
        <is>
          <t>SU002805</t>
        </is>
      </c>
      <c r="B444" s="61" t="inlineStr">
        <is>
          <t>P003206</t>
        </is>
      </c>
      <c r="C444" s="35" t="n">
        <v>4301031192</v>
      </c>
      <c r="D444" s="310" t="n">
        <v>4680115881167</v>
      </c>
      <c r="E444" s="629" t="n"/>
      <c r="F444" s="661" t="n">
        <v>0.73</v>
      </c>
      <c r="G444" s="36" t="n">
        <v>6</v>
      </c>
      <c r="H444" s="661" t="n">
        <v>4.38</v>
      </c>
      <c r="I444" s="661" t="n">
        <v>4.64</v>
      </c>
      <c r="J444" s="36" t="n">
        <v>156</v>
      </c>
      <c r="K444" s="37" t="inlineStr">
        <is>
          <t>СК2</t>
        </is>
      </c>
      <c r="L444" s="36" t="n">
        <v>40</v>
      </c>
      <c r="M444" s="90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3" t="n"/>
      <c r="O444" s="663" t="n"/>
      <c r="P444" s="663" t="n"/>
      <c r="Q444" s="629" t="n"/>
      <c r="R444" s="38" t="inlineStr"/>
      <c r="S444" s="38" t="inlineStr"/>
      <c r="T444" s="39" t="inlineStr">
        <is>
          <t>кг</t>
        </is>
      </c>
      <c r="U444" s="664" t="n">
        <v>0</v>
      </c>
      <c r="V444" s="665">
        <f>IFERROR(IF(U444="",0,CEILING((U444/$H444),1)*$H444),"")</f>
        <v/>
      </c>
      <c r="W444" s="40">
        <f>IFERROR(IF(V444=0,"",ROUNDUP(V444/H444,0)*0.00753),"")</f>
        <v/>
      </c>
      <c r="X444" s="66" t="inlineStr"/>
      <c r="Y444" s="67" t="inlineStr"/>
      <c r="AC444" s="68" t="n"/>
      <c r="AZ444" s="302" t="inlineStr">
        <is>
          <t>КИ</t>
        </is>
      </c>
    </row>
    <row r="445" ht="27" customHeight="1">
      <c r="A445" s="61" t="inlineStr">
        <is>
          <t>SU002809</t>
        </is>
      </c>
      <c r="B445" s="61" t="inlineStr">
        <is>
          <t>P003216</t>
        </is>
      </c>
      <c r="C445" s="35" t="n">
        <v>4301031193</v>
      </c>
      <c r="D445" s="310" t="n">
        <v>4680115881136</v>
      </c>
      <c r="E445" s="629" t="n"/>
      <c r="F445" s="661" t="n">
        <v>0.73</v>
      </c>
      <c r="G445" s="36" t="n">
        <v>6</v>
      </c>
      <c r="H445" s="661" t="n">
        <v>4.38</v>
      </c>
      <c r="I445" s="661" t="n">
        <v>4.64</v>
      </c>
      <c r="J445" s="36" t="n">
        <v>156</v>
      </c>
      <c r="K445" s="37" t="inlineStr">
        <is>
          <t>СК2</t>
        </is>
      </c>
      <c r="L445" s="36" t="n">
        <v>40</v>
      </c>
      <c r="M445" s="90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3" t="n"/>
      <c r="O445" s="663" t="n"/>
      <c r="P445" s="663" t="n"/>
      <c r="Q445" s="629" t="n"/>
      <c r="R445" s="38" t="inlineStr"/>
      <c r="S445" s="38" t="inlineStr"/>
      <c r="T445" s="39" t="inlineStr">
        <is>
          <t>кг</t>
        </is>
      </c>
      <c r="U445" s="664" t="n">
        <v>30</v>
      </c>
      <c r="V445" s="665">
        <f>IFERROR(IF(U445="",0,CEILING((U445/$H445),1)*$H445),"")</f>
        <v/>
      </c>
      <c r="W445" s="40">
        <f>IFERROR(IF(V445=0,"",ROUNDUP(V445/H445,0)*0.00753),"")</f>
        <v/>
      </c>
      <c r="X445" s="66" t="inlineStr"/>
      <c r="Y445" s="67" t="inlineStr"/>
      <c r="AC445" s="68" t="n"/>
      <c r="AZ445" s="303" t="inlineStr">
        <is>
          <t>КИ</t>
        </is>
      </c>
    </row>
    <row r="446">
      <c r="A446" s="318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6" t="n"/>
      <c r="M446" s="667" t="inlineStr">
        <is>
          <t>Итого</t>
        </is>
      </c>
      <c r="N446" s="637" t="n"/>
      <c r="O446" s="637" t="n"/>
      <c r="P446" s="637" t="n"/>
      <c r="Q446" s="637" t="n"/>
      <c r="R446" s="637" t="n"/>
      <c r="S446" s="638" t="n"/>
      <c r="T446" s="41" t="inlineStr">
        <is>
          <t>кор</t>
        </is>
      </c>
      <c r="U446" s="668">
        <f>IFERROR(U444/H444,"0")+IFERROR(U445/H445,"0")</f>
        <v/>
      </c>
      <c r="V446" s="668">
        <f>IFERROR(V444/H444,"0")+IFERROR(V445/H445,"0")</f>
        <v/>
      </c>
      <c r="W446" s="668">
        <f>IFERROR(IF(W444="",0,W444),"0")+IFERROR(IF(W445="",0,W445),"0")</f>
        <v/>
      </c>
      <c r="X446" s="669" t="n"/>
      <c r="Y446" s="669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6" t="n"/>
      <c r="M447" s="667" t="inlineStr">
        <is>
          <t>Итого</t>
        </is>
      </c>
      <c r="N447" s="637" t="n"/>
      <c r="O447" s="637" t="n"/>
      <c r="P447" s="637" t="n"/>
      <c r="Q447" s="637" t="n"/>
      <c r="R447" s="637" t="n"/>
      <c r="S447" s="638" t="n"/>
      <c r="T447" s="41" t="inlineStr">
        <is>
          <t>кг</t>
        </is>
      </c>
      <c r="U447" s="668">
        <f>IFERROR(SUM(U444:U445),"0")</f>
        <v/>
      </c>
      <c r="V447" s="668">
        <f>IFERROR(SUM(V444:V445),"0")</f>
        <v/>
      </c>
      <c r="W447" s="41" t="n"/>
      <c r="X447" s="669" t="n"/>
      <c r="Y447" s="669" t="n"/>
    </row>
    <row r="448" ht="14.25" customHeight="1">
      <c r="A448" s="326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6" t="n"/>
      <c r="Y448" s="326" t="n"/>
    </row>
    <row r="449" ht="27" customHeight="1">
      <c r="A449" s="61" t="inlineStr">
        <is>
          <t>SU002803</t>
        </is>
      </c>
      <c r="B449" s="61" t="inlineStr">
        <is>
          <t>P003204</t>
        </is>
      </c>
      <c r="C449" s="35" t="n">
        <v>4301051381</v>
      </c>
      <c r="D449" s="310" t="n">
        <v>4680115881068</v>
      </c>
      <c r="E449" s="629" t="n"/>
      <c r="F449" s="661" t="n">
        <v>1.3</v>
      </c>
      <c r="G449" s="36" t="n">
        <v>6</v>
      </c>
      <c r="H449" s="661" t="n">
        <v>7.8</v>
      </c>
      <c r="I449" s="661" t="n">
        <v>8.279999999999999</v>
      </c>
      <c r="J449" s="36" t="n">
        <v>56</v>
      </c>
      <c r="K449" s="37" t="inlineStr">
        <is>
          <t>СК2</t>
        </is>
      </c>
      <c r="L449" s="36" t="n">
        <v>30</v>
      </c>
      <c r="M449" s="903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3" t="n"/>
      <c r="O449" s="663" t="n"/>
      <c r="P449" s="663" t="n"/>
      <c r="Q449" s="629" t="n"/>
      <c r="R449" s="38" t="inlineStr"/>
      <c r="S449" s="38" t="inlineStr"/>
      <c r="T449" s="39" t="inlineStr">
        <is>
          <t>кг</t>
        </is>
      </c>
      <c r="U449" s="664" t="n">
        <v>0</v>
      </c>
      <c r="V449" s="665">
        <f>IFERROR(IF(U449="",0,CEILING((U449/$H449),1)*$H449),"")</f>
        <v/>
      </c>
      <c r="W449" s="40">
        <f>IFERROR(IF(V449=0,"",ROUNDUP(V449/H449,0)*0.02175),"")</f>
        <v/>
      </c>
      <c r="X449" s="66" t="inlineStr"/>
      <c r="Y449" s="67" t="inlineStr"/>
      <c r="AC449" s="68" t="n"/>
      <c r="AZ449" s="304" t="inlineStr">
        <is>
          <t>КИ</t>
        </is>
      </c>
    </row>
    <row r="450" ht="27" customHeight="1">
      <c r="A450" s="61" t="inlineStr">
        <is>
          <t>SU002804</t>
        </is>
      </c>
      <c r="B450" s="61" t="inlineStr">
        <is>
          <t>P003205</t>
        </is>
      </c>
      <c r="C450" s="35" t="n">
        <v>4301051382</v>
      </c>
      <c r="D450" s="310" t="n">
        <v>4680115881075</v>
      </c>
      <c r="E450" s="629" t="n"/>
      <c r="F450" s="661" t="n">
        <v>0.5</v>
      </c>
      <c r="G450" s="36" t="n">
        <v>6</v>
      </c>
      <c r="H450" s="661" t="n">
        <v>3</v>
      </c>
      <c r="I450" s="661" t="n">
        <v>3.2</v>
      </c>
      <c r="J450" s="36" t="n">
        <v>156</v>
      </c>
      <c r="K450" s="37" t="inlineStr">
        <is>
          <t>СК2</t>
        </is>
      </c>
      <c r="L450" s="36" t="n">
        <v>30</v>
      </c>
      <c r="M450" s="904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3" t="n"/>
      <c r="O450" s="663" t="n"/>
      <c r="P450" s="663" t="n"/>
      <c r="Q450" s="629" t="n"/>
      <c r="R450" s="38" t="inlineStr"/>
      <c r="S450" s="38" t="inlineStr"/>
      <c r="T450" s="39" t="inlineStr">
        <is>
          <t>кг</t>
        </is>
      </c>
      <c r="U450" s="664" t="n">
        <v>0</v>
      </c>
      <c r="V450" s="665">
        <f>IFERROR(IF(U450="",0,CEILING((U450/$H450),1)*$H450),"")</f>
        <v/>
      </c>
      <c r="W450" s="40">
        <f>IFERROR(IF(V450=0,"",ROUNDUP(V450/H450,0)*0.00753),"")</f>
        <v/>
      </c>
      <c r="X450" s="66" t="inlineStr"/>
      <c r="Y450" s="67" t="inlineStr"/>
      <c r="AC450" s="68" t="n"/>
      <c r="AZ450" s="305" t="inlineStr">
        <is>
          <t>КИ</t>
        </is>
      </c>
    </row>
    <row r="451">
      <c r="A451" s="318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6" t="n"/>
      <c r="M451" s="667" t="inlineStr">
        <is>
          <t>Итого</t>
        </is>
      </c>
      <c r="N451" s="637" t="n"/>
      <c r="O451" s="637" t="n"/>
      <c r="P451" s="637" t="n"/>
      <c r="Q451" s="637" t="n"/>
      <c r="R451" s="637" t="n"/>
      <c r="S451" s="638" t="n"/>
      <c r="T451" s="41" t="inlineStr">
        <is>
          <t>кор</t>
        </is>
      </c>
      <c r="U451" s="668">
        <f>IFERROR(U449/H449,"0")+IFERROR(U450/H450,"0")</f>
        <v/>
      </c>
      <c r="V451" s="668">
        <f>IFERROR(V449/H449,"0")+IFERROR(V450/H450,"0")</f>
        <v/>
      </c>
      <c r="W451" s="668">
        <f>IFERROR(IF(W449="",0,W449),"0")+IFERROR(IF(W450="",0,W450),"0")</f>
        <v/>
      </c>
      <c r="X451" s="669" t="n"/>
      <c r="Y451" s="669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6" t="n"/>
      <c r="M452" s="667" t="inlineStr">
        <is>
          <t>Итого</t>
        </is>
      </c>
      <c r="N452" s="637" t="n"/>
      <c r="O452" s="637" t="n"/>
      <c r="P452" s="637" t="n"/>
      <c r="Q452" s="637" t="n"/>
      <c r="R452" s="637" t="n"/>
      <c r="S452" s="638" t="n"/>
      <c r="T452" s="41" t="inlineStr">
        <is>
          <t>кг</t>
        </is>
      </c>
      <c r="U452" s="668">
        <f>IFERROR(SUM(U449:U450),"0")</f>
        <v/>
      </c>
      <c r="V452" s="668">
        <f>IFERROR(SUM(V449:V450),"0")</f>
        <v/>
      </c>
      <c r="W452" s="41" t="n"/>
      <c r="X452" s="669" t="n"/>
      <c r="Y452" s="669" t="n"/>
    </row>
    <row r="453" ht="16.5" customHeight="1">
      <c r="A453" s="325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5" t="n"/>
      <c r="Y453" s="325" t="n"/>
    </row>
    <row r="454" ht="14.25" customHeight="1">
      <c r="A454" s="326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6" t="n"/>
      <c r="Y454" s="326" t="n"/>
    </row>
    <row r="455" ht="16.5" customHeight="1">
      <c r="A455" s="61" t="inlineStr">
        <is>
          <t>SU002655</t>
        </is>
      </c>
      <c r="B455" s="61" t="inlineStr">
        <is>
          <t>P003022</t>
        </is>
      </c>
      <c r="C455" s="35" t="n">
        <v>4301051310</v>
      </c>
      <c r="D455" s="310" t="n">
        <v>4680115880870</v>
      </c>
      <c r="E455" s="629" t="n"/>
      <c r="F455" s="661" t="n">
        <v>1.3</v>
      </c>
      <c r="G455" s="36" t="n">
        <v>6</v>
      </c>
      <c r="H455" s="661" t="n">
        <v>7.8</v>
      </c>
      <c r="I455" s="661" t="n">
        <v>8.364000000000001</v>
      </c>
      <c r="J455" s="36" t="n">
        <v>56</v>
      </c>
      <c r="K455" s="37" t="inlineStr">
        <is>
          <t>СК3</t>
        </is>
      </c>
      <c r="L455" s="36" t="n">
        <v>40</v>
      </c>
      <c r="M455" s="90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3" t="n"/>
      <c r="O455" s="663" t="n"/>
      <c r="P455" s="663" t="n"/>
      <c r="Q455" s="629" t="n"/>
      <c r="R455" s="38" t="inlineStr"/>
      <c r="S455" s="38" t="inlineStr"/>
      <c r="T455" s="39" t="inlineStr">
        <is>
          <t>кг</t>
        </is>
      </c>
      <c r="U455" s="664" t="n">
        <v>0</v>
      </c>
      <c r="V455" s="665">
        <f>IFERROR(IF(U455="",0,CEILING((U455/$H455),1)*$H455),"")</f>
        <v/>
      </c>
      <c r="W455" s="40">
        <f>IFERROR(IF(V455=0,"",ROUNDUP(V455/H455,0)*0.02175),"")</f>
        <v/>
      </c>
      <c r="X455" s="66" t="inlineStr"/>
      <c r="Y455" s="67" t="inlineStr"/>
      <c r="AC455" s="68" t="n"/>
      <c r="AZ455" s="306" t="inlineStr">
        <is>
          <t>КИ</t>
        </is>
      </c>
    </row>
    <row r="456">
      <c r="A456" s="318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6" t="n"/>
      <c r="M456" s="667" t="inlineStr">
        <is>
          <t>Итого</t>
        </is>
      </c>
      <c r="N456" s="637" t="n"/>
      <c r="O456" s="637" t="n"/>
      <c r="P456" s="637" t="n"/>
      <c r="Q456" s="637" t="n"/>
      <c r="R456" s="637" t="n"/>
      <c r="S456" s="638" t="n"/>
      <c r="T456" s="41" t="inlineStr">
        <is>
          <t>кор</t>
        </is>
      </c>
      <c r="U456" s="668">
        <f>IFERROR(U455/H455,"0")</f>
        <v/>
      </c>
      <c r="V456" s="668">
        <f>IFERROR(V455/H455,"0")</f>
        <v/>
      </c>
      <c r="W456" s="668">
        <f>IFERROR(IF(W455="",0,W455),"0")</f>
        <v/>
      </c>
      <c r="X456" s="669" t="n"/>
      <c r="Y456" s="669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6" t="n"/>
      <c r="M457" s="667" t="inlineStr">
        <is>
          <t>Итого</t>
        </is>
      </c>
      <c r="N457" s="637" t="n"/>
      <c r="O457" s="637" t="n"/>
      <c r="P457" s="637" t="n"/>
      <c r="Q457" s="637" t="n"/>
      <c r="R457" s="637" t="n"/>
      <c r="S457" s="638" t="n"/>
      <c r="T457" s="41" t="inlineStr">
        <is>
          <t>кг</t>
        </is>
      </c>
      <c r="U457" s="668">
        <f>IFERROR(SUM(U455:U455),"0")</f>
        <v/>
      </c>
      <c r="V457" s="668">
        <f>IFERROR(SUM(V455:V455),"0")</f>
        <v/>
      </c>
      <c r="W457" s="41" t="n"/>
      <c r="X457" s="669" t="n"/>
      <c r="Y457" s="669" t="n"/>
    </row>
    <row r="458" ht="15" customHeight="1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6" t="n"/>
      <c r="M458" s="906" t="inlineStr">
        <is>
          <t>ИТОГО НЕТТО</t>
        </is>
      </c>
      <c r="N458" s="620" t="n"/>
      <c r="O458" s="620" t="n"/>
      <c r="P458" s="620" t="n"/>
      <c r="Q458" s="620" t="n"/>
      <c r="R458" s="620" t="n"/>
      <c r="S458" s="621" t="n"/>
      <c r="T458" s="41" t="inlineStr">
        <is>
          <t>кг</t>
        </is>
      </c>
      <c r="U458" s="668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68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1" t="n"/>
      <c r="X458" s="669" t="n"/>
      <c r="Y458" s="669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6" t="n"/>
      <c r="M459" s="906" t="inlineStr">
        <is>
          <t>ИТОГО БРУТТО</t>
        </is>
      </c>
      <c r="N459" s="620" t="n"/>
      <c r="O459" s="620" t="n"/>
      <c r="P459" s="620" t="n"/>
      <c r="Q459" s="620" t="n"/>
      <c r="R459" s="620" t="n"/>
      <c r="S459" s="621" t="n"/>
      <c r="T459" s="41" t="inlineStr">
        <is>
          <t>кг</t>
        </is>
      </c>
      <c r="U459" s="66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6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1" t="n"/>
      <c r="X459" s="669" t="n"/>
      <c r="Y459" s="669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6" t="n"/>
      <c r="M460" s="906" t="inlineStr">
        <is>
          <t>Кол-во паллет</t>
        </is>
      </c>
      <c r="N460" s="620" t="n"/>
      <c r="O460" s="620" t="n"/>
      <c r="P460" s="620" t="n"/>
      <c r="Q460" s="620" t="n"/>
      <c r="R460" s="620" t="n"/>
      <c r="S460" s="621" t="n"/>
      <c r="T460" s="41" t="inlineStr">
        <is>
          <t>шт</t>
        </is>
      </c>
      <c r="U460" s="43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3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1" t="n"/>
      <c r="X460" s="669" t="n"/>
      <c r="Y460" s="669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6" t="n"/>
      <c r="M461" s="906" t="inlineStr">
        <is>
          <t>Вес брутто  с паллетами</t>
        </is>
      </c>
      <c r="N461" s="620" t="n"/>
      <c r="O461" s="620" t="n"/>
      <c r="P461" s="620" t="n"/>
      <c r="Q461" s="620" t="n"/>
      <c r="R461" s="620" t="n"/>
      <c r="S461" s="621" t="n"/>
      <c r="T461" s="41" t="inlineStr">
        <is>
          <t>кг</t>
        </is>
      </c>
      <c r="U461" s="668">
        <f>GrossWeightTotal+PalletQtyTotal*25</f>
        <v/>
      </c>
      <c r="V461" s="668">
        <f>GrossWeightTotalR+PalletQtyTotalR*25</f>
        <v/>
      </c>
      <c r="W461" s="41" t="n"/>
      <c r="X461" s="669" t="n"/>
      <c r="Y461" s="669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6" t="n"/>
      <c r="M462" s="906" t="inlineStr">
        <is>
          <t>Кол-во коробок</t>
        </is>
      </c>
      <c r="N462" s="620" t="n"/>
      <c r="O462" s="620" t="n"/>
      <c r="P462" s="620" t="n"/>
      <c r="Q462" s="620" t="n"/>
      <c r="R462" s="620" t="n"/>
      <c r="S462" s="621" t="n"/>
      <c r="T462" s="41" t="inlineStr">
        <is>
          <t>шт</t>
        </is>
      </c>
      <c r="U462" s="668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68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1" t="n"/>
      <c r="X462" s="669" t="n"/>
      <c r="Y462" s="669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6" t="n"/>
      <c r="M463" s="906" t="inlineStr">
        <is>
          <t>Объем заказа</t>
        </is>
      </c>
      <c r="N463" s="620" t="n"/>
      <c r="O463" s="620" t="n"/>
      <c r="P463" s="620" t="n"/>
      <c r="Q463" s="620" t="n"/>
      <c r="R463" s="620" t="n"/>
      <c r="S463" s="621" t="n"/>
      <c r="T463" s="44" t="inlineStr">
        <is>
          <t>м3</t>
        </is>
      </c>
      <c r="U463" s="41" t="n"/>
      <c r="V463" s="41" t="n"/>
      <c r="W463" s="41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69" t="n"/>
      <c r="Y463" s="669" t="n"/>
    </row>
    <row r="464" ht="13.5" customHeight="1" thickBot="1"/>
    <row r="465" ht="27" customHeight="1" thickBot="1" thickTop="1">
      <c r="A465" s="45" t="inlineStr">
        <is>
          <t>ТОРГОВАЯ МАРКА</t>
        </is>
      </c>
      <c r="B465" s="307" t="inlineStr">
        <is>
          <t>Ядрена копоть</t>
        </is>
      </c>
      <c r="C465" s="307" t="inlineStr">
        <is>
          <t>Вязанка</t>
        </is>
      </c>
      <c r="D465" s="907" t="n"/>
      <c r="E465" s="907" t="n"/>
      <c r="F465" s="908" t="n"/>
      <c r="G465" s="307" t="inlineStr">
        <is>
          <t>Стародворье</t>
        </is>
      </c>
      <c r="H465" s="907" t="n"/>
      <c r="I465" s="907" t="n"/>
      <c r="J465" s="907" t="n"/>
      <c r="K465" s="907" t="n"/>
      <c r="L465" s="908" t="n"/>
      <c r="M465" s="307" t="inlineStr">
        <is>
          <t>Особый рецепт</t>
        </is>
      </c>
      <c r="N465" s="908" t="n"/>
      <c r="O465" s="307" t="inlineStr">
        <is>
          <t>Баварушка</t>
        </is>
      </c>
      <c r="P465" s="908" t="n"/>
      <c r="Q465" s="307" t="inlineStr">
        <is>
          <t>Дугушка</t>
        </is>
      </c>
      <c r="R465" s="307" t="inlineStr">
        <is>
          <t>Зареченские</t>
        </is>
      </c>
      <c r="S465" s="908" t="n"/>
      <c r="T465" s="1" t="n"/>
      <c r="Y465" s="9" t="n"/>
      <c r="AB465" s="1" t="n"/>
    </row>
    <row r="466" ht="14.25" customHeight="1" thickTop="1">
      <c r="A466" s="308" t="inlineStr">
        <is>
          <t>СЕРИЯ</t>
        </is>
      </c>
      <c r="B466" s="307" t="inlineStr">
        <is>
          <t>Ядрена копоть</t>
        </is>
      </c>
      <c r="C466" s="307" t="inlineStr">
        <is>
          <t>Столичная</t>
        </is>
      </c>
      <c r="D466" s="307" t="inlineStr">
        <is>
          <t>Классическая</t>
        </is>
      </c>
      <c r="E466" s="307" t="inlineStr">
        <is>
          <t>Вязанка</t>
        </is>
      </c>
      <c r="F466" s="307" t="inlineStr">
        <is>
          <t>Сливушки</t>
        </is>
      </c>
      <c r="G466" s="307" t="inlineStr">
        <is>
          <t>Золоченная в печи</t>
        </is>
      </c>
      <c r="H466" s="307" t="inlineStr">
        <is>
          <t>Мясорубская</t>
        </is>
      </c>
      <c r="I466" s="307" t="inlineStr">
        <is>
          <t>Сочинка</t>
        </is>
      </c>
      <c r="J466" s="307" t="inlineStr">
        <is>
          <t>Бордо</t>
        </is>
      </c>
      <c r="K466" s="307" t="inlineStr">
        <is>
          <t>Фирменная</t>
        </is>
      </c>
      <c r="L466" s="307" t="inlineStr">
        <is>
          <t>Бавария</t>
        </is>
      </c>
      <c r="M466" s="307" t="inlineStr">
        <is>
          <t>Особая</t>
        </is>
      </c>
      <c r="N466" s="307" t="inlineStr">
        <is>
          <t>Особая Без свинины</t>
        </is>
      </c>
      <c r="O466" s="307" t="inlineStr">
        <is>
          <t>Филейбургская</t>
        </is>
      </c>
      <c r="P466" s="307" t="inlineStr">
        <is>
          <t>Балыкбургская</t>
        </is>
      </c>
      <c r="Q466" s="307" t="inlineStr">
        <is>
          <t>Дугушка</t>
        </is>
      </c>
      <c r="R466" s="307" t="inlineStr">
        <is>
          <t>Зареченские продукты</t>
        </is>
      </c>
      <c r="S466" s="307" t="inlineStr">
        <is>
          <t>Выгодная цена</t>
        </is>
      </c>
      <c r="T466" s="1" t="n"/>
      <c r="Y466" s="9" t="n"/>
      <c r="AB466" s="1" t="n"/>
    </row>
    <row r="467" ht="13.5" customHeight="1" thickBot="1">
      <c r="A467" s="909" t="n"/>
      <c r="B467" s="910" t="n"/>
      <c r="C467" s="910" t="n"/>
      <c r="D467" s="910" t="n"/>
      <c r="E467" s="910" t="n"/>
      <c r="F467" s="910" t="n"/>
      <c r="G467" s="910" t="n"/>
      <c r="H467" s="910" t="n"/>
      <c r="I467" s="910" t="n"/>
      <c r="J467" s="910" t="n"/>
      <c r="K467" s="910" t="n"/>
      <c r="L467" s="910" t="n"/>
      <c r="M467" s="910" t="n"/>
      <c r="N467" s="910" t="n"/>
      <c r="O467" s="910" t="n"/>
      <c r="P467" s="910" t="n"/>
      <c r="Q467" s="910" t="n"/>
      <c r="R467" s="910" t="n"/>
      <c r="S467" s="910" t="n"/>
      <c r="T467" s="1" t="n"/>
      <c r="Y467" s="9" t="n"/>
      <c r="AB467" s="1" t="n"/>
    </row>
    <row r="468" ht="18" customHeight="1" thickBot="1" thickTop="1">
      <c r="A468" s="45" t="inlineStr">
        <is>
          <t>ИТОГО, кг</t>
        </is>
      </c>
      <c r="B468" s="51">
        <f>IFERROR(V22*1,"0")+IFERROR(V26*1,"0")+IFERROR(V27*1,"0")+IFERROR(V28*1,"0")+IFERROR(V29*1,"0")+IFERROR(V30*1,"0")+IFERROR(V31*1,"0")+IFERROR(V35*1,"0")+IFERROR(V36*1,"0")+IFERROR(V40*1,"0")</f>
        <v/>
      </c>
      <c r="C468" s="51">
        <f>IFERROR(V46*1,"0")+IFERROR(V47*1,"0")</f>
        <v/>
      </c>
      <c r="D468" s="51">
        <f>IFERROR(V52*1,"0")+IFERROR(V53*1,"0")+IFERROR(V54*1,"0")</f>
        <v/>
      </c>
      <c r="E468" s="51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1">
        <f>IFERROR(V118*1,"0")+IFERROR(V119*1,"0")+IFERROR(V120*1,"0")+IFERROR(V121*1,"0")</f>
        <v/>
      </c>
      <c r="G468" s="51">
        <f>IFERROR(V127*1,"0")+IFERROR(V128*1,"0")+IFERROR(V129*1,"0")</f>
        <v/>
      </c>
      <c r="H468" s="51">
        <f>IFERROR(V134*1,"0")+IFERROR(V135*1,"0")+IFERROR(V136*1,"0")+IFERROR(V137*1,"0")+IFERROR(V138*1,"0")+IFERROR(V139*1,"0")+IFERROR(V140*1,"0")+IFERROR(V141*1,"0")</f>
        <v/>
      </c>
      <c r="I468" s="51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1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1">
        <f>IFERROR(V247*1,"0")+IFERROR(V248*1,"0")+IFERROR(V249*1,"0")+IFERROR(V250*1,"0")+IFERROR(V251*1,"0")+IFERROR(V252*1,"0")+IFERROR(V253*1,"0")+IFERROR(V257*1,"0")+IFERROR(V258*1,"0")</f>
        <v/>
      </c>
      <c r="L468" s="51">
        <f>IFERROR(V263*1,"0")+IFERROR(V267*1,"0")+IFERROR(V268*1,"0")+IFERROR(V269*1,"0")+IFERROR(V273*1,"0")+IFERROR(V277*1,"0")</f>
        <v/>
      </c>
      <c r="M468" s="51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1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1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1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1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1">
        <f>IFERROR(V434*1,"0")+IFERROR(V435*1,"0")+IFERROR(V439*1,"0")+IFERROR(V440*1,"0")+IFERROR(V444*1,"0")+IFERROR(V445*1,"0")+IFERROR(V449*1,"0")+IFERROR(V450*1,"0")</f>
        <v/>
      </c>
      <c r="S468" s="51">
        <f>IFERROR(V455*1,"0")</f>
        <v/>
      </c>
      <c r="T468" s="1" t="n"/>
      <c r="Y468" s="9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10">
    <cfRule type="expression" priority="1" dxfId="0" stopIfTrue="1">
      <formula>IF($S$5="самовывоз",1,0)</formula>
    </cfRule>
  </conditionalFormatting>
  <conditionalFormatting sqref="M9:O13">
    <cfRule type="expression" priority="12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2" t="inlineStr">
        <is>
          <t>Доставка</t>
        </is>
      </c>
      <c r="C3" s="52" t="inlineStr"/>
      <c r="D3" s="52" t="inlineStr"/>
      <c r="E3" s="52" t="inlineStr"/>
    </row>
    <row r="4">
      <c r="B4" s="52" t="inlineStr">
        <is>
          <t>Самовывоз</t>
        </is>
      </c>
      <c r="C4" s="52" t="inlineStr"/>
      <c r="D4" s="52" t="inlineStr"/>
      <c r="E4" s="52" t="inlineStr"/>
    </row>
    <row r="6">
      <c r="B6" s="52" t="inlineStr">
        <is>
          <t>ЛП, ООО, Краснодарский край, Сочи г, Строительный пер, д. 10А,</t>
        </is>
      </c>
      <c r="C6" s="52" t="inlineStr">
        <is>
          <t>590704_7</t>
        </is>
      </c>
      <c r="D6" s="52" t="inlineStr">
        <is>
          <t>1</t>
        </is>
      </c>
      <c r="E6" s="52" t="inlineStr"/>
    </row>
    <row r="7">
      <c r="B7" s="52" t="inlineStr">
        <is>
          <t>ЛП, ООО, Краснодарский край, Краснодар г, им Вишняковой проезд, д. 1/5,</t>
        </is>
      </c>
      <c r="C7" s="52" t="inlineStr">
        <is>
          <t>590704_8</t>
        </is>
      </c>
      <c r="D7" s="52" t="inlineStr">
        <is>
          <t>2</t>
        </is>
      </c>
      <c r="E7" s="52" t="inlineStr"/>
    </row>
    <row r="9">
      <c r="B9" s="52" t="inlineStr">
        <is>
          <t>354068Российская Федерация, Краснодарский край, Сочи г, Строительный пер, д. 10А,</t>
        </is>
      </c>
      <c r="C9" s="52" t="inlineStr">
        <is>
          <t>590704_7</t>
        </is>
      </c>
      <c r="D9" s="52" t="inlineStr"/>
      <c r="E9" s="52" t="inlineStr"/>
    </row>
    <row r="11">
      <c r="B11" s="52" t="inlineStr">
        <is>
          <t>350001Российская Федерация, Краснодарский край, Краснодар г, им Вишняковой проезд, д. 1/5,</t>
        </is>
      </c>
      <c r="C11" s="52" t="inlineStr">
        <is>
          <t>590704_8</t>
        </is>
      </c>
      <c r="D11" s="52" t="inlineStr"/>
      <c r="E11" s="52" t="inlineStr"/>
    </row>
    <row r="13">
      <c r="B13" s="52" t="inlineStr">
        <is>
          <t>CFR</t>
        </is>
      </c>
      <c r="C13" s="52" t="inlineStr"/>
      <c r="D13" s="52" t="inlineStr"/>
      <c r="E13" s="52" t="inlineStr"/>
    </row>
    <row r="14">
      <c r="B14" s="52" t="inlineStr">
        <is>
          <t>CIF</t>
        </is>
      </c>
      <c r="C14" s="52" t="inlineStr"/>
      <c r="D14" s="52" t="inlineStr"/>
      <c r="E14" s="52" t="inlineStr"/>
    </row>
    <row r="15">
      <c r="B15" s="52" t="inlineStr">
        <is>
          <t>CIP</t>
        </is>
      </c>
      <c r="C15" s="52" t="inlineStr"/>
      <c r="D15" s="52" t="inlineStr"/>
      <c r="E15" s="52" t="inlineStr"/>
    </row>
    <row r="16">
      <c r="B16" s="52" t="inlineStr">
        <is>
          <t>CPT</t>
        </is>
      </c>
      <c r="C16" s="52" t="inlineStr"/>
      <c r="D16" s="52" t="inlineStr"/>
      <c r="E16" s="52" t="inlineStr"/>
    </row>
    <row r="17">
      <c r="B17" s="52" t="inlineStr">
        <is>
          <t>DAP</t>
        </is>
      </c>
      <c r="C17" s="52" t="inlineStr"/>
      <c r="D17" s="52" t="inlineStr"/>
      <c r="E17" s="52" t="inlineStr"/>
    </row>
    <row r="18">
      <c r="B18" s="52" t="inlineStr">
        <is>
          <t>DAT</t>
        </is>
      </c>
      <c r="C18" s="52" t="inlineStr"/>
      <c r="D18" s="52" t="inlineStr"/>
      <c r="E18" s="52" t="inlineStr"/>
    </row>
    <row r="19">
      <c r="B19" s="52" t="inlineStr">
        <is>
          <t>DDP</t>
        </is>
      </c>
      <c r="C19" s="52" t="inlineStr"/>
      <c r="D19" s="52" t="inlineStr"/>
      <c r="E19" s="52" t="inlineStr"/>
    </row>
    <row r="20">
      <c r="B20" s="52" t="inlineStr">
        <is>
          <t>EXW</t>
        </is>
      </c>
      <c r="C20" s="52" t="inlineStr"/>
      <c r="D20" s="52" t="inlineStr"/>
      <c r="E20" s="52" t="inlineStr"/>
    </row>
    <row r="21">
      <c r="B21" s="52" t="inlineStr">
        <is>
          <t>FAS</t>
        </is>
      </c>
      <c r="C21" s="52" t="inlineStr"/>
      <c r="D21" s="52" t="inlineStr"/>
      <c r="E21" s="52" t="inlineStr"/>
    </row>
    <row r="22">
      <c r="B22" s="52" t="inlineStr">
        <is>
          <t>FCA</t>
        </is>
      </c>
      <c r="C22" s="52" t="inlineStr"/>
      <c r="D22" s="52" t="inlineStr"/>
      <c r="E22" s="52" t="inlineStr"/>
    </row>
    <row r="23">
      <c r="B23" s="52" t="inlineStr">
        <is>
          <t>FOB</t>
        </is>
      </c>
      <c r="C23" s="52" t="inlineStr"/>
      <c r="D23" s="52" t="inlineStr"/>
      <c r="E23" s="5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2023-10-10T08:34:07Z</dcterms:modified>
  <cp:lastModifiedBy>Дмитрий Л</cp:lastModifiedBy>
</cp:coreProperties>
</file>