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4,24\08,04,24 ПОКОМ КИ Сочи\машина\"/>
    </mc:Choice>
  </mc:AlternateContent>
  <xr:revisionPtr revIDLastSave="0" documentId="13_ncr:1_{6C8624FD-2208-4818-ADD8-C744F3707D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6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59" i="1" l="1"/>
  <c r="X204" i="1"/>
  <c r="X210" i="1" s="1"/>
  <c r="W210" i="1"/>
  <c r="X213" i="1"/>
  <c r="X214" i="1" s="1"/>
  <c r="W214" i="1"/>
  <c r="L526" i="1"/>
  <c r="X407" i="1"/>
  <c r="X408" i="1" s="1"/>
  <c r="W408" i="1"/>
  <c r="V516" i="1"/>
  <c r="V519" i="1"/>
  <c r="X358" i="1"/>
  <c r="X116" i="1"/>
  <c r="X340" i="1"/>
  <c r="W479" i="1"/>
  <c r="X91" i="1"/>
  <c r="X193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84" i="1"/>
  <c r="X134" i="1"/>
  <c r="X200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X449" i="1"/>
  <c r="T526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<sst xmlns="http://schemas.openxmlformats.org/spreadsheetml/2006/main" count="2228" uniqueCount="751">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</sst>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10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6" t="s">
        <v>0</v>
      </c>
      <c r="E1" s="353"/>
      <c r="F1" s="353"/>
      <c r="G1" s="12" t="s">
        <v>1</v>
      </c>
      <c r="H1" s="496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3" t="s">
        <v>7</v>
      </c>
      <c r="B5" s="390"/>
      <c r="C5" s="391"/>
      <c r="D5" s="646"/>
      <c r="E5" s="647"/>
      <c r="F5" s="418" t="s">
        <v>8</v>
      </c>
      <c r="G5" s="391"/>
      <c r="H5" s="646"/>
      <c r="I5" s="687"/>
      <c r="J5" s="687"/>
      <c r="K5" s="687"/>
      <c r="L5" s="647"/>
      <c r="N5" s="24" t="s">
        <v>9</v>
      </c>
      <c r="O5" s="404">
        <v>45383</v>
      </c>
      <c r="P5" s="405"/>
      <c r="R5" s="385" t="s">
        <v>10</v>
      </c>
      <c r="S5" s="386"/>
      <c r="T5" s="555" t="s">
        <v>11</v>
      </c>
      <c r="U5" s="405"/>
      <c r="Z5" s="51"/>
      <c r="AA5" s="51"/>
      <c r="AB5" s="51"/>
    </row>
    <row r="6" spans="1:29" s="341" customFormat="1" ht="24" customHeight="1" x14ac:dyDescent="0.2">
      <c r="A6" s="653" t="s">
        <v>12</v>
      </c>
      <c r="B6" s="390"/>
      <c r="C6" s="391"/>
      <c r="D6" s="451" t="s">
        <v>13</v>
      </c>
      <c r="E6" s="452"/>
      <c r="F6" s="452"/>
      <c r="G6" s="452"/>
      <c r="H6" s="452"/>
      <c r="I6" s="452"/>
      <c r="J6" s="452"/>
      <c r="K6" s="452"/>
      <c r="L6" s="405"/>
      <c r="N6" s="24" t="s">
        <v>14</v>
      </c>
      <c r="O6" s="624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97" t="s">
        <v>15</v>
      </c>
      <c r="S6" s="386"/>
      <c r="T6" s="561" t="s">
        <v>16</v>
      </c>
      <c r="U6" s="562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4" t="str">
        <f>IFERROR(VLOOKUP(DeliveryAddress,Table,3,0),1)</f>
        <v>5</v>
      </c>
      <c r="E7" s="525"/>
      <c r="F7" s="525"/>
      <c r="G7" s="525"/>
      <c r="H7" s="525"/>
      <c r="I7" s="525"/>
      <c r="J7" s="525"/>
      <c r="K7" s="525"/>
      <c r="L7" s="468"/>
      <c r="N7" s="24"/>
      <c r="O7" s="42"/>
      <c r="P7" s="42"/>
      <c r="R7" s="355"/>
      <c r="S7" s="386"/>
      <c r="T7" s="563"/>
      <c r="U7" s="564"/>
      <c r="Z7" s="51"/>
      <c r="AA7" s="51"/>
      <c r="AB7" s="51"/>
    </row>
    <row r="8" spans="1:29" s="341" customFormat="1" ht="25.5" customHeight="1" x14ac:dyDescent="0.2">
      <c r="A8" s="380" t="s">
        <v>17</v>
      </c>
      <c r="B8" s="366"/>
      <c r="C8" s="367"/>
      <c r="D8" s="630"/>
      <c r="E8" s="631"/>
      <c r="F8" s="631"/>
      <c r="G8" s="631"/>
      <c r="H8" s="631"/>
      <c r="I8" s="631"/>
      <c r="J8" s="631"/>
      <c r="K8" s="631"/>
      <c r="L8" s="632"/>
      <c r="N8" s="24" t="s">
        <v>18</v>
      </c>
      <c r="O8" s="462">
        <v>0.41666666666666669</v>
      </c>
      <c r="P8" s="405"/>
      <c r="R8" s="355"/>
      <c r="S8" s="386"/>
      <c r="T8" s="563"/>
      <c r="U8" s="564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29"/>
      <c r="E9" s="384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N9" s="26" t="s">
        <v>19</v>
      </c>
      <c r="O9" s="404"/>
      <c r="P9" s="405"/>
      <c r="R9" s="355"/>
      <c r="S9" s="386"/>
      <c r="T9" s="565"/>
      <c r="U9" s="566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29"/>
      <c r="E10" s="384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6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2"/>
      <c r="P10" s="405"/>
      <c r="S10" s="24" t="s">
        <v>21</v>
      </c>
      <c r="T10" s="693" t="s">
        <v>22</v>
      </c>
      <c r="U10" s="562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2"/>
      <c r="P11" s="405"/>
      <c r="S11" s="24" t="s">
        <v>25</v>
      </c>
      <c r="T11" s="424" t="s">
        <v>26</v>
      </c>
      <c r="U11" s="425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0" t="s">
        <v>27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1"/>
      <c r="N12" s="24" t="s">
        <v>28</v>
      </c>
      <c r="O12" s="467"/>
      <c r="P12" s="468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0" t="s">
        <v>29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26"/>
      <c r="N13" s="26" t="s">
        <v>30</v>
      </c>
      <c r="O13" s="424"/>
      <c r="P13" s="425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0" t="s">
        <v>31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98" t="s">
        <v>32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1"/>
      <c r="N15" s="588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9"/>
      <c r="O16" s="589"/>
      <c r="P16" s="589"/>
      <c r="Q16" s="589"/>
      <c r="R16" s="5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6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1"/>
      <c r="P17" s="621"/>
      <c r="Q17" s="621"/>
      <c r="R17" s="362"/>
      <c r="S17" s="402" t="s">
        <v>47</v>
      </c>
      <c r="T17" s="391"/>
      <c r="U17" s="361" t="s">
        <v>48</v>
      </c>
      <c r="V17" s="361" t="s">
        <v>49</v>
      </c>
      <c r="W17" s="694" t="s">
        <v>50</v>
      </c>
      <c r="X17" s="361" t="s">
        <v>51</v>
      </c>
      <c r="Y17" s="378" t="s">
        <v>52</v>
      </c>
      <c r="Z17" s="378" t="s">
        <v>53</v>
      </c>
      <c r="AA17" s="378" t="s">
        <v>54</v>
      </c>
      <c r="AB17" s="677"/>
      <c r="AC17" s="678"/>
      <c r="AD17" s="598"/>
      <c r="BA17" s="672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2"/>
      <c r="P18" s="622"/>
      <c r="Q18" s="622"/>
      <c r="R18" s="364"/>
      <c r="S18" s="342" t="s">
        <v>56</v>
      </c>
      <c r="T18" s="342" t="s">
        <v>57</v>
      </c>
      <c r="U18" s="368"/>
      <c r="V18" s="368"/>
      <c r="W18" s="695"/>
      <c r="X18" s="368"/>
      <c r="Y18" s="379"/>
      <c r="Z18" s="379"/>
      <c r="AA18" s="679"/>
      <c r="AB18" s="680"/>
      <c r="AC18" s="681"/>
      <c r="AD18" s="599"/>
      <c r="BA18" s="355"/>
    </row>
    <row r="19" spans="1:53" ht="27.75" customHeight="1" x14ac:dyDescent="0.2">
      <c r="A19" s="411" t="s">
        <v>58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customHeight="1" x14ac:dyDescent="0.25">
      <c r="A20" s="397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6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700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411" t="s">
        <v>94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8"/>
      <c r="Z46" s="48"/>
    </row>
    <row r="47" spans="1:53" ht="16.5" customHeight="1" x14ac:dyDescent="0.25">
      <c r="A47" s="397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20</v>
      </c>
      <c r="W49" s="349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1.8518518518518516</v>
      </c>
      <c r="W51" s="350">
        <f>IFERROR(W49/H49,"0")+IFERROR(W50/H50,"0")</f>
        <v>2</v>
      </c>
      <c r="X51" s="350">
        <f>IFERROR(IF(X49="",0,X49),"0")+IFERROR(IF(X50="",0,X50),"0")</f>
        <v>4.3499999999999997E-2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20</v>
      </c>
      <c r="W52" s="350">
        <f>IFERROR(SUM(W49:W50),"0")</f>
        <v>21.6</v>
      </c>
      <c r="X52" s="37"/>
      <c r="Y52" s="351"/>
      <c r="Z52" s="351"/>
    </row>
    <row r="53" spans="1:53" ht="16.5" customHeight="1" x14ac:dyDescent="0.25">
      <c r="A53" s="397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70</v>
      </c>
      <c r="W55" s="349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4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6.481481481481481</v>
      </c>
      <c r="W59" s="350">
        <f>IFERROR(W55/H55,"0")+IFERROR(W56/H56,"0")+IFERROR(W57/H57,"0")+IFERROR(W58/H58,"0")</f>
        <v>7</v>
      </c>
      <c r="X59" s="350">
        <f>IFERROR(IF(X55="",0,X55),"0")+IFERROR(IF(X56="",0,X56),"0")+IFERROR(IF(X57="",0,X57),"0")+IFERROR(IF(X58="",0,X58),"0")</f>
        <v>0.15225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70</v>
      </c>
      <c r="W60" s="350">
        <f>IFERROR(SUM(W55:W58),"0")</f>
        <v>75.600000000000009</v>
      </c>
      <c r="X60" s="37"/>
      <c r="Y60" s="351"/>
      <c r="Z60" s="351"/>
    </row>
    <row r="61" spans="1:53" ht="16.5" customHeight="1" x14ac:dyDescent="0.25">
      <c r="A61" s="397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80</v>
      </c>
      <c r="W65" s="349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70</v>
      </c>
      <c r="W67" s="349">
        <f t="shared" si="2"/>
        <v>75.600000000000009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17.624338624338623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19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0.36373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166</v>
      </c>
      <c r="W85" s="350">
        <f>IFERROR(SUM(W63:W83),"0")</f>
        <v>181.2</v>
      </c>
      <c r="X85" s="37"/>
      <c r="Y85" s="351"/>
      <c r="Z85" s="351"/>
    </row>
    <row r="86" spans="1:53" ht="14.25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20</v>
      </c>
      <c r="W96" s="349">
        <f t="shared" si="5"/>
        <v>27</v>
      </c>
      <c r="X96" s="36">
        <f>IFERROR(IF(W96=0,"",ROUNDUP(W96/H96,0)*0.02175),"")</f>
        <v>6.5250000000000002E-2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2.2222222222222223</v>
      </c>
      <c r="W102" s="350">
        <f>IFERROR(W94/H94,"0")+IFERROR(W95/H95,"0")+IFERROR(W96/H96,"0")+IFERROR(W97/H97,"0")+IFERROR(W98/H98,"0")+IFERROR(W99/H99,"0")+IFERROR(W100/H100,"0")+IFERROR(W101/H101,"0")</f>
        <v>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6.5250000000000002E-2</v>
      </c>
      <c r="Y102" s="351"/>
      <c r="Z102" s="351"/>
    </row>
    <row r="103" spans="1:53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20</v>
      </c>
      <c r="W103" s="350">
        <f>IFERROR(SUM(W94:W101),"0")</f>
        <v>27</v>
      </c>
      <c r="X103" s="37"/>
      <c r="Y103" s="351"/>
      <c r="Z103" s="351"/>
    </row>
    <row r="104" spans="1:53" ht="14.25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20</v>
      </c>
      <c r="W105" s="349">
        <f t="shared" ref="W105:W115" si="6">IFERROR(IF(V105="",0,CEILING((V105/$H105),1)*$H105),"")</f>
        <v>25.200000000000003</v>
      </c>
      <c r="X105" s="36">
        <f>IFERROR(IF(W105=0,"",ROUNDUP(W105/H105,0)*0.02175),"")</f>
        <v>6.5250000000000002E-2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5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2.3809523809523809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6.5250000000000002E-2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20</v>
      </c>
      <c r="W117" s="350">
        <f>IFERROR(SUM(W105:W115),"0")</f>
        <v>25.200000000000003</v>
      </c>
      <c r="X117" s="37"/>
      <c r="Y117" s="351"/>
      <c r="Z117" s="351"/>
    </row>
    <row r="118" spans="1:53" ht="14.25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4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7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30</v>
      </c>
      <c r="W131" s="349">
        <f>IFERROR(IF(V131="",0,CEILING((V131/$H131),1)*$H131),"")</f>
        <v>33.6</v>
      </c>
      <c r="X131" s="36">
        <f>IFERROR(IF(W131=0,"",ROUNDUP(W131/H131,0)*0.02175),"")</f>
        <v>8.6999999999999994E-2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3.5714285714285712</v>
      </c>
      <c r="W134" s="350">
        <f>IFERROR(W130/H130,"0")+IFERROR(W131/H131,"0")+IFERROR(W132/H132,"0")+IFERROR(W133/H133,"0")</f>
        <v>4</v>
      </c>
      <c r="X134" s="350">
        <f>IFERROR(IF(X130="",0,X130),"0")+IFERROR(IF(X131="",0,X131),"0")+IFERROR(IF(X132="",0,X132),"0")+IFERROR(IF(X133="",0,X133),"0")</f>
        <v>8.6999999999999994E-2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30</v>
      </c>
      <c r="W135" s="350">
        <f>IFERROR(SUM(W130:W133),"0")</f>
        <v>33.6</v>
      </c>
      <c r="X135" s="37"/>
      <c r="Y135" s="351"/>
      <c r="Z135" s="351"/>
    </row>
    <row r="136" spans="1:53" ht="27.75" customHeight="1" x14ac:dyDescent="0.2">
      <c r="A136" s="411" t="s">
        <v>222</v>
      </c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8"/>
      <c r="Z136" s="48"/>
    </row>
    <row r="137" spans="1:53" ht="16.5" customHeight="1" x14ac:dyDescent="0.25">
      <c r="A137" s="397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7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7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7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4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499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8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1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4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7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3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0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6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6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0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7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20</v>
      </c>
      <c r="W229" s="349">
        <f t="shared" si="13"/>
        <v>21.6</v>
      </c>
      <c r="X229" s="36">
        <f>IFERROR(IF(W229=0,"",ROUNDUP(W229/H229,0)*0.02175),"")</f>
        <v>4.3499999999999997E-2</v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1.8518518518518516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4.3499999999999997E-2</v>
      </c>
      <c r="Y244" s="351"/>
      <c r="Z244" s="351"/>
    </row>
    <row r="245" spans="1:53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20</v>
      </c>
      <c r="W245" s="350">
        <f>IFERROR(SUM(W228:W243),"0")</f>
        <v>21.6</v>
      </c>
      <c r="X245" s="37"/>
      <c r="Y245" s="351"/>
      <c r="Z245" s="351"/>
    </row>
    <row r="246" spans="1:53" ht="14.25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80</v>
      </c>
      <c r="W251" s="349">
        <f>IFERROR(IF(V251="",0,CEILING((V251/$H251),1)*$H251),"")</f>
        <v>84</v>
      </c>
      <c r="X251" s="36">
        <f>IFERROR(IF(W251=0,"",ROUNDUP(W251/H251,0)*0.00753),"")</f>
        <v>0.15060000000000001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70</v>
      </c>
      <c r="W252" s="349">
        <f>IFERROR(IF(V252="",0,CEILING((V252/$H252),1)*$H252),"")</f>
        <v>71.400000000000006</v>
      </c>
      <c r="X252" s="36">
        <f>IFERROR(IF(W252=0,"",ROUNDUP(W252/H252,0)*0.00753),"")</f>
        <v>0.12801000000000001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35.714285714285708</v>
      </c>
      <c r="W255" s="350">
        <f>IFERROR(W251/H251,"0")+IFERROR(W252/H252,"0")+IFERROR(W253/H253,"0")+IFERROR(W254/H254,"0")</f>
        <v>37</v>
      </c>
      <c r="X255" s="350">
        <f>IFERROR(IF(X251="",0,X251),"0")+IFERROR(IF(X252="",0,X252),"0")+IFERROR(IF(X253="",0,X253),"0")+IFERROR(IF(X254="",0,X254),"0")</f>
        <v>0.27861000000000002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150</v>
      </c>
      <c r="W256" s="350">
        <f>IFERROR(SUM(W251:W254),"0")</f>
        <v>155.4</v>
      </c>
      <c r="X256" s="37"/>
      <c r="Y256" s="351"/>
      <c r="Z256" s="351"/>
    </row>
    <row r="257" spans="1:53" ht="14.25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7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1250</v>
      </c>
      <c r="W259" s="349">
        <f t="shared" si="15"/>
        <v>1255.8</v>
      </c>
      <c r="X259" s="36">
        <f>IFERROR(IF(W259=0,"",ROUNDUP(W259/H259,0)*0.02175),"")</f>
        <v>3.5017499999999999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160.25641025641025</v>
      </c>
      <c r="W267" s="350">
        <f>IFERROR(W258/H258,"0")+IFERROR(W259/H259,"0")+IFERROR(W260/H260,"0")+IFERROR(W261/H261,"0")+IFERROR(W262/H262,"0")+IFERROR(W263/H263,"0")+IFERROR(W264/H264,"0")+IFERROR(W265/H265,"0")+IFERROR(W266/H266,"0")</f>
        <v>161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3.5017499999999999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1250</v>
      </c>
      <c r="W268" s="350">
        <f>IFERROR(SUM(W258:W266),"0")</f>
        <v>1255.8</v>
      </c>
      <c r="X268" s="37"/>
      <c r="Y268" s="351"/>
      <c r="Z268" s="351"/>
    </row>
    <row r="269" spans="1:53" ht="14.25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40</v>
      </c>
      <c r="W271" s="349">
        <f>IFERROR(IF(V271="",0,CEILING((V271/$H271),1)*$H271),"")</f>
        <v>46.8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9.8901098901098905</v>
      </c>
      <c r="W273" s="350">
        <f>IFERROR(W270/H270,"0")+IFERROR(W271/H271,"0")+IFERROR(W272/H272,"0")</f>
        <v>12</v>
      </c>
      <c r="X273" s="350">
        <f>IFERROR(IF(X270="",0,X270),"0")+IFERROR(IF(X271="",0,X271),"0")+IFERROR(IF(X272="",0,X272),"0")</f>
        <v>0.26100000000000001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80</v>
      </c>
      <c r="W274" s="350">
        <f>IFERROR(SUM(W270:W272),"0")</f>
        <v>97.199999999999989</v>
      </c>
      <c r="X274" s="37"/>
      <c r="Y274" s="351"/>
      <c r="Z274" s="351"/>
    </row>
    <row r="275" spans="1:53" ht="14.25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5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10</v>
      </c>
      <c r="W276" s="349">
        <f>IFERROR(IF(V276="",0,CEILING((V276/$H276),1)*$H276),"")</f>
        <v>12.16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57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9</v>
      </c>
      <c r="W277" s="349">
        <f>IFERROR(IF(V277="",0,CEILING((V277/$H277),1)*$H277),"")</f>
        <v>9.120000000000001</v>
      </c>
      <c r="X277" s="36">
        <f>IFERROR(IF(W277=0,"",ROUNDUP(W277/H277,0)*0.00753),"")</f>
        <v>2.2589999999999999E-2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6.25</v>
      </c>
      <c r="W279" s="350">
        <f>IFERROR(W276/H276,"0")+IFERROR(W277/H277,"0")+IFERROR(W278/H278,"0")</f>
        <v>7</v>
      </c>
      <c r="X279" s="350">
        <f>IFERROR(IF(X276="",0,X276),"0")+IFERROR(IF(X277="",0,X277),"0")+IFERROR(IF(X278="",0,X278),"0")</f>
        <v>5.271E-2</v>
      </c>
      <c r="Y279" s="351"/>
      <c r="Z279" s="351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19</v>
      </c>
      <c r="W280" s="350">
        <f>IFERROR(SUM(W276:W278),"0")</f>
        <v>21.28</v>
      </c>
      <c r="X280" s="37"/>
      <c r="Y280" s="351"/>
      <c r="Z280" s="351"/>
    </row>
    <row r="281" spans="1:53" ht="14.25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7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20</v>
      </c>
      <c r="W289" s="349">
        <f t="shared" ref="W289:W296" si="16">IFERROR(IF(V289="",0,CEILING((V289/$H289),1)*$H289),"")</f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1.8518518518518516</v>
      </c>
      <c r="W297" s="350">
        <f>IFERROR(W289/H289,"0")+IFERROR(W290/H290,"0")+IFERROR(W291/H291,"0")+IFERROR(W292/H292,"0")+IFERROR(W293/H293,"0")+IFERROR(W294/H294,"0")+IFERROR(W295/H295,"0")+IFERROR(W296/H296,"0")</f>
        <v>2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4.3499999999999997E-2</v>
      </c>
      <c r="Y297" s="351"/>
      <c r="Z297" s="351"/>
    </row>
    <row r="298" spans="1:53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20</v>
      </c>
      <c r="W298" s="350">
        <f>IFERROR(SUM(W289:W296),"0")</f>
        <v>21.6</v>
      </c>
      <c r="X298" s="37"/>
      <c r="Y298" s="351"/>
      <c r="Z298" s="351"/>
    </row>
    <row r="299" spans="1:53" ht="14.25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7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150</v>
      </c>
      <c r="W310" s="349">
        <f>IFERROR(IF(V310="",0,CEILING((V310/$H310),1)*$H310),"")</f>
        <v>153.9</v>
      </c>
      <c r="X310" s="36">
        <f>IFERROR(IF(W310=0,"",ROUNDUP(W310/H310,0)*0.02175),"")</f>
        <v>0.41324999999999995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18.518518518518519</v>
      </c>
      <c r="W313" s="350">
        <f>IFERROR(W310/H310,"0")+IFERROR(W311/H311,"0")+IFERROR(W312/H312,"0")</f>
        <v>19</v>
      </c>
      <c r="X313" s="350">
        <f>IFERROR(IF(X310="",0,X310),"0")+IFERROR(IF(X311="",0,X311),"0")+IFERROR(IF(X312="",0,X312),"0")</f>
        <v>0.41324999999999995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150</v>
      </c>
      <c r="W314" s="350">
        <f>IFERROR(SUM(W310:W312),"0")</f>
        <v>153.9</v>
      </c>
      <c r="X314" s="37"/>
      <c r="Y314" s="351"/>
      <c r="Z314" s="351"/>
    </row>
    <row r="315" spans="1:53" ht="14.25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411" t="s">
        <v>463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8"/>
      <c r="Z323" s="48"/>
    </row>
    <row r="324" spans="1:53" ht="16.5" customHeight="1" x14ac:dyDescent="0.25">
      <c r="A324" s="397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520</v>
      </c>
      <c r="W327" s="349">
        <f t="shared" si="17"/>
        <v>525</v>
      </c>
      <c r="X327" s="36">
        <f>IFERROR(IF(W327=0,"",ROUNDUP(W327/H327,0)*0.02175),"")</f>
        <v>0.76124999999999998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200</v>
      </c>
      <c r="W328" s="349">
        <f t="shared" si="17"/>
        <v>210</v>
      </c>
      <c r="X328" s="36">
        <f>IFERROR(IF(W328=0,"",ROUNDUP(W328/H328,0)*0.02175),"")</f>
        <v>0.30449999999999999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140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57.333333333333336</v>
      </c>
      <c r="W334" s="350">
        <f>IFERROR(W326/H326,"0")+IFERROR(W327/H327,"0")+IFERROR(W328/H328,"0")+IFERROR(W329/H329,"0")+IFERROR(W330/H330,"0")+IFERROR(W331/H331,"0")+IFERROR(W332/H332,"0")+IFERROR(W333/H333,"0")</f>
        <v>59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1.28325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860</v>
      </c>
      <c r="W335" s="350">
        <f>IFERROR(SUM(W326:W333),"0")</f>
        <v>885</v>
      </c>
      <c r="X335" s="37"/>
      <c r="Y335" s="351"/>
      <c r="Z335" s="351"/>
    </row>
    <row r="336" spans="1:53" ht="14.25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840</v>
      </c>
      <c r="W337" s="349">
        <f>IFERROR(IF(V337="",0,CEILING((V337/$H337),1)*$H337),"")</f>
        <v>840</v>
      </c>
      <c r="X337" s="36">
        <f>IFERROR(IF(W337=0,"",ROUNDUP(W337/H337,0)*0.02175),"")</f>
        <v>1.218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56</v>
      </c>
      <c r="W340" s="350">
        <f>IFERROR(W337/H337,"0")+IFERROR(W338/H338,"0")+IFERROR(W339/H339,"0")</f>
        <v>56</v>
      </c>
      <c r="X340" s="350">
        <f>IFERROR(IF(X337="",0,X337),"0")+IFERROR(IF(X338="",0,X338),"0")+IFERROR(IF(X339="",0,X339),"0")</f>
        <v>1.218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840</v>
      </c>
      <c r="W341" s="350">
        <f>IFERROR(SUM(W337:W339),"0")</f>
        <v>840</v>
      </c>
      <c r="X341" s="37"/>
      <c r="Y341" s="351"/>
      <c r="Z341" s="351"/>
    </row>
    <row r="342" spans="1:53" ht="14.25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1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7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20</v>
      </c>
      <c r="W366" s="349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2.5641025641025643</v>
      </c>
      <c r="W370" s="350">
        <f>IFERROR(W366/H366,"0")+IFERROR(W367/H367,"0")+IFERROR(W368/H368,"0")+IFERROR(W369/H369,"0")</f>
        <v>3</v>
      </c>
      <c r="X370" s="350">
        <f>IFERROR(IF(X366="",0,X366),"0")+IFERROR(IF(X367="",0,X367),"0")+IFERROR(IF(X368="",0,X368),"0")+IFERROR(IF(X369="",0,X369),"0")</f>
        <v>6.5250000000000002E-2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20</v>
      </c>
      <c r="W371" s="350">
        <f>IFERROR(SUM(W366:W369),"0")</f>
        <v>23.4</v>
      </c>
      <c r="X371" s="37"/>
      <c r="Y371" s="351"/>
      <c r="Z371" s="351"/>
    </row>
    <row r="372" spans="1:53" ht="14.25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411" t="s">
        <v>516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8"/>
      <c r="Z376" s="48"/>
    </row>
    <row r="377" spans="1:53" ht="16.5" customHeight="1" x14ac:dyDescent="0.25">
      <c r="A377" s="397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50</v>
      </c>
      <c r="W385" s="349">
        <f t="shared" si="18"/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100</v>
      </c>
      <c r="W386" s="349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47.61904761904762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0.36143999999999998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200</v>
      </c>
      <c r="W398" s="350">
        <f>IFERROR(SUM(W384:W396),"0")</f>
        <v>201.60000000000002</v>
      </c>
      <c r="X398" s="37"/>
      <c r="Y398" s="351"/>
      <c r="Z398" s="351"/>
    </row>
    <row r="399" spans="1:53" ht="14.25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7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50</v>
      </c>
      <c r="W418" s="349">
        <f>IFERROR(IF(V418="",0,CEILING((V418/$H418),1)*$H418),"")</f>
        <v>52</v>
      </c>
      <c r="X418" s="36">
        <f>IFERROR(IF(W418=0,"",ROUNDUP(W418/H418,0)*0.01196),"")</f>
        <v>0.1196</v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9.615384615384615</v>
      </c>
      <c r="W420" s="350">
        <f>IFERROR(W418/H418,"0")+IFERROR(W419/H419,"0")</f>
        <v>10</v>
      </c>
      <c r="X420" s="350">
        <f>IFERROR(IF(X418="",0,X418),"0")+IFERROR(IF(X419="",0,X419),"0")</f>
        <v>0.1196</v>
      </c>
      <c r="Y420" s="351"/>
      <c r="Z420" s="351"/>
    </row>
    <row r="421" spans="1:53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50</v>
      </c>
      <c r="W421" s="350">
        <f>IFERROR(SUM(W418:W419),"0")</f>
        <v>52</v>
      </c>
      <c r="X421" s="37"/>
      <c r="Y421" s="351"/>
      <c r="Z421" s="351"/>
    </row>
    <row r="422" spans="1:53" ht="14.25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150</v>
      </c>
      <c r="W423" s="349">
        <f t="shared" ref="W423:W429" si="20">IFERROR(IF(V423="",0,CEILING((V423/$H423),1)*$H423),"")</f>
        <v>151.20000000000002</v>
      </c>
      <c r="X423" s="36">
        <f>IFERROR(IF(W423=0,"",ROUNDUP(W423/H423,0)*0.00753),"")</f>
        <v>0.27107999999999999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35.714285714285715</v>
      </c>
      <c r="W430" s="350">
        <f>IFERROR(W423/H423,"0")+IFERROR(W424/H424,"0")+IFERROR(W425/H425,"0")+IFERROR(W426/H426,"0")+IFERROR(W427/H427,"0")+IFERROR(W428/H428,"0")+IFERROR(W429/H429,"0")</f>
        <v>36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0.27107999999999999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150</v>
      </c>
      <c r="W431" s="350">
        <f>IFERROR(SUM(W423:W429),"0")</f>
        <v>151.20000000000002</v>
      </c>
      <c r="X431" s="37"/>
      <c r="Y431" s="351"/>
      <c r="Z431" s="351"/>
    </row>
    <row r="432" spans="1:53" ht="14.25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411" t="s">
        <v>594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8"/>
      <c r="Z445" s="48"/>
    </row>
    <row r="446" spans="1:53" ht="16.5" customHeight="1" x14ac:dyDescent="0.25">
      <c r="A446" s="397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3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8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6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9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1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90</v>
      </c>
      <c r="W452" s="349">
        <f t="shared" si="21"/>
        <v>95.04</v>
      </c>
      <c r="X452" s="36">
        <f t="shared" si="22"/>
        <v>0.21528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8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96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4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8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45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54.924242424242422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56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0.66976000000000002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290</v>
      </c>
      <c r="W460" s="350">
        <f>IFERROR(SUM(W448:W458),"0")</f>
        <v>295.68</v>
      </c>
      <c r="X460" s="37"/>
      <c r="Y460" s="351"/>
      <c r="Z460" s="351"/>
    </row>
    <row r="461" spans="1:53" ht="14.25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300</v>
      </c>
      <c r="W462" s="349">
        <f>IFERROR(IF(V462="",0,CEILING((V462/$H462),1)*$H462),"")</f>
        <v>300.96000000000004</v>
      </c>
      <c r="X462" s="36">
        <f>IFERROR(IF(W462=0,"",ROUNDUP(W462/H462,0)*0.01196),"")</f>
        <v>0.68171999999999999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56.818181818181813</v>
      </c>
      <c r="W464" s="350">
        <f>IFERROR(W462/H462,"0")+IFERROR(W463/H463,"0")</f>
        <v>57.000000000000007</v>
      </c>
      <c r="X464" s="350">
        <f>IFERROR(IF(X462="",0,X462),"0")+IFERROR(IF(X463="",0,X463),"0")</f>
        <v>0.68171999999999999</v>
      </c>
      <c r="Y464" s="351"/>
      <c r="Z464" s="35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300</v>
      </c>
      <c r="W465" s="350">
        <f>IFERROR(SUM(W462:W463),"0")</f>
        <v>300.96000000000004</v>
      </c>
      <c r="X465" s="37"/>
      <c r="Y465" s="351"/>
      <c r="Z465" s="351"/>
    </row>
    <row r="466" spans="1:53" ht="14.25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100</v>
      </c>
      <c r="W468" s="349">
        <f t="shared" si="23"/>
        <v>100.32000000000001</v>
      </c>
      <c r="X468" s="36">
        <f>IFERROR(IF(W468=0,"",ROUNDUP(W468/H468,0)*0.01196),"")</f>
        <v>0.22724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160</v>
      </c>
      <c r="W469" s="349">
        <f t="shared" si="23"/>
        <v>163.68</v>
      </c>
      <c r="X469" s="36">
        <f>IFERROR(IF(W469=0,"",ROUNDUP(W469/H469,0)*0.01196),"")</f>
        <v>0.37075999999999998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64.393939393939391</v>
      </c>
      <c r="W473" s="350">
        <f>IFERROR(W467/H467,"0")+IFERROR(W468/H468,"0")+IFERROR(W469/H469,"0")+IFERROR(W470/H470,"0")+IFERROR(W471/H471,"0")+IFERROR(W472/H472,"0")</f>
        <v>66</v>
      </c>
      <c r="X473" s="350">
        <f>IFERROR(IF(X467="",0,X467),"0")+IFERROR(IF(X468="",0,X468),"0")+IFERROR(IF(X469="",0,X469),"0")+IFERROR(IF(X470="",0,X470),"0")+IFERROR(IF(X471="",0,X471),"0")+IFERROR(IF(X472="",0,X472),"0")</f>
        <v>0.78935999999999995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340</v>
      </c>
      <c r="W474" s="350">
        <f>IFERROR(SUM(W467:W472),"0")</f>
        <v>348.48</v>
      </c>
      <c r="X474" s="37"/>
      <c r="Y474" s="351"/>
      <c r="Z474" s="351"/>
    </row>
    <row r="475" spans="1:53" ht="14.25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2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411" t="s">
        <v>652</v>
      </c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412"/>
      <c r="S485" s="412"/>
      <c r="T485" s="412"/>
      <c r="U485" s="412"/>
      <c r="V485" s="412"/>
      <c r="W485" s="412"/>
      <c r="X485" s="412"/>
      <c r="Y485" s="48"/>
      <c r="Z485" s="48"/>
    </row>
    <row r="486" spans="1:53" ht="16.5" customHeight="1" x14ac:dyDescent="0.25">
      <c r="A486" s="397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2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7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3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60</v>
      </c>
      <c r="W490" s="349">
        <f>IFERROR(IF(V490="",0,CEILING((V490/$H490),1)*$H490),"")</f>
        <v>60</v>
      </c>
      <c r="X490" s="36">
        <f>IFERROR(IF(W490=0,"",ROUNDUP(W490/H490,0)*0.02175),"")</f>
        <v>0.10874999999999999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6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7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5</v>
      </c>
      <c r="W493" s="350">
        <f>IFERROR(W488/H488,"0")+IFERROR(W489/H489,"0")+IFERROR(W490/H490,"0")+IFERROR(W491/H491,"0")+IFERROR(W492/H492,"0")</f>
        <v>5</v>
      </c>
      <c r="X493" s="350">
        <f>IFERROR(IF(X488="",0,X488),"0")+IFERROR(IF(X489="",0,X489),"0")+IFERROR(IF(X490="",0,X490),"0")+IFERROR(IF(X491="",0,X491),"0")+IFERROR(IF(X492="",0,X492),"0")</f>
        <v>0.10874999999999999</v>
      </c>
      <c r="Y493" s="351"/>
      <c r="Z493" s="351"/>
    </row>
    <row r="494" spans="1:53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60</v>
      </c>
      <c r="W494" s="350">
        <f>IFERROR(SUM(W488:W492),"0")</f>
        <v>60</v>
      </c>
      <c r="X494" s="37"/>
      <c r="Y494" s="351"/>
      <c r="Z494" s="351"/>
    </row>
    <row r="495" spans="1:53" ht="14.25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2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4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2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4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08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100</v>
      </c>
      <c r="W503" s="349">
        <f>IFERROR(IF(V503="",0,CEILING((V503/$H503),1)*$H503),"")</f>
        <v>100.80000000000001</v>
      </c>
      <c r="X503" s="36">
        <f>IFERROR(IF(W503=0,"",ROUNDUP(W503/H503,0)*0.00753),"")</f>
        <v>0.18071999999999999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3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0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23.80952380952381</v>
      </c>
      <c r="W506" s="350">
        <f>IFERROR(W502/H502,"0")+IFERROR(W503/H503,"0")+IFERROR(W504/H504,"0")+IFERROR(W505/H505,"0")</f>
        <v>24</v>
      </c>
      <c r="X506" s="350">
        <f>IFERROR(IF(X502="",0,X502),"0")+IFERROR(IF(X503="",0,X503),"0")+IFERROR(IF(X504="",0,X504),"0")+IFERROR(IF(X505="",0,X505),"0")</f>
        <v>0.18071999999999999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100</v>
      </c>
      <c r="W507" s="350">
        <f>IFERROR(SUM(W502:W505),"0")</f>
        <v>100.80000000000001</v>
      </c>
      <c r="X507" s="37"/>
      <c r="Y507" s="351"/>
      <c r="Z507" s="351"/>
    </row>
    <row r="508" spans="1:53" ht="14.25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30</v>
      </c>
      <c r="W509" s="349">
        <f>IFERROR(IF(V509="",0,CEILING((V509/$H509),1)*$H509),"")</f>
        <v>31.2</v>
      </c>
      <c r="X509" s="36">
        <f>IFERROR(IF(W509=0,"",ROUNDUP(W509/H509,0)*0.02175),"")</f>
        <v>8.6999999999999994E-2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4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4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48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3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3.8461538461538463</v>
      </c>
      <c r="W514" s="350">
        <f>IFERROR(W509/H509,"0")+IFERROR(W510/H510,"0")+IFERROR(W511/H511,"0")+IFERROR(W512/H512,"0")+IFERROR(W513/H513,"0")</f>
        <v>4</v>
      </c>
      <c r="X514" s="350">
        <f>IFERROR(IF(X509="",0,X509),"0")+IFERROR(IF(X510="",0,X510),"0")+IFERROR(IF(X511="",0,X511),"0")+IFERROR(IF(X512="",0,X512),"0")+IFERROR(IF(X513="",0,X513),"0")</f>
        <v>8.6999999999999994E-2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30</v>
      </c>
      <c r="W515" s="350">
        <f>IFERROR(SUM(W509:W513),"0")</f>
        <v>31.2</v>
      </c>
      <c r="X515" s="37"/>
      <c r="Y515" s="351"/>
      <c r="Z515" s="351"/>
    </row>
    <row r="516" spans="1:53" ht="15" customHeight="1" x14ac:dyDescent="0.2">
      <c r="A516" s="708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89" t="s">
        <v>704</v>
      </c>
      <c r="O516" s="390"/>
      <c r="P516" s="390"/>
      <c r="Q516" s="390"/>
      <c r="R516" s="390"/>
      <c r="S516" s="390"/>
      <c r="T516" s="39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5255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5381.3000000000011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89" t="s">
        <v>705</v>
      </c>
      <c r="O517" s="390"/>
      <c r="P517" s="390"/>
      <c r="Q517" s="390"/>
      <c r="R517" s="390"/>
      <c r="S517" s="390"/>
      <c r="T517" s="39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5542.4675485917596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5675.8839999999991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89" t="s">
        <v>706</v>
      </c>
      <c r="O518" s="390"/>
      <c r="P518" s="390"/>
      <c r="Q518" s="390"/>
      <c r="R518" s="390"/>
      <c r="S518" s="390"/>
      <c r="T518" s="39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89" t="s">
        <v>708</v>
      </c>
      <c r="O519" s="390"/>
      <c r="P519" s="390"/>
      <c r="Q519" s="390"/>
      <c r="R519" s="390"/>
      <c r="S519" s="390"/>
      <c r="T519" s="391"/>
      <c r="U519" s="37" t="s">
        <v>64</v>
      </c>
      <c r="V519" s="350">
        <f>GrossWeightTotal+PalletQtyTotal*25</f>
        <v>5792.4675485917596</v>
      </c>
      <c r="W519" s="350">
        <f>GrossWeightTotalR+PalletQtyTotalR*25</f>
        <v>5925.8839999999991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89" t="s">
        <v>709</v>
      </c>
      <c r="O520" s="390"/>
      <c r="P520" s="390"/>
      <c r="Q520" s="390"/>
      <c r="R520" s="390"/>
      <c r="S520" s="390"/>
      <c r="T520" s="39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686.10349835349837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702</v>
      </c>
      <c r="X520" s="37"/>
      <c r="Y520" s="351"/>
      <c r="Z520" s="351"/>
    </row>
    <row r="521" spans="1:53" ht="14.25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86"/>
      <c r="N521" s="389" t="s">
        <v>710</v>
      </c>
      <c r="O521" s="390"/>
      <c r="P521" s="390"/>
      <c r="Q521" s="390"/>
      <c r="R521" s="390"/>
      <c r="S521" s="390"/>
      <c r="T521" s="39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11.207229999999999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1" t="s">
        <v>94</v>
      </c>
      <c r="D523" s="535"/>
      <c r="E523" s="535"/>
      <c r="F523" s="421"/>
      <c r="G523" s="371" t="s">
        <v>222</v>
      </c>
      <c r="H523" s="535"/>
      <c r="I523" s="535"/>
      <c r="J523" s="535"/>
      <c r="K523" s="535"/>
      <c r="L523" s="535"/>
      <c r="M523" s="535"/>
      <c r="N523" s="535"/>
      <c r="O523" s="421"/>
      <c r="P523" s="371" t="s">
        <v>463</v>
      </c>
      <c r="Q523" s="421"/>
      <c r="R523" s="371" t="s">
        <v>516</v>
      </c>
      <c r="S523" s="421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8" t="s">
        <v>713</v>
      </c>
      <c r="B524" s="371" t="s">
        <v>58</v>
      </c>
      <c r="C524" s="371" t="s">
        <v>95</v>
      </c>
      <c r="D524" s="371" t="s">
        <v>103</v>
      </c>
      <c r="E524" s="371" t="s">
        <v>94</v>
      </c>
      <c r="F524" s="371" t="s">
        <v>214</v>
      </c>
      <c r="G524" s="371" t="s">
        <v>223</v>
      </c>
      <c r="H524" s="371" t="s">
        <v>230</v>
      </c>
      <c r="I524" s="371" t="s">
        <v>249</v>
      </c>
      <c r="J524" s="371" t="s">
        <v>308</v>
      </c>
      <c r="K524" s="346"/>
      <c r="L524" s="371" t="s">
        <v>329</v>
      </c>
      <c r="M524" s="371" t="s">
        <v>348</v>
      </c>
      <c r="N524" s="371" t="s">
        <v>432</v>
      </c>
      <c r="O524" s="371" t="s">
        <v>450</v>
      </c>
      <c r="P524" s="371" t="s">
        <v>464</v>
      </c>
      <c r="Q524" s="371" t="s">
        <v>491</v>
      </c>
      <c r="R524" s="371" t="s">
        <v>517</v>
      </c>
      <c r="S524" s="371" t="s">
        <v>566</v>
      </c>
      <c r="T524" s="371" t="s">
        <v>594</v>
      </c>
      <c r="U524" s="371" t="s">
        <v>653</v>
      </c>
      <c r="Z524" s="52"/>
      <c r="AC524" s="346"/>
    </row>
    <row r="525" spans="1:53" ht="13.5" customHeight="1" thickBot="1" x14ac:dyDescent="0.25">
      <c r="A525" s="629"/>
      <c r="B525" s="372"/>
      <c r="C525" s="372"/>
      <c r="D525" s="372"/>
      <c r="E525" s="372"/>
      <c r="F525" s="372"/>
      <c r="G525" s="372"/>
      <c r="H525" s="372"/>
      <c r="I525" s="372"/>
      <c r="J525" s="372"/>
      <c r="K525" s="346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21.6</v>
      </c>
      <c r="D526" s="46">
        <f>IFERROR(W55*1,"0")+IFERROR(W56*1,"0")+IFERROR(W57*1,"0")+IFERROR(W58*1,"0")</f>
        <v>75.600000000000009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233.39999999999998</v>
      </c>
      <c r="F526" s="46">
        <f>IFERROR(W130*1,"0")+IFERROR(W131*1,"0")+IFERROR(W132*1,"0")+IFERROR(W133*1,"0")</f>
        <v>33.6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1551.2799999999997</v>
      </c>
      <c r="N526" s="46">
        <f>IFERROR(W289*1,"0")+IFERROR(W290*1,"0")+IFERROR(W291*1,"0")+IFERROR(W292*1,"0")+IFERROR(W293*1,"0")+IFERROR(W294*1,"0")+IFERROR(W295*1,"0")+IFERROR(W296*1,"0")+IFERROR(W300*1,"0")+IFERROR(W301*1,"0")</f>
        <v>21.6</v>
      </c>
      <c r="O526" s="46">
        <f>IFERROR(W306*1,"0")+IFERROR(W310*1,"0")+IFERROR(W311*1,"0")+IFERROR(W312*1,"0")+IFERROR(W316*1,"0")+IFERROR(W320*1,"0")</f>
        <v>153.9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1725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201.60000000000002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203.20000000000002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945.12000000000012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192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2024-04-09T09:35:26Z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