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4,24\08,04,24 ПОКОМ КИ Сочи\машина\"/>
    </mc:Choice>
  </mc:AlternateContent>
  <xr:revisionPtr revIDLastSave="0" documentId="13_ncr:1_{746EE55F-99E7-4719-B745-62DD84FF62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34" i="1" l="1"/>
  <c r="X91" i="1"/>
  <c r="W200" i="1"/>
  <c r="X407" i="1"/>
  <c r="X408" i="1" s="1"/>
  <c r="W408" i="1"/>
  <c r="V519" i="1"/>
  <c r="X358" i="1"/>
  <c r="W59" i="1"/>
  <c r="X84" i="1"/>
  <c r="X340" i="1"/>
  <c r="W479" i="1"/>
  <c r="X22" i="1"/>
  <c r="X23" i="1" s="1"/>
  <c r="X105" i="1"/>
  <c r="X116" i="1" s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<sst xmlns="http://schemas.openxmlformats.org/spreadsheetml/2006/main" count="2228" uniqueCount="751">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</sst>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6" t="s">
        <v>0</v>
      </c>
      <c r="E1" s="353"/>
      <c r="F1" s="353"/>
      <c r="G1" s="12" t="s">
        <v>1</v>
      </c>
      <c r="H1" s="496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3" t="s">
        <v>7</v>
      </c>
      <c r="B5" s="390"/>
      <c r="C5" s="391"/>
      <c r="D5" s="646"/>
      <c r="E5" s="647"/>
      <c r="F5" s="418" t="s">
        <v>8</v>
      </c>
      <c r="G5" s="391"/>
      <c r="H5" s="646"/>
      <c r="I5" s="687"/>
      <c r="J5" s="687"/>
      <c r="K5" s="687"/>
      <c r="L5" s="647"/>
      <c r="N5" s="24" t="s">
        <v>9</v>
      </c>
      <c r="O5" s="404">
        <v>45383</v>
      </c>
      <c r="P5" s="405"/>
      <c r="R5" s="385" t="s">
        <v>10</v>
      </c>
      <c r="S5" s="386"/>
      <c r="T5" s="555" t="s">
        <v>11</v>
      </c>
      <c r="U5" s="405"/>
      <c r="Z5" s="51"/>
      <c r="AA5" s="51"/>
      <c r="AB5" s="51"/>
    </row>
    <row r="6" spans="1:29" s="341" customFormat="1" ht="24" customHeight="1" x14ac:dyDescent="0.2">
      <c r="A6" s="653" t="s">
        <v>12</v>
      </c>
      <c r="B6" s="390"/>
      <c r="C6" s="391"/>
      <c r="D6" s="451" t="s">
        <v>13</v>
      </c>
      <c r="E6" s="452"/>
      <c r="F6" s="452"/>
      <c r="G6" s="452"/>
      <c r="H6" s="452"/>
      <c r="I6" s="452"/>
      <c r="J6" s="452"/>
      <c r="K6" s="452"/>
      <c r="L6" s="405"/>
      <c r="N6" s="24" t="s">
        <v>14</v>
      </c>
      <c r="O6" s="624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97" t="s">
        <v>15</v>
      </c>
      <c r="S6" s="386"/>
      <c r="T6" s="561" t="s">
        <v>16</v>
      </c>
      <c r="U6" s="562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4" t="str">
        <f>IFERROR(VLOOKUP(DeliveryAddress,Table,3,0),1)</f>
        <v>5</v>
      </c>
      <c r="E7" s="525"/>
      <c r="F7" s="525"/>
      <c r="G7" s="525"/>
      <c r="H7" s="525"/>
      <c r="I7" s="525"/>
      <c r="J7" s="525"/>
      <c r="K7" s="525"/>
      <c r="L7" s="468"/>
      <c r="N7" s="24"/>
      <c r="O7" s="42"/>
      <c r="P7" s="42"/>
      <c r="R7" s="355"/>
      <c r="S7" s="386"/>
      <c r="T7" s="563"/>
      <c r="U7" s="564"/>
      <c r="Z7" s="51"/>
      <c r="AA7" s="51"/>
      <c r="AB7" s="51"/>
    </row>
    <row r="8" spans="1:29" s="341" customFormat="1" ht="25.5" customHeight="1" x14ac:dyDescent="0.2">
      <c r="A8" s="380" t="s">
        <v>17</v>
      </c>
      <c r="B8" s="366"/>
      <c r="C8" s="367"/>
      <c r="D8" s="630"/>
      <c r="E8" s="631"/>
      <c r="F8" s="631"/>
      <c r="G8" s="631"/>
      <c r="H8" s="631"/>
      <c r="I8" s="631"/>
      <c r="J8" s="631"/>
      <c r="K8" s="631"/>
      <c r="L8" s="632"/>
      <c r="N8" s="24" t="s">
        <v>18</v>
      </c>
      <c r="O8" s="462">
        <v>0.41666666666666669</v>
      </c>
      <c r="P8" s="405"/>
      <c r="R8" s="355"/>
      <c r="S8" s="386"/>
      <c r="T8" s="563"/>
      <c r="U8" s="564"/>
      <c r="Z8" s="51"/>
      <c r="AA8" s="51"/>
      <c r="AB8" s="51"/>
    </row>
    <row r="9" spans="1:29" s="341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29"/>
      <c r="E9" s="384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N9" s="26" t="s">
        <v>19</v>
      </c>
      <c r="O9" s="404"/>
      <c r="P9" s="405"/>
      <c r="R9" s="355"/>
      <c r="S9" s="386"/>
      <c r="T9" s="565"/>
      <c r="U9" s="566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29"/>
      <c r="E10" s="384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6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2"/>
      <c r="P10" s="405"/>
      <c r="S10" s="24" t="s">
        <v>21</v>
      </c>
      <c r="T10" s="693" t="s">
        <v>22</v>
      </c>
      <c r="U10" s="562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2"/>
      <c r="P11" s="405"/>
      <c r="S11" s="24" t="s">
        <v>25</v>
      </c>
      <c r="T11" s="424" t="s">
        <v>26</v>
      </c>
      <c r="U11" s="425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0" t="s">
        <v>27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1"/>
      <c r="N12" s="24" t="s">
        <v>28</v>
      </c>
      <c r="O12" s="467"/>
      <c r="P12" s="468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0" t="s">
        <v>29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1"/>
      <c r="M13" s="26"/>
      <c r="N13" s="26" t="s">
        <v>30</v>
      </c>
      <c r="O13" s="424"/>
      <c r="P13" s="425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0" t="s">
        <v>31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98" t="s">
        <v>32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1"/>
      <c r="N15" s="588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9"/>
      <c r="O16" s="589"/>
      <c r="P16" s="589"/>
      <c r="Q16" s="589"/>
      <c r="R16" s="5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6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1"/>
      <c r="P17" s="621"/>
      <c r="Q17" s="621"/>
      <c r="R17" s="362"/>
      <c r="S17" s="402" t="s">
        <v>47</v>
      </c>
      <c r="T17" s="391"/>
      <c r="U17" s="361" t="s">
        <v>48</v>
      </c>
      <c r="V17" s="361" t="s">
        <v>49</v>
      </c>
      <c r="W17" s="694" t="s">
        <v>50</v>
      </c>
      <c r="X17" s="361" t="s">
        <v>51</v>
      </c>
      <c r="Y17" s="378" t="s">
        <v>52</v>
      </c>
      <c r="Z17" s="378" t="s">
        <v>53</v>
      </c>
      <c r="AA17" s="378" t="s">
        <v>54</v>
      </c>
      <c r="AB17" s="677"/>
      <c r="AC17" s="678"/>
      <c r="AD17" s="598"/>
      <c r="BA17" s="672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2"/>
      <c r="P18" s="622"/>
      <c r="Q18" s="622"/>
      <c r="R18" s="364"/>
      <c r="S18" s="342" t="s">
        <v>56</v>
      </c>
      <c r="T18" s="342" t="s">
        <v>57</v>
      </c>
      <c r="U18" s="368"/>
      <c r="V18" s="368"/>
      <c r="W18" s="695"/>
      <c r="X18" s="368"/>
      <c r="Y18" s="379"/>
      <c r="Z18" s="379"/>
      <c r="AA18" s="679"/>
      <c r="AB18" s="680"/>
      <c r="AC18" s="681"/>
      <c r="AD18" s="599"/>
      <c r="BA18" s="355"/>
    </row>
    <row r="19" spans="1:53" ht="27.75" customHeight="1" x14ac:dyDescent="0.2">
      <c r="A19" s="411" t="s">
        <v>58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8"/>
      <c r="Z19" s="48"/>
    </row>
    <row r="20" spans="1:53" ht="16.5" customHeight="1" x14ac:dyDescent="0.25">
      <c r="A20" s="397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6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700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411" t="s">
        <v>94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8"/>
      <c r="Z46" s="48"/>
    </row>
    <row r="47" spans="1:53" ht="16.5" customHeight="1" x14ac:dyDescent="0.25">
      <c r="A47" s="397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120</v>
      </c>
      <c r="W49" s="349">
        <f>IFERROR(IF(V49="",0,CEILING((V49/$H49),1)*$H49),"")</f>
        <v>129.60000000000002</v>
      </c>
      <c r="X49" s="36">
        <f>IFERROR(IF(W49=0,"",ROUNDUP(W49/H49,0)*0.02175),"")</f>
        <v>0.26100000000000001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162</v>
      </c>
      <c r="W50" s="349">
        <f>IFERROR(IF(V50="",0,CEILING((V50/$H50),1)*$H50),"")</f>
        <v>162</v>
      </c>
      <c r="X50" s="36">
        <f>IFERROR(IF(W50=0,"",ROUNDUP(W50/H50,0)*0.00753),"")</f>
        <v>0.45180000000000003</v>
      </c>
      <c r="Y50" s="56"/>
      <c r="Z50" s="57"/>
      <c r="AD50" s="58"/>
      <c r="BA50" s="70" t="s">
        <v>1</v>
      </c>
    </row>
    <row r="51" spans="1:53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71.1111111111111</v>
      </c>
      <c r="W51" s="350">
        <f>IFERROR(W49/H49,"0")+IFERROR(W50/H50,"0")</f>
        <v>72</v>
      </c>
      <c r="X51" s="350">
        <f>IFERROR(IF(X49="",0,X49),"0")+IFERROR(IF(X50="",0,X50),"0")</f>
        <v>0.7128000000000001</v>
      </c>
      <c r="Y51" s="351"/>
      <c r="Z51" s="351"/>
    </row>
    <row r="52" spans="1:53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282</v>
      </c>
      <c r="W52" s="350">
        <f>IFERROR(SUM(W49:W50),"0")</f>
        <v>291.60000000000002</v>
      </c>
      <c r="X52" s="37"/>
      <c r="Y52" s="351"/>
      <c r="Z52" s="351"/>
    </row>
    <row r="53" spans="1:53" ht="16.5" customHeight="1" x14ac:dyDescent="0.25">
      <c r="A53" s="397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23</v>
      </c>
      <c r="W55" s="349">
        <f>IFERROR(IF(V55="",0,CEILING((V55/$H55),1)*$H55),"")</f>
        <v>32.400000000000006</v>
      </c>
      <c r="X55" s="36">
        <f>IFERROR(IF(W55=0,"",ROUNDUP(W55/H55,0)*0.02175),"")</f>
        <v>6.5250000000000002E-2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140</v>
      </c>
      <c r="W57" s="349">
        <f>IFERROR(IF(V57="",0,CEILING((V57/$H57),1)*$H57),"")</f>
        <v>144</v>
      </c>
      <c r="X57" s="36">
        <f>IFERROR(IF(W57=0,"",ROUNDUP(W57/H57,0)*0.00937),"")</f>
        <v>0.29984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4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33.24074074074074</v>
      </c>
      <c r="W59" s="350">
        <f>IFERROR(W55/H55,"0")+IFERROR(W56/H56,"0")+IFERROR(W57/H57,"0")+IFERROR(W58/H58,"0")</f>
        <v>35</v>
      </c>
      <c r="X59" s="350">
        <f>IFERROR(IF(X55="",0,X55),"0")+IFERROR(IF(X56="",0,X56),"0")+IFERROR(IF(X57="",0,X57),"0")+IFERROR(IF(X58="",0,X58),"0")</f>
        <v>0.36509000000000003</v>
      </c>
      <c r="Y59" s="351"/>
      <c r="Z59" s="351"/>
    </row>
    <row r="60" spans="1:53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163</v>
      </c>
      <c r="W60" s="350">
        <f>IFERROR(SUM(W55:W58),"0")</f>
        <v>176.4</v>
      </c>
      <c r="X60" s="37"/>
      <c r="Y60" s="351"/>
      <c r="Z60" s="351"/>
    </row>
    <row r="61" spans="1:53" ht="16.5" customHeight="1" x14ac:dyDescent="0.25">
      <c r="A61" s="397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37</v>
      </c>
      <c r="W65" s="349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35</v>
      </c>
      <c r="W70" s="349">
        <f t="shared" si="2"/>
        <v>36</v>
      </c>
      <c r="X70" s="36">
        <f>IFERROR(IF(W70=0,"",ROUNDUP(W70/H70,0)*0.00753),"")</f>
        <v>9.0359999999999996E-2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80</v>
      </c>
      <c r="W71" s="349">
        <f t="shared" si="2"/>
        <v>80</v>
      </c>
      <c r="X71" s="36">
        <f t="shared" ref="X71:X77" si="4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32</v>
      </c>
      <c r="W73" s="349">
        <f t="shared" si="2"/>
        <v>32</v>
      </c>
      <c r="X73" s="36">
        <f t="shared" si="4"/>
        <v>7.4959999999999999E-2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129</v>
      </c>
      <c r="W77" s="349">
        <f t="shared" si="2"/>
        <v>130.5</v>
      </c>
      <c r="X77" s="36">
        <f t="shared" si="4"/>
        <v>0.27172999999999997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45</v>
      </c>
      <c r="W82" s="349">
        <f t="shared" si="2"/>
        <v>45</v>
      </c>
      <c r="X82" s="36">
        <f>IFERROR(IF(W82=0,"",ROUNDUP(W82/H82,0)*0.00937),"")</f>
        <v>9.3700000000000006E-2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81.636904761904759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83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0.80514999999999992</v>
      </c>
      <c r="Y84" s="351"/>
      <c r="Z84" s="351"/>
    </row>
    <row r="85" spans="1:53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358</v>
      </c>
      <c r="W85" s="350">
        <f>IFERROR(SUM(W63:W83),"0")</f>
        <v>368.3</v>
      </c>
      <c r="X85" s="37"/>
      <c r="Y85" s="351"/>
      <c r="Z85" s="351"/>
    </row>
    <row r="86" spans="1:53" ht="14.25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16</v>
      </c>
      <c r="W89" s="349">
        <f>IFERROR(IF(V89="",0,CEILING((V89/$H89),1)*$H89),"")</f>
        <v>16.8</v>
      </c>
      <c r="X89" s="36">
        <f>IFERROR(IF(W89=0,"",ROUNDUP(W89/H89,0)*0.00502),"")</f>
        <v>3.5140000000000005E-2</v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6.666666666666667</v>
      </c>
      <c r="W91" s="350">
        <f>IFERROR(W87/H87,"0")+IFERROR(W88/H88,"0")+IFERROR(W89/H89,"0")+IFERROR(W90/H90,"0")</f>
        <v>7.0000000000000009</v>
      </c>
      <c r="X91" s="350">
        <f>IFERROR(IF(X87="",0,X87),"0")+IFERROR(IF(X88="",0,X88),"0")+IFERROR(IF(X89="",0,X89),"0")+IFERROR(IF(X90="",0,X90),"0")</f>
        <v>3.5140000000000005E-2</v>
      </c>
      <c r="Y91" s="351"/>
      <c r="Z91" s="351"/>
    </row>
    <row r="92" spans="1:53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16</v>
      </c>
      <c r="W92" s="350">
        <f>IFERROR(SUM(W87:W90),"0")</f>
        <v>16.8</v>
      </c>
      <c r="X92" s="37"/>
      <c r="Y92" s="351"/>
      <c r="Z92" s="351"/>
    </row>
    <row r="93" spans="1:53" ht="14.25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5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6</v>
      </c>
      <c r="W108" s="349">
        <f t="shared" si="6"/>
        <v>6</v>
      </c>
      <c r="X108" s="36">
        <f>IFERROR(IF(W108=0,"",ROUNDUP(W108/H108,0)*0.00753),"")</f>
        <v>1.506E-2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90</v>
      </c>
      <c r="W111" s="349">
        <f t="shared" si="6"/>
        <v>91.800000000000011</v>
      </c>
      <c r="X111" s="36">
        <f>IFERROR(IF(W111=0,"",ROUNDUP(W111/H111,0)*0.00753),"")</f>
        <v>0.25602000000000003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24</v>
      </c>
      <c r="W114" s="349">
        <f t="shared" si="6"/>
        <v>24</v>
      </c>
      <c r="X114" s="36">
        <f>IFERROR(IF(W114=0,"",ROUNDUP(W114/H114,0)*0.00753),"")</f>
        <v>6.0240000000000002E-2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43.333333333333329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44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0.33132000000000006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120</v>
      </c>
      <c r="W117" s="350">
        <f>IFERROR(SUM(W105:W115),"0")</f>
        <v>121.80000000000001</v>
      </c>
      <c r="X117" s="37"/>
      <c r="Y117" s="351"/>
      <c r="Z117" s="351"/>
    </row>
    <row r="118" spans="1:53" ht="14.25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4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7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90</v>
      </c>
      <c r="W133" s="349">
        <f>IFERROR(IF(V133="",0,CEILING((V133/$H133),1)*$H133),"")</f>
        <v>91.800000000000011</v>
      </c>
      <c r="X133" s="36">
        <f>IFERROR(IF(W133=0,"",ROUNDUP(W133/H133,0)*0.00753),"")</f>
        <v>0.25602000000000003</v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33.333333333333329</v>
      </c>
      <c r="W134" s="350">
        <f>IFERROR(W130/H130,"0")+IFERROR(W131/H131,"0")+IFERROR(W132/H132,"0")+IFERROR(W133/H133,"0")</f>
        <v>34</v>
      </c>
      <c r="X134" s="350">
        <f>IFERROR(IF(X130="",0,X130),"0")+IFERROR(IF(X131="",0,X131),"0")+IFERROR(IF(X132="",0,X132),"0")+IFERROR(IF(X133="",0,X133),"0")</f>
        <v>0.25602000000000003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90</v>
      </c>
      <c r="W135" s="350">
        <f>IFERROR(SUM(W130:W133),"0")</f>
        <v>91.800000000000011</v>
      </c>
      <c r="X135" s="37"/>
      <c r="Y135" s="351"/>
      <c r="Z135" s="351"/>
    </row>
    <row r="136" spans="1:53" ht="27.75" customHeight="1" x14ac:dyDescent="0.2">
      <c r="A136" s="411" t="s">
        <v>222</v>
      </c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8"/>
      <c r="Z136" s="48"/>
    </row>
    <row r="137" spans="1:53" ht="16.5" customHeight="1" x14ac:dyDescent="0.25">
      <c r="A137" s="397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7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19</v>
      </c>
      <c r="W149" s="349">
        <f t="shared" si="8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63</v>
      </c>
      <c r="W152" s="349">
        <f t="shared" si="8"/>
        <v>63</v>
      </c>
      <c r="X152" s="36">
        <f>IFERROR(IF(W152=0,"",ROUNDUP(W152/H152,0)*0.00502),"")</f>
        <v>0.15060000000000001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39.047619047619051</v>
      </c>
      <c r="W155" s="350">
        <f>IFERROR(W146/H146,"0")+IFERROR(W147/H147,"0")+IFERROR(W148/H148,"0")+IFERROR(W149/H149,"0")+IFERROR(W150/H150,"0")+IFERROR(W151/H151,"0")+IFERROR(W152/H152,"0")+IFERROR(W153/H153,"0")+IFERROR(W154/H154,"0")</f>
        <v>40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0.20080000000000001</v>
      </c>
      <c r="Y155" s="351"/>
      <c r="Z155" s="351"/>
    </row>
    <row r="156" spans="1:53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82</v>
      </c>
      <c r="W156" s="350">
        <f>IFERROR(SUM(W146:W154),"0")</f>
        <v>84</v>
      </c>
      <c r="X156" s="37"/>
      <c r="Y156" s="351"/>
      <c r="Z156" s="351"/>
    </row>
    <row r="157" spans="1:53" ht="16.5" customHeight="1" x14ac:dyDescent="0.25">
      <c r="A157" s="397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4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32</v>
      </c>
      <c r="W169" s="349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20</v>
      </c>
      <c r="W170" s="349">
        <f>IFERROR(IF(V170="",0,CEILING((V170/$H170),1)*$H170),"")</f>
        <v>21.6</v>
      </c>
      <c r="X170" s="36">
        <f>IFERROR(IF(W170=0,"",ROUNDUP(W170/H170,0)*0.00937),"")</f>
        <v>3.7479999999999999E-2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9.6296296296296298</v>
      </c>
      <c r="W173" s="350">
        <f>IFERROR(W169/H169,"0")+IFERROR(W170/H170,"0")+IFERROR(W171/H171,"0")+IFERROR(W172/H172,"0")</f>
        <v>10</v>
      </c>
      <c r="X173" s="350">
        <f>IFERROR(IF(X169="",0,X169),"0")+IFERROR(IF(X170="",0,X170),"0")+IFERROR(IF(X171="",0,X171),"0")+IFERROR(IF(X172="",0,X172),"0")</f>
        <v>9.3700000000000006E-2</v>
      </c>
      <c r="Y173" s="351"/>
      <c r="Z173" s="351"/>
    </row>
    <row r="174" spans="1:53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52</v>
      </c>
      <c r="W174" s="350">
        <f>IFERROR(SUM(W169:W172),"0")</f>
        <v>54.000000000000007</v>
      </c>
      <c r="X174" s="37"/>
      <c r="Y174" s="351"/>
      <c r="Z174" s="351"/>
    </row>
    <row r="175" spans="1:53" ht="14.25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56</v>
      </c>
      <c r="W182" s="349">
        <f t="shared" si="9"/>
        <v>57.599999999999994</v>
      </c>
      <c r="X182" s="36">
        <f>IFERROR(IF(W182=0,"",ROUNDUP(W182/H182,0)*0.00753),"")</f>
        <v>0.18071999999999999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82</v>
      </c>
      <c r="W184" s="349">
        <f t="shared" si="9"/>
        <v>84</v>
      </c>
      <c r="X184" s="36">
        <f>IFERROR(IF(W184=0,"",ROUNDUP(W184/H184,0)*0.00753),"")</f>
        <v>0.26355000000000001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54</v>
      </c>
      <c r="W188" s="349">
        <f t="shared" si="9"/>
        <v>55.199999999999996</v>
      </c>
      <c r="X188" s="36">
        <f t="shared" si="10"/>
        <v>0.17319000000000001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84</v>
      </c>
      <c r="W189" s="349">
        <f t="shared" si="9"/>
        <v>84</v>
      </c>
      <c r="X189" s="36">
        <f t="shared" si="10"/>
        <v>0.26355000000000001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115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117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0.88101000000000007</v>
      </c>
      <c r="Y193" s="351"/>
      <c r="Z193" s="351"/>
    </row>
    <row r="194" spans="1:53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276</v>
      </c>
      <c r="W194" s="350">
        <f>IFERROR(SUM(W176:W192),"0")</f>
        <v>280.79999999999995</v>
      </c>
      <c r="X194" s="37"/>
      <c r="Y194" s="351"/>
      <c r="Z194" s="351"/>
    </row>
    <row r="195" spans="1:53" ht="14.25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69</v>
      </c>
      <c r="W197" s="349">
        <f>IFERROR(IF(V197="",0,CEILING((V197/$H197),1)*$H197),"")</f>
        <v>70.400000000000006</v>
      </c>
      <c r="X197" s="36">
        <f>IFERROR(IF(W197=0,"",ROUNDUP(W197/H197,0)*0.00937),"")</f>
        <v>0.20613999999999999</v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10</v>
      </c>
      <c r="W198" s="349">
        <f>IFERROR(IF(V198="",0,CEILING((V198/$H198),1)*$H198),"")</f>
        <v>12</v>
      </c>
      <c r="X198" s="36">
        <f>IFERROR(IF(W198=0,"",ROUNDUP(W198/H198,0)*0.00753),"")</f>
        <v>3.7650000000000003E-2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25.729166666666668</v>
      </c>
      <c r="W200" s="350">
        <f>IFERROR(W196/H196,"0")+IFERROR(W197/H197,"0")+IFERROR(W198/H198,"0")+IFERROR(W199/H199,"0")</f>
        <v>27</v>
      </c>
      <c r="X200" s="350">
        <f>IFERROR(IF(X196="",0,X196),"0")+IFERROR(IF(X197="",0,X197),"0")+IFERROR(IF(X198="",0,X198),"0")+IFERROR(IF(X199="",0,X199),"0")</f>
        <v>0.24379000000000001</v>
      </c>
      <c r="Y200" s="351"/>
      <c r="Z200" s="351"/>
    </row>
    <row r="201" spans="1:53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79</v>
      </c>
      <c r="W201" s="350">
        <f>IFERROR(SUM(W196:W199),"0")</f>
        <v>82.4</v>
      </c>
      <c r="X201" s="37"/>
      <c r="Y201" s="351"/>
      <c r="Z201" s="351"/>
    </row>
    <row r="202" spans="1:53" ht="16.5" customHeight="1" x14ac:dyDescent="0.25">
      <c r="A202" s="397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4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499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8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1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4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40</v>
      </c>
      <c r="W209" s="349">
        <f t="shared" si="11"/>
        <v>40</v>
      </c>
      <c r="X209" s="36">
        <f>IFERROR(IF(W209=0,"",ROUNDUP(W209/H209,0)*0.00937),"")</f>
        <v>9.3700000000000006E-2</v>
      </c>
      <c r="Y209" s="56"/>
      <c r="Z209" s="57"/>
      <c r="AD209" s="58"/>
      <c r="BA209" s="176" t="s">
        <v>1</v>
      </c>
    </row>
    <row r="210" spans="1:53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10</v>
      </c>
      <c r="W210" s="350">
        <f>IFERROR(W204/H204,"0")+IFERROR(W205/H205,"0")+IFERROR(W206/H206,"0")+IFERROR(W207/H207,"0")+IFERROR(W208/H208,"0")+IFERROR(W209/H209,"0")</f>
        <v>10</v>
      </c>
      <c r="X210" s="350">
        <f>IFERROR(IF(X204="",0,X204),"0")+IFERROR(IF(X205="",0,X205),"0")+IFERROR(IF(X206="",0,X206),"0")+IFERROR(IF(X207="",0,X207),"0")+IFERROR(IF(X208="",0,X208),"0")+IFERROR(IF(X209="",0,X209),"0")</f>
        <v>9.3700000000000006E-2</v>
      </c>
      <c r="Y210" s="351"/>
      <c r="Z210" s="351"/>
    </row>
    <row r="211" spans="1:53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40</v>
      </c>
      <c r="W211" s="350">
        <f>IFERROR(SUM(W204:W209),"0")</f>
        <v>40</v>
      </c>
      <c r="X211" s="37"/>
      <c r="Y211" s="351"/>
      <c r="Z211" s="351"/>
    </row>
    <row r="212" spans="1:53" ht="14.25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38</v>
      </c>
      <c r="W213" s="349">
        <f>IFERROR(IF(V213="",0,CEILING((V213/$H213),1)*$H213),"")</f>
        <v>39.9</v>
      </c>
      <c r="X213" s="36">
        <f>IFERROR(IF(W213=0,"",ROUNDUP(W213/H213,0)*0.00502),"")</f>
        <v>9.5380000000000006E-2</v>
      </c>
      <c r="Y213" s="56"/>
      <c r="Z213" s="57"/>
      <c r="AD213" s="58"/>
      <c r="BA213" s="177" t="s">
        <v>1</v>
      </c>
    </row>
    <row r="214" spans="1:53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18.095238095238095</v>
      </c>
      <c r="W214" s="350">
        <f>IFERROR(W213/H213,"0")</f>
        <v>19</v>
      </c>
      <c r="X214" s="350">
        <f>IFERROR(IF(X213="",0,X213),"0")</f>
        <v>9.5380000000000006E-2</v>
      </c>
      <c r="Y214" s="351"/>
      <c r="Z214" s="351"/>
    </row>
    <row r="215" spans="1:53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38</v>
      </c>
      <c r="W215" s="350">
        <f>IFERROR(SUM(W213:W213),"0")</f>
        <v>39.9</v>
      </c>
      <c r="X215" s="37"/>
      <c r="Y215" s="351"/>
      <c r="Z215" s="351"/>
    </row>
    <row r="216" spans="1:53" ht="16.5" customHeight="1" x14ac:dyDescent="0.25">
      <c r="A216" s="397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3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0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6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10</v>
      </c>
      <c r="W220" s="349">
        <f t="shared" si="12"/>
        <v>11.6</v>
      </c>
      <c r="X220" s="36">
        <f>IFERROR(IF(W220=0,"",ROUNDUP(W220/H220,0)*0.02175),"")</f>
        <v>2.1749999999999999E-2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6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16</v>
      </c>
      <c r="W221" s="349">
        <f t="shared" si="12"/>
        <v>16</v>
      </c>
      <c r="X221" s="36">
        <f>IFERROR(IF(W221=0,"",ROUNDUP(W221/H221,0)*0.00937),"")</f>
        <v>3.7479999999999999E-2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0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20</v>
      </c>
      <c r="W223" s="349">
        <f t="shared" si="12"/>
        <v>20</v>
      </c>
      <c r="X223" s="36">
        <f>IFERROR(IF(W223=0,"",ROUNDUP(W223/H223,0)*0.00937),"")</f>
        <v>4.6850000000000003E-2</v>
      </c>
      <c r="Y223" s="56"/>
      <c r="Z223" s="57"/>
      <c r="AD223" s="58"/>
      <c r="BA223" s="183" t="s">
        <v>1</v>
      </c>
    </row>
    <row r="224" spans="1:53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9.862068965517242</v>
      </c>
      <c r="W224" s="350">
        <f>IFERROR(W218/H218,"0")+IFERROR(W219/H219,"0")+IFERROR(W220/H220,"0")+IFERROR(W221/H221,"0")+IFERROR(W222/H222,"0")+IFERROR(W223/H223,"0")</f>
        <v>10</v>
      </c>
      <c r="X224" s="350">
        <f>IFERROR(IF(X218="",0,X218),"0")+IFERROR(IF(X219="",0,X219),"0")+IFERROR(IF(X220="",0,X220),"0")+IFERROR(IF(X221="",0,X221),"0")+IFERROR(IF(X222="",0,X222),"0")+IFERROR(IF(X223="",0,X223),"0")</f>
        <v>0.10608000000000001</v>
      </c>
      <c r="Y224" s="351"/>
      <c r="Z224" s="351"/>
    </row>
    <row r="225" spans="1:53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46</v>
      </c>
      <c r="W225" s="350">
        <f>IFERROR(SUM(W218:W223),"0")</f>
        <v>47.6</v>
      </c>
      <c r="X225" s="37"/>
      <c r="Y225" s="351"/>
      <c r="Z225" s="351"/>
    </row>
    <row r="226" spans="1:53" ht="16.5" customHeight="1" x14ac:dyDescent="0.25">
      <c r="A226" s="397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10</v>
      </c>
      <c r="W232" s="349">
        <f t="shared" si="13"/>
        <v>10.8</v>
      </c>
      <c r="X232" s="36">
        <f>IFERROR(IF(W232=0,"",ROUNDUP(W232/H232,0)*0.02175),"")</f>
        <v>2.1749999999999999E-2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0.92592592592592582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2.1749999999999999E-2</v>
      </c>
      <c r="Y244" s="351"/>
      <c r="Z244" s="351"/>
    </row>
    <row r="245" spans="1:53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10</v>
      </c>
      <c r="W245" s="350">
        <f>IFERROR(SUM(W228:W243),"0")</f>
        <v>10.8</v>
      </c>
      <c r="X245" s="37"/>
      <c r="Y245" s="351"/>
      <c r="Z245" s="351"/>
    </row>
    <row r="246" spans="1:53" ht="14.25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42</v>
      </c>
      <c r="W253" s="349">
        <f>IFERROR(IF(V253="",0,CEILING((V253/$H253),1)*$H253),"")</f>
        <v>42</v>
      </c>
      <c r="X253" s="36">
        <f>IFERROR(IF(W253=0,"",ROUNDUP(W253/H253,0)*0.00502),"")</f>
        <v>0.1004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20</v>
      </c>
      <c r="W255" s="350">
        <f>IFERROR(W251/H251,"0")+IFERROR(W252/H252,"0")+IFERROR(W253/H253,"0")+IFERROR(W254/H254,"0")</f>
        <v>20</v>
      </c>
      <c r="X255" s="350">
        <f>IFERROR(IF(X251="",0,X251),"0")+IFERROR(IF(X252="",0,X252),"0")+IFERROR(IF(X253="",0,X253),"0")+IFERROR(IF(X254="",0,X254),"0")</f>
        <v>0.1004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42</v>
      </c>
      <c r="W256" s="350">
        <f>IFERROR(SUM(W251:W254),"0")</f>
        <v>42</v>
      </c>
      <c r="X256" s="37"/>
      <c r="Y256" s="351"/>
      <c r="Z256" s="351"/>
    </row>
    <row r="257" spans="1:53" ht="14.25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7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310</v>
      </c>
      <c r="W259" s="349">
        <f t="shared" si="15"/>
        <v>312</v>
      </c>
      <c r="X259" s="36">
        <f>IFERROR(IF(W259=0,"",ROUNDUP(W259/H259,0)*0.02175),"")</f>
        <v>0.86999999999999988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39.743589743589745</v>
      </c>
      <c r="W267" s="350">
        <f>IFERROR(W258/H258,"0")+IFERROR(W259/H259,"0")+IFERROR(W260/H260,"0")+IFERROR(W261/H261,"0")+IFERROR(W262/H262,"0")+IFERROR(W263/H263,"0")+IFERROR(W264/H264,"0")+IFERROR(W265/H265,"0")+IFERROR(W266/H266,"0")</f>
        <v>40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0.86999999999999988</v>
      </c>
      <c r="Y267" s="351"/>
      <c r="Z267" s="351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310</v>
      </c>
      <c r="W268" s="350">
        <f>IFERROR(SUM(W258:W266),"0")</f>
        <v>312</v>
      </c>
      <c r="X268" s="37"/>
      <c r="Y268" s="351"/>
      <c r="Z268" s="351"/>
    </row>
    <row r="269" spans="1:53" ht="14.25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5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57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9</v>
      </c>
      <c r="W282" s="349">
        <f>IFERROR(IF(V282="",0,CEILING((V282/$H282),1)*$H282),"")</f>
        <v>10</v>
      </c>
      <c r="X282" s="36">
        <f>IFERROR(IF(W282=0,"",ROUNDUP(W282/H282,0)*0.00474),"")</f>
        <v>2.3700000000000002E-2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4.5</v>
      </c>
      <c r="W285" s="350">
        <f>IFERROR(W282/H282,"0")+IFERROR(W283/H283,"0")+IFERROR(W284/H284,"0")</f>
        <v>5</v>
      </c>
      <c r="X285" s="350">
        <f>IFERROR(IF(X282="",0,X282),"0")+IFERROR(IF(X283="",0,X283),"0")+IFERROR(IF(X284="",0,X284),"0")</f>
        <v>2.3700000000000002E-2</v>
      </c>
      <c r="Y285" s="351"/>
      <c r="Z285" s="351"/>
    </row>
    <row r="286" spans="1:53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9</v>
      </c>
      <c r="W286" s="350">
        <f>IFERROR(SUM(W282:W284),"0")</f>
        <v>10</v>
      </c>
      <c r="X286" s="37"/>
      <c r="Y286" s="351"/>
      <c r="Z286" s="351"/>
    </row>
    <row r="287" spans="1:53" ht="16.5" customHeight="1" x14ac:dyDescent="0.25">
      <c r="A287" s="397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7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14</v>
      </c>
      <c r="W306" s="349">
        <f>IFERROR(IF(V306="",0,CEILING((V306/$H306),1)*$H306),"")</f>
        <v>14.4</v>
      </c>
      <c r="X306" s="36">
        <f>IFERROR(IF(W306=0,"",ROUNDUP(W306/H306,0)*0.00753),"")</f>
        <v>6.0240000000000002E-2</v>
      </c>
      <c r="Y306" s="56"/>
      <c r="Z306" s="57"/>
      <c r="AD306" s="58"/>
      <c r="BA306" s="233" t="s">
        <v>1</v>
      </c>
    </row>
    <row r="307" spans="1:53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7.7777777777777777</v>
      </c>
      <c r="W307" s="350">
        <f>IFERROR(W306/H306,"0")</f>
        <v>8</v>
      </c>
      <c r="X307" s="350">
        <f>IFERROR(IF(X306="",0,X306),"0")</f>
        <v>6.0240000000000002E-2</v>
      </c>
      <c r="Y307" s="351"/>
      <c r="Z307" s="351"/>
    </row>
    <row r="308" spans="1:53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14</v>
      </c>
      <c r="W308" s="350">
        <f>IFERROR(SUM(W306:W306),"0")</f>
        <v>14.4</v>
      </c>
      <c r="X308" s="37"/>
      <c r="Y308" s="351"/>
      <c r="Z308" s="351"/>
    </row>
    <row r="309" spans="1:53" ht="14.25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8</v>
      </c>
      <c r="W310" s="349">
        <f>IFERROR(IF(V310="",0,CEILING((V310/$H310),1)*$H310),"")</f>
        <v>8.1</v>
      </c>
      <c r="X310" s="36">
        <f>IFERROR(IF(W310=0,"",ROUNDUP(W310/H310,0)*0.02175),"")</f>
        <v>2.1749999999999999E-2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67</v>
      </c>
      <c r="W311" s="349">
        <f>IFERROR(IF(V311="",0,CEILING((V311/$H311),1)*$H311),"")</f>
        <v>67.2</v>
      </c>
      <c r="X311" s="36">
        <f>IFERROR(IF(W311=0,"",ROUNDUP(W311/H311,0)*0.00753),"")</f>
        <v>0.24096000000000001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0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32.892416225749557</v>
      </c>
      <c r="W313" s="350">
        <f>IFERROR(W310/H310,"0")+IFERROR(W311/H311,"0")+IFERROR(W312/H312,"0")</f>
        <v>33</v>
      </c>
      <c r="X313" s="350">
        <f>IFERROR(IF(X310="",0,X310),"0")+IFERROR(IF(X311="",0,X311),"0")+IFERROR(IF(X312="",0,X312),"0")</f>
        <v>0.26271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75</v>
      </c>
      <c r="W314" s="350">
        <f>IFERROR(SUM(W310:W312),"0")</f>
        <v>75.3</v>
      </c>
      <c r="X314" s="37"/>
      <c r="Y314" s="351"/>
      <c r="Z314" s="351"/>
    </row>
    <row r="315" spans="1:53" ht="14.25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411" t="s">
        <v>463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8"/>
      <c r="Z323" s="48"/>
    </row>
    <row r="324" spans="1:53" ht="16.5" customHeight="1" x14ac:dyDescent="0.25">
      <c r="A324" s="397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551</v>
      </c>
      <c r="W327" s="349">
        <f t="shared" si="17"/>
        <v>555</v>
      </c>
      <c r="X327" s="36">
        <f>IFERROR(IF(W327=0,"",ROUNDUP(W327/H327,0)*0.02175),"")</f>
        <v>0.80474999999999997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60</v>
      </c>
      <c r="W328" s="349">
        <f t="shared" si="17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146</v>
      </c>
      <c r="W330" s="349">
        <f t="shared" si="17"/>
        <v>150</v>
      </c>
      <c r="X330" s="36">
        <f>IFERROR(IF(W330=0,"",ROUNDUP(W330/H330,0)*0.02175),"")</f>
        <v>0.21749999999999997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5</v>
      </c>
      <c r="W333" s="349">
        <f t="shared" si="17"/>
        <v>5</v>
      </c>
      <c r="X333" s="36">
        <f>IFERROR(IF(W333=0,"",ROUNDUP(W333/H333,0)*0.00937),"")</f>
        <v>9.3699999999999999E-3</v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51.466666666666669</v>
      </c>
      <c r="W334" s="350">
        <f>IFERROR(W326/H326,"0")+IFERROR(W327/H327,"0")+IFERROR(W328/H328,"0")+IFERROR(W329/H329,"0")+IFERROR(W330/H330,"0")+IFERROR(W331/H331,"0")+IFERROR(W332/H332,"0")+IFERROR(W333/H333,"0")</f>
        <v>52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1.1186199999999999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762</v>
      </c>
      <c r="W335" s="350">
        <f>IFERROR(SUM(W326:W333),"0")</f>
        <v>770</v>
      </c>
      <c r="X335" s="37"/>
      <c r="Y335" s="351"/>
      <c r="Z335" s="351"/>
    </row>
    <row r="336" spans="1:53" ht="14.25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461</v>
      </c>
      <c r="W337" s="349">
        <f>IFERROR(IF(V337="",0,CEILING((V337/$H337),1)*$H337),"")</f>
        <v>465</v>
      </c>
      <c r="X337" s="36">
        <f>IFERROR(IF(W337=0,"",ROUNDUP(W337/H337,0)*0.02175),"")</f>
        <v>0.6742499999999999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32.733333333333334</v>
      </c>
      <c r="W340" s="350">
        <f>IFERROR(W337/H337,"0")+IFERROR(W338/H338,"0")+IFERROR(W339/H339,"0")</f>
        <v>33</v>
      </c>
      <c r="X340" s="350">
        <f>IFERROR(IF(X337="",0,X337),"0")+IFERROR(IF(X338="",0,X338),"0")+IFERROR(IF(X339="",0,X339),"0")</f>
        <v>0.69298999999999988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469</v>
      </c>
      <c r="W341" s="350">
        <f>IFERROR(SUM(W337:W339),"0")</f>
        <v>473</v>
      </c>
      <c r="X341" s="37"/>
      <c r="Y341" s="351"/>
      <c r="Z341" s="351"/>
    </row>
    <row r="342" spans="1:53" ht="14.25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1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7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8</v>
      </c>
      <c r="W366" s="349">
        <f>IFERROR(IF(V366="",0,CEILING((V366/$H366),1)*$H366),"")</f>
        <v>15.6</v>
      </c>
      <c r="X366" s="36">
        <f>IFERROR(IF(W366=0,"",ROUNDUP(W366/H366,0)*0.02175),"")</f>
        <v>4.3499999999999997E-2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1.0256410256410258</v>
      </c>
      <c r="W370" s="350">
        <f>IFERROR(W366/H366,"0")+IFERROR(W367/H367,"0")+IFERROR(W368/H368,"0")+IFERROR(W369/H369,"0")</f>
        <v>2</v>
      </c>
      <c r="X370" s="350">
        <f>IFERROR(IF(X366="",0,X366),"0")+IFERROR(IF(X367="",0,X367),"0")+IFERROR(IF(X368="",0,X368),"0")+IFERROR(IF(X369="",0,X369),"0")</f>
        <v>4.3499999999999997E-2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8</v>
      </c>
      <c r="W371" s="350">
        <f>IFERROR(SUM(W366:W369),"0")</f>
        <v>15.6</v>
      </c>
      <c r="X371" s="37"/>
      <c r="Y371" s="351"/>
      <c r="Z371" s="351"/>
    </row>
    <row r="372" spans="1:53" ht="14.25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411" t="s">
        <v>516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8"/>
      <c r="Z376" s="48"/>
    </row>
    <row r="377" spans="1:53" ht="16.5" customHeight="1" x14ac:dyDescent="0.25">
      <c r="A377" s="397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32</v>
      </c>
      <c r="W389" s="349">
        <f t="shared" si="18"/>
        <v>33.6</v>
      </c>
      <c r="X389" s="36">
        <f t="shared" si="19"/>
        <v>8.0320000000000003E-2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6</v>
      </c>
      <c r="W391" s="349">
        <f t="shared" si="18"/>
        <v>6.3000000000000007</v>
      </c>
      <c r="X391" s="36">
        <f t="shared" si="19"/>
        <v>1.506E-2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32</v>
      </c>
      <c r="W395" s="349">
        <f t="shared" si="18"/>
        <v>33.6</v>
      </c>
      <c r="X395" s="36">
        <f t="shared" si="19"/>
        <v>8.0320000000000003E-2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33.333333333333329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35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0.17570000000000002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70</v>
      </c>
      <c r="W398" s="350">
        <f>IFERROR(SUM(W384:W396),"0")</f>
        <v>73.5</v>
      </c>
      <c r="X398" s="37"/>
      <c r="Y398" s="351"/>
      <c r="Z398" s="351"/>
    </row>
    <row r="399" spans="1:53" ht="14.25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7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411" t="s">
        <v>594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8"/>
      <c r="Z445" s="48"/>
    </row>
    <row r="446" spans="1:53" ht="16.5" customHeight="1" x14ac:dyDescent="0.25">
      <c r="A446" s="397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3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8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6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9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1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8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96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4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37</v>
      </c>
      <c r="W455" s="349">
        <f t="shared" si="21"/>
        <v>39.6</v>
      </c>
      <c r="X455" s="36">
        <f>IFERROR(IF(W455=0,"",ROUNDUP(W455/H455,0)*0.00937),"")</f>
        <v>0.10306999999999999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8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45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10.277777777777777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11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0.10306999999999999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37</v>
      </c>
      <c r="W460" s="350">
        <f>IFERROR(SUM(W448:W458),"0")</f>
        <v>39.6</v>
      </c>
      <c r="X460" s="37"/>
      <c r="Y460" s="351"/>
      <c r="Z460" s="351"/>
    </row>
    <row r="461" spans="1:53" ht="14.25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35</v>
      </c>
      <c r="W472" s="349">
        <f t="shared" si="23"/>
        <v>36</v>
      </c>
      <c r="X472" s="36">
        <f>IFERROR(IF(W472=0,"",ROUNDUP(W472/H472,0)*0.00937),"")</f>
        <v>9.3700000000000006E-2</v>
      </c>
      <c r="Y472" s="56"/>
      <c r="Z472" s="57"/>
      <c r="AD472" s="58"/>
      <c r="BA472" s="319" t="s">
        <v>1</v>
      </c>
    </row>
    <row r="473" spans="1:53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9.7222222222222214</v>
      </c>
      <c r="W473" s="350">
        <f>IFERROR(W467/H467,"0")+IFERROR(W468/H468,"0")+IFERROR(W469/H469,"0")+IFERROR(W470/H470,"0")+IFERROR(W471/H471,"0")+IFERROR(W472/H472,"0")</f>
        <v>10</v>
      </c>
      <c r="X473" s="350">
        <f>IFERROR(IF(X467="",0,X467),"0")+IFERROR(IF(X468="",0,X468),"0")+IFERROR(IF(X469="",0,X469),"0")+IFERROR(IF(X470="",0,X470),"0")+IFERROR(IF(X471="",0,X471),"0")+IFERROR(IF(X472="",0,X472),"0")</f>
        <v>9.3700000000000006E-2</v>
      </c>
      <c r="Y473" s="351"/>
      <c r="Z473" s="351"/>
    </row>
    <row r="474" spans="1:53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35</v>
      </c>
      <c r="W474" s="350">
        <f>IFERROR(SUM(W467:W472),"0")</f>
        <v>36</v>
      </c>
      <c r="X474" s="37"/>
      <c r="Y474" s="351"/>
      <c r="Z474" s="351"/>
    </row>
    <row r="475" spans="1:53" ht="14.25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2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411" t="s">
        <v>652</v>
      </c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2"/>
      <c r="O485" s="412"/>
      <c r="P485" s="412"/>
      <c r="Q485" s="412"/>
      <c r="R485" s="412"/>
      <c r="S485" s="412"/>
      <c r="T485" s="412"/>
      <c r="U485" s="412"/>
      <c r="V485" s="412"/>
      <c r="W485" s="412"/>
      <c r="X485" s="412"/>
      <c r="Y485" s="48"/>
      <c r="Z485" s="48"/>
    </row>
    <row r="486" spans="1:53" ht="16.5" customHeight="1" x14ac:dyDescent="0.25">
      <c r="A486" s="397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2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7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3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6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7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2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4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2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4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08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50</v>
      </c>
      <c r="W503" s="349">
        <f>IFERROR(IF(V503="",0,CEILING((V503/$H503),1)*$H503),"")</f>
        <v>50.400000000000006</v>
      </c>
      <c r="X503" s="36">
        <f>IFERROR(IF(W503=0,"",ROUNDUP(W503/H503,0)*0.00753),"")</f>
        <v>9.0359999999999996E-2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3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0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11.904761904761905</v>
      </c>
      <c r="W506" s="350">
        <f>IFERROR(W502/H502,"0")+IFERROR(W503/H503,"0")+IFERROR(W504/H504,"0")+IFERROR(W505/H505,"0")</f>
        <v>12</v>
      </c>
      <c r="X506" s="350">
        <f>IFERROR(IF(X502="",0,X502),"0")+IFERROR(IF(X503="",0,X503),"0")+IFERROR(IF(X504="",0,X504),"0")+IFERROR(IF(X505="",0,X505),"0")</f>
        <v>9.0359999999999996E-2</v>
      </c>
      <c r="Y506" s="351"/>
      <c r="Z506" s="351"/>
    </row>
    <row r="507" spans="1:53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50</v>
      </c>
      <c r="W507" s="350">
        <f>IFERROR(SUM(W502:W505),"0")</f>
        <v>50.400000000000006</v>
      </c>
      <c r="X507" s="37"/>
      <c r="Y507" s="351"/>
      <c r="Z507" s="351"/>
    </row>
    <row r="508" spans="1:53" ht="14.25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4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4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48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3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708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86"/>
      <c r="N516" s="389" t="s">
        <v>704</v>
      </c>
      <c r="O516" s="390"/>
      <c r="P516" s="390"/>
      <c r="Q516" s="390"/>
      <c r="R516" s="390"/>
      <c r="S516" s="390"/>
      <c r="T516" s="39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3533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3618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86"/>
      <c r="N517" s="389" t="s">
        <v>705</v>
      </c>
      <c r="O517" s="390"/>
      <c r="P517" s="390"/>
      <c r="Q517" s="390"/>
      <c r="R517" s="390"/>
      <c r="S517" s="390"/>
      <c r="T517" s="39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3737.7307127717427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3827.634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86"/>
      <c r="N518" s="389" t="s">
        <v>706</v>
      </c>
      <c r="O518" s="390"/>
      <c r="P518" s="390"/>
      <c r="Q518" s="390"/>
      <c r="R518" s="390"/>
      <c r="S518" s="390"/>
      <c r="T518" s="39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7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86"/>
      <c r="N519" s="389" t="s">
        <v>708</v>
      </c>
      <c r="O519" s="390"/>
      <c r="P519" s="390"/>
      <c r="Q519" s="390"/>
      <c r="R519" s="390"/>
      <c r="S519" s="390"/>
      <c r="T519" s="391"/>
      <c r="U519" s="37" t="s">
        <v>64</v>
      </c>
      <c r="V519" s="350">
        <f>GrossWeightTotal+PalletQtyTotal*25</f>
        <v>3912.7307127717427</v>
      </c>
      <c r="W519" s="350">
        <f>GrossWeightTotalR+PalletQtyTotalR*25</f>
        <v>4002.634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86"/>
      <c r="N520" s="389" t="s">
        <v>709</v>
      </c>
      <c r="O520" s="390"/>
      <c r="P520" s="390"/>
      <c r="Q520" s="390"/>
      <c r="R520" s="390"/>
      <c r="S520" s="390"/>
      <c r="T520" s="39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752.98925828853999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770</v>
      </c>
      <c r="X520" s="37"/>
      <c r="Y520" s="351"/>
      <c r="Z520" s="351"/>
    </row>
    <row r="521" spans="1:53" ht="14.25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86"/>
      <c r="N521" s="389" t="s">
        <v>710</v>
      </c>
      <c r="O521" s="390"/>
      <c r="P521" s="390"/>
      <c r="Q521" s="390"/>
      <c r="R521" s="390"/>
      <c r="S521" s="390"/>
      <c r="T521" s="39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7.8767199999999988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1" t="s">
        <v>94</v>
      </c>
      <c r="D523" s="535"/>
      <c r="E523" s="535"/>
      <c r="F523" s="421"/>
      <c r="G523" s="371" t="s">
        <v>222</v>
      </c>
      <c r="H523" s="535"/>
      <c r="I523" s="535"/>
      <c r="J523" s="535"/>
      <c r="K523" s="535"/>
      <c r="L523" s="535"/>
      <c r="M523" s="535"/>
      <c r="N523" s="535"/>
      <c r="O523" s="421"/>
      <c r="P523" s="371" t="s">
        <v>463</v>
      </c>
      <c r="Q523" s="421"/>
      <c r="R523" s="371" t="s">
        <v>516</v>
      </c>
      <c r="S523" s="421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8" t="s">
        <v>713</v>
      </c>
      <c r="B524" s="371" t="s">
        <v>58</v>
      </c>
      <c r="C524" s="371" t="s">
        <v>95</v>
      </c>
      <c r="D524" s="371" t="s">
        <v>103</v>
      </c>
      <c r="E524" s="371" t="s">
        <v>94</v>
      </c>
      <c r="F524" s="371" t="s">
        <v>214</v>
      </c>
      <c r="G524" s="371" t="s">
        <v>223</v>
      </c>
      <c r="H524" s="371" t="s">
        <v>230</v>
      </c>
      <c r="I524" s="371" t="s">
        <v>249</v>
      </c>
      <c r="J524" s="371" t="s">
        <v>308</v>
      </c>
      <c r="K524" s="346"/>
      <c r="L524" s="371" t="s">
        <v>329</v>
      </c>
      <c r="M524" s="371" t="s">
        <v>348</v>
      </c>
      <c r="N524" s="371" t="s">
        <v>432</v>
      </c>
      <c r="O524" s="371" t="s">
        <v>450</v>
      </c>
      <c r="P524" s="371" t="s">
        <v>464</v>
      </c>
      <c r="Q524" s="371" t="s">
        <v>491</v>
      </c>
      <c r="R524" s="371" t="s">
        <v>517</v>
      </c>
      <c r="S524" s="371" t="s">
        <v>566</v>
      </c>
      <c r="T524" s="371" t="s">
        <v>594</v>
      </c>
      <c r="U524" s="371" t="s">
        <v>653</v>
      </c>
      <c r="Z524" s="52"/>
      <c r="AC524" s="346"/>
    </row>
    <row r="525" spans="1:53" ht="13.5" customHeight="1" thickBot="1" x14ac:dyDescent="0.25">
      <c r="A525" s="629"/>
      <c r="B525" s="372"/>
      <c r="C525" s="372"/>
      <c r="D525" s="372"/>
      <c r="E525" s="372"/>
      <c r="F525" s="372"/>
      <c r="G525" s="372"/>
      <c r="H525" s="372"/>
      <c r="I525" s="372"/>
      <c r="J525" s="372"/>
      <c r="K525" s="346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291.60000000000002</v>
      </c>
      <c r="D526" s="46">
        <f>IFERROR(W55*1,"0")+IFERROR(W56*1,"0")+IFERROR(W57*1,"0")+IFERROR(W58*1,"0")</f>
        <v>176.4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506.90000000000003</v>
      </c>
      <c r="F526" s="46">
        <f>IFERROR(W130*1,"0")+IFERROR(W131*1,"0")+IFERROR(W132*1,"0")+IFERROR(W133*1,"0")</f>
        <v>91.800000000000011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84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417.19999999999993</v>
      </c>
      <c r="J526" s="46">
        <f>IFERROR(W204*1,"0")+IFERROR(W205*1,"0")+IFERROR(W206*1,"0")+IFERROR(W207*1,"0")+IFERROR(W208*1,"0")+IFERROR(W209*1,"0")+IFERROR(W213*1,"0")</f>
        <v>79.900000000000006</v>
      </c>
      <c r="K526" s="346"/>
      <c r="L526" s="46">
        <f>IFERROR(W218*1,"0")+IFERROR(W219*1,"0")+IFERROR(W220*1,"0")+IFERROR(W221*1,"0")+IFERROR(W222*1,"0")+IFERROR(W223*1,"0")</f>
        <v>47.6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374.8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89.7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1243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15.6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73.5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75.599999999999994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50.400000000000006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