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заказа'!$U$420:$U$420</definedName>
    <definedName name="GrossWeightTotalR">'Бланк заказа'!$V$420:$V$420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заказа'!$U$421:$U$421</definedName>
    <definedName name="PalletQtyTotalR">'Бланк заказа'!$V$421:$V$421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заказа'!$B$180:$B$180</definedName>
    <definedName name="ProductId101">'Бланк заказа'!$B$181:$B$181</definedName>
    <definedName name="ProductId102">'Бланк заказа'!$B$182:$B$182</definedName>
    <definedName name="ProductId103">'Бланк заказа'!$B$183:$B$183</definedName>
    <definedName name="ProductId104">'Бланк заказа'!$B$184:$B$184</definedName>
    <definedName name="ProductId105">'Бланк заказа'!$B$185:$B$185</definedName>
    <definedName name="ProductId106">'Бланк заказа'!$B$186:$B$186</definedName>
    <definedName name="ProductId107">'Бланк заказа'!$B$187:$B$187</definedName>
    <definedName name="ProductId108">'Бланк заказа'!$B$188:$B$188</definedName>
    <definedName name="ProductId109">'Бланк заказа'!$B$189:$B$189</definedName>
    <definedName name="ProductId11">'Бланк заказа'!$B$44:$B$44</definedName>
    <definedName name="ProductId110">'Бланк заказа'!$B$190:$B$190</definedName>
    <definedName name="ProductId111">'Бланк заказа'!$B$191:$B$191</definedName>
    <definedName name="ProductId112">'Бланк заказа'!$B$192:$B$192</definedName>
    <definedName name="ProductId113">'Бланк заказа'!$B$193:$B$193</definedName>
    <definedName name="ProductId114">'Бланк заказа'!$B$194:$B$194</definedName>
    <definedName name="ProductId115">'Бланк заказа'!$B$195:$B$195</definedName>
    <definedName name="ProductId116">'Бланк заказа'!$B$196:$B$196</definedName>
    <definedName name="ProductId117">'Бланк заказа'!$B$197:$B$197</definedName>
    <definedName name="ProductId118">'Бланк заказа'!$B$198:$B$198</definedName>
    <definedName name="ProductId119">'Бланк заказа'!$B$199:$B$199</definedName>
    <definedName name="ProductId12">'Бланк заказа'!$B$50:$B$50</definedName>
    <definedName name="ProductId120">'Бланк заказа'!$B$200:$B$200</definedName>
    <definedName name="ProductId121">'Бланк заказа'!$B$204:$B$204</definedName>
    <definedName name="ProductId122">'Бланк заказа'!$B$205:$B$205</definedName>
    <definedName name="ProductId123">'Бланк заказа'!$B$206:$B$206</definedName>
    <definedName name="ProductId124">'Бланк заказа'!$B$207:$B$207</definedName>
    <definedName name="ProductId125">'Бланк заказа'!$B$208:$B$208</definedName>
    <definedName name="ProductId126">'Бланк заказа'!$B$209:$B$209</definedName>
    <definedName name="ProductId127">'Бланк заказа'!$B$213:$B$213</definedName>
    <definedName name="ProductId128">'Бланк заказа'!$B$214:$B$214</definedName>
    <definedName name="ProductId129">'Бланк заказа'!$B$215:$B$215</definedName>
    <definedName name="ProductId13">'Бланк заказа'!$B$51:$B$51</definedName>
    <definedName name="ProductId130">'Бланк заказа'!$B$219:$B$219</definedName>
    <definedName name="ProductId131">'Бланк заказа'!$B$220:$B$220</definedName>
    <definedName name="ProductId132">'Бланк заказа'!$B$221:$B$221</definedName>
    <definedName name="ProductId133">'Бланк заказа'!$B$222:$B$222</definedName>
    <definedName name="ProductId134">'Бланк заказа'!$B$227:$B$227</definedName>
    <definedName name="ProductId135">'Бланк заказа'!$B$228:$B$228</definedName>
    <definedName name="ProductId136">'Бланк заказа'!$B$229:$B$229</definedName>
    <definedName name="ProductId137">'Бланк заказа'!$B$230:$B$230</definedName>
    <definedName name="ProductId138">'Бланк заказа'!$B$231:$B$231</definedName>
    <definedName name="ProductId139">'Бланк заказа'!$B$232:$B$232</definedName>
    <definedName name="ProductId14">'Бланк заказа'!$B$56:$B$56</definedName>
    <definedName name="ProductId140">'Бланк заказа'!$B$233:$B$233</definedName>
    <definedName name="ProductId141">'Бланк заказа'!$B$237:$B$237</definedName>
    <definedName name="ProductId142">'Бланк заказа'!$B$238:$B$238</definedName>
    <definedName name="ProductId143">'Бланк заказа'!$B$243:$B$243</definedName>
    <definedName name="ProductId144">'Бланк заказа'!$B$244:$B$244</definedName>
    <definedName name="ProductId145">'Бланк заказа'!$B$248:$B$248</definedName>
    <definedName name="ProductId146">'Бланк заказа'!$B$249:$B$249</definedName>
    <definedName name="ProductId147">'Бланк заказа'!$B$250:$B$250</definedName>
    <definedName name="ProductId148">'Бланк заказа'!$B$254:$B$254</definedName>
    <definedName name="ProductId149">'Бланк заказа'!$B$258:$B$258</definedName>
    <definedName name="ProductId15">'Бланк заказа'!$B$57:$B$57</definedName>
    <definedName name="ProductId150">'Бланк заказа'!$B$262:$B$262</definedName>
    <definedName name="ProductId151">'Бланк заказа'!$B$268:$B$268</definedName>
    <definedName name="ProductId152">'Бланк заказа'!$B$269:$B$269</definedName>
    <definedName name="ProductId153">'Бланк заказа'!$B$270:$B$270</definedName>
    <definedName name="ProductId154">'Бланк заказа'!$B$271:$B$271</definedName>
    <definedName name="ProductId155">'Бланк заказа'!$B$272:$B$272</definedName>
    <definedName name="ProductId156">'Бланк заказа'!$B$273:$B$273</definedName>
    <definedName name="ProductId157">'Бланк заказа'!$B$274:$B$274</definedName>
    <definedName name="ProductId158">'Бланк заказа'!$B$275:$B$275</definedName>
    <definedName name="ProductId159">'Бланк заказа'!$B$279:$B$279</definedName>
    <definedName name="ProductId16">'Бланк заказа'!$B$58:$B$58</definedName>
    <definedName name="ProductId160">'Бланк заказа'!$B$280:$B$280</definedName>
    <definedName name="ProductId161">'Бланк заказа'!$B$284:$B$284</definedName>
    <definedName name="ProductId162">'Бланк заказа'!$B$285:$B$285</definedName>
    <definedName name="ProductId163">'Бланк заказа'!$B$289:$B$289</definedName>
    <definedName name="ProductId164">'Бланк заказа'!$B$293:$B$293</definedName>
    <definedName name="ProductId165">'Бланк заказа'!$B$298:$B$298</definedName>
    <definedName name="ProductId166">'Бланк заказа'!$B$299:$B$299</definedName>
    <definedName name="ProductId167">'Бланк заказа'!$B$300:$B$300</definedName>
    <definedName name="ProductId168">'Бланк заказа'!$B$301:$B$301</definedName>
    <definedName name="ProductId169">'Бланк заказа'!$B$305:$B$305</definedName>
    <definedName name="ProductId17">'Бланк заказа'!$B$63:$B$63</definedName>
    <definedName name="ProductId170">'Бланк заказа'!$B$306:$B$306</definedName>
    <definedName name="ProductId171">'Бланк заказа'!$B$310:$B$310</definedName>
    <definedName name="ProductId172">'Бланк заказа'!$B$311:$B$311</definedName>
    <definedName name="ProductId173">'Бланк заказа'!$B$312:$B$312</definedName>
    <definedName name="ProductId174">'Бланк заказа'!$B$313:$B$313</definedName>
    <definedName name="ProductId175">'Бланк заказа'!$B$317:$B$317</definedName>
    <definedName name="ProductId176">'Бланк заказа'!$B$323:$B$323</definedName>
    <definedName name="ProductId177">'Бланк заказа'!$B$324:$B$324</definedName>
    <definedName name="ProductId178">'Бланк заказа'!$B$328:$B$328</definedName>
    <definedName name="ProductId179">'Бланк заказа'!$B$329:$B$329</definedName>
    <definedName name="ProductId18">'Бланк заказа'!$B$64:$B$64</definedName>
    <definedName name="ProductId180">'Бланк заказа'!$B$330:$B$330</definedName>
    <definedName name="ProductId181">'Бланк заказа'!$B$331:$B$331</definedName>
    <definedName name="ProductId182">'Бланк заказа'!$B$332:$B$332</definedName>
    <definedName name="ProductId183">'Бланк заказа'!$B$333:$B$333</definedName>
    <definedName name="ProductId184">'Бланк заказа'!$B$334:$B$334</definedName>
    <definedName name="ProductId185">'Бланк заказа'!$B$338:$B$338</definedName>
    <definedName name="ProductId186">'Бланк заказа'!$B$339:$B$339</definedName>
    <definedName name="ProductId187">'Бланк заказа'!$B$340:$B$340</definedName>
    <definedName name="ProductId188">'Бланк заказа'!$B$341:$B$341</definedName>
    <definedName name="ProductId189">'Бланк заказа'!$B$345:$B$345</definedName>
    <definedName name="ProductId19">'Бланк заказа'!$B$65:$B$65</definedName>
    <definedName name="ProductId190">'Бланк заказа'!$B$350:$B$350</definedName>
    <definedName name="ProductId191">'Бланк заказа'!$B$351:$B$351</definedName>
    <definedName name="ProductId192">'Бланк заказа'!$B$355:$B$355</definedName>
    <definedName name="ProductId193">'Бланк заказа'!$B$356:$B$356</definedName>
    <definedName name="ProductId194">'Бланк заказа'!$B$357:$B$357</definedName>
    <definedName name="ProductId195">'Бланк заказа'!$B$358:$B$358</definedName>
    <definedName name="ProductId196">'Бланк заказа'!$B$359:$B$359</definedName>
    <definedName name="ProductId197">'Бланк заказа'!$B$365:$B$365</definedName>
    <definedName name="ProductId198">'Бланк заказа'!$B$366:$B$366</definedName>
    <definedName name="ProductId199">'Бланк заказа'!$B$367:$B$367</definedName>
    <definedName name="ProductId2">'Бланк заказа'!$B$26:$B$26</definedName>
    <definedName name="ProductId20">'Бланк заказа'!$B$66:$B$66</definedName>
    <definedName name="ProductId200">'Бланк заказа'!$B$368:$B$368</definedName>
    <definedName name="ProductId201">'Бланк заказа'!$B$369:$B$369</definedName>
    <definedName name="ProductId202">'Бланк заказа'!$B$370:$B$370</definedName>
    <definedName name="ProductId203">'Бланк заказа'!$B$371:$B$371</definedName>
    <definedName name="ProductId204">'Бланк заказа'!$B$372:$B$372</definedName>
    <definedName name="ProductId205">'Бланк заказа'!$B$373:$B$373</definedName>
    <definedName name="ProductId206">'Бланк заказа'!$B$374:$B$374</definedName>
    <definedName name="ProductId207">'Бланк заказа'!$B$378:$B$378</definedName>
    <definedName name="ProductId208">'Бланк заказа'!$B$379:$B$379</definedName>
    <definedName name="ProductId209">'Бланк заказа'!$B$383:$B$383</definedName>
    <definedName name="ProductId21">'Бланк заказа'!$B$67:$B$67</definedName>
    <definedName name="ProductId210">'Бланк заказа'!$B$384:$B$384</definedName>
    <definedName name="ProductId211">'Бланк заказа'!$B$385:$B$385</definedName>
    <definedName name="ProductId212">'Бланк заказа'!$B$386:$B$386</definedName>
    <definedName name="ProductId213">'Бланк заказа'!$B$387:$B$387</definedName>
    <definedName name="ProductId214">'Бланк заказа'!$B$388:$B$388</definedName>
    <definedName name="ProductId215">'Бланк заказа'!$B$392:$B$392</definedName>
    <definedName name="ProductId216">'Бланк заказа'!$B$393:$B$393</definedName>
    <definedName name="ProductId217">'Бланк заказа'!$B$399:$B$399</definedName>
    <definedName name="ProductId218">'Бланк заказа'!$B$400:$B$400</definedName>
    <definedName name="ProductId219">'Бланк заказа'!$B$404:$B$404</definedName>
    <definedName name="ProductId22">'Бланк заказа'!$B$68:$B$68</definedName>
    <definedName name="ProductId220">'Бланк заказа'!$B$405:$B$405</definedName>
    <definedName name="ProductId221">'Бланк заказа'!$B$409:$B$409</definedName>
    <definedName name="ProductId222">'Бланк заказа'!$B$410:$B$410</definedName>
    <definedName name="ProductId223">'Бланк заказа'!$B$414:$B$414</definedName>
    <definedName name="ProductId224">'Бланк заказа'!$B$415:$B$415</definedName>
    <definedName name="ProductId225">'Бланк заказа'!$B$416:$B$416</definedName>
    <definedName name="ProductId23">'Бланк заказа'!$B$69:$B$69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заказа'!$B$113:$B$113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заказа'!$B$121:$B$121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заказа'!$B$130:$B$130</definedName>
    <definedName name="ProductId64">'Бланк заказа'!$B$131:$B$131</definedName>
    <definedName name="ProductId65">'Бланк заказа'!$B$132:$B$132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заказа'!$B$156:$B$156</definedName>
    <definedName name="ProductId83">'Бланк заказа'!$B$157:$B$157</definedName>
    <definedName name="ProductId84">'Бланк заказа'!$B$161:$B$161</definedName>
    <definedName name="ProductId85">'Бланк заказа'!$B$162:$B$162</definedName>
    <definedName name="ProductId86">'Бланк заказа'!$B$163:$B$163</definedName>
    <definedName name="ProductId87">'Бланк заказа'!$B$164:$B$164</definedName>
    <definedName name="ProductId88">'Бланк заказа'!$B$165:$B$165</definedName>
    <definedName name="ProductId89">'Бланк заказа'!$B$166:$B$166</definedName>
    <definedName name="ProductId9">'Бланк заказа'!$B$36:$B$36</definedName>
    <definedName name="ProductId90">'Бланк заказа'!$B$167:$B$167</definedName>
    <definedName name="ProductId91">'Бланк заказа'!$B$168:$B$168</definedName>
    <definedName name="ProductId92">'Бланк заказа'!$B$169:$B$169</definedName>
    <definedName name="ProductId93">'Бланк заказа'!$B$170:$B$170</definedName>
    <definedName name="ProductId94">'Бланк заказа'!$B$171:$B$171</definedName>
    <definedName name="ProductId95">'Бланк заказа'!$B$172:$B$172</definedName>
    <definedName name="ProductId96">'Бланк заказа'!$B$173:$B$173</definedName>
    <definedName name="ProductId97">'Бланк заказа'!$B$174:$B$174</definedName>
    <definedName name="ProductId98">'Бланк заказа'!$B$175:$B$175</definedName>
    <definedName name="ProductId99">'Бланк заказа'!$B$176:$B$176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заказа'!$U$180:$U$180</definedName>
    <definedName name="SalesQty101">'Бланк заказа'!$U$181:$U$181</definedName>
    <definedName name="SalesQty102">'Бланк заказа'!$U$182:$U$182</definedName>
    <definedName name="SalesQty103">'Бланк заказа'!$U$183:$U$183</definedName>
    <definedName name="SalesQty104">'Бланк заказа'!$U$184:$U$184</definedName>
    <definedName name="SalesQty105">'Бланк заказа'!$U$185:$U$185</definedName>
    <definedName name="SalesQty106">'Бланк заказа'!$U$186:$U$186</definedName>
    <definedName name="SalesQty107">'Бланк заказа'!$U$187:$U$187</definedName>
    <definedName name="SalesQty108">'Бланк заказа'!$U$188:$U$188</definedName>
    <definedName name="SalesQty109">'Бланк заказа'!$U$189:$U$189</definedName>
    <definedName name="SalesQty11">'Бланк заказа'!$U$44:$U$44</definedName>
    <definedName name="SalesQty110">'Бланк заказа'!$U$190:$U$190</definedName>
    <definedName name="SalesQty111">'Бланк заказа'!$U$191:$U$191</definedName>
    <definedName name="SalesQty112">'Бланк заказа'!$U$192:$U$192</definedName>
    <definedName name="SalesQty113">'Бланк заказа'!$U$193:$U$193</definedName>
    <definedName name="SalesQty114">'Бланк заказа'!$U$194:$U$194</definedName>
    <definedName name="SalesQty115">'Бланк заказа'!$U$195:$U$195</definedName>
    <definedName name="SalesQty116">'Бланк заказа'!$U$196:$U$196</definedName>
    <definedName name="SalesQty117">'Бланк заказа'!$U$197:$U$197</definedName>
    <definedName name="SalesQty118">'Бланк заказа'!$U$198:$U$198</definedName>
    <definedName name="SalesQty119">'Бланк заказа'!$U$199:$U$199</definedName>
    <definedName name="SalesQty12">'Бланк заказа'!$U$50:$U$50</definedName>
    <definedName name="SalesQty120">'Бланк заказа'!$U$200:$U$200</definedName>
    <definedName name="SalesQty121">'Бланк заказа'!$U$204:$U$204</definedName>
    <definedName name="SalesQty122">'Бланк заказа'!$U$205:$U$205</definedName>
    <definedName name="SalesQty123">'Бланк заказа'!$U$206:$U$206</definedName>
    <definedName name="SalesQty124">'Бланк заказа'!$U$207:$U$207</definedName>
    <definedName name="SalesQty125">'Бланк заказа'!$U$208:$U$208</definedName>
    <definedName name="SalesQty126">'Бланк заказа'!$U$209:$U$209</definedName>
    <definedName name="SalesQty127">'Бланк заказа'!$U$213:$U$213</definedName>
    <definedName name="SalesQty128">'Бланк заказа'!$U$214:$U$214</definedName>
    <definedName name="SalesQty129">'Бланк заказа'!$U$215:$U$215</definedName>
    <definedName name="SalesQty13">'Бланк заказа'!$U$51:$U$51</definedName>
    <definedName name="SalesQty130">'Бланк заказа'!$U$219:$U$219</definedName>
    <definedName name="SalesQty131">'Бланк заказа'!$U$220:$U$220</definedName>
    <definedName name="SalesQty132">'Бланк заказа'!$U$221:$U$221</definedName>
    <definedName name="SalesQty133">'Бланк заказа'!$U$222:$U$222</definedName>
    <definedName name="SalesQty134">'Бланк заказа'!$U$227:$U$227</definedName>
    <definedName name="SalesQty135">'Бланк заказа'!$U$228:$U$228</definedName>
    <definedName name="SalesQty136">'Бланк заказа'!$U$229:$U$229</definedName>
    <definedName name="SalesQty137">'Бланк заказа'!$U$230:$U$230</definedName>
    <definedName name="SalesQty138">'Бланк заказа'!$U$231:$U$231</definedName>
    <definedName name="SalesQty139">'Бланк заказа'!$U$232:$U$232</definedName>
    <definedName name="SalesQty14">'Бланк заказа'!$U$56:$U$56</definedName>
    <definedName name="SalesQty140">'Бланк заказа'!$U$233:$U$233</definedName>
    <definedName name="SalesQty141">'Бланк заказа'!$U$237:$U$237</definedName>
    <definedName name="SalesQty142">'Бланк заказа'!$U$238:$U$238</definedName>
    <definedName name="SalesQty143">'Бланк заказа'!$U$243:$U$243</definedName>
    <definedName name="SalesQty144">'Бланк заказа'!$U$244:$U$244</definedName>
    <definedName name="SalesQty145">'Бланк заказа'!$U$248:$U$248</definedName>
    <definedName name="SalesQty146">'Бланк заказа'!$U$249:$U$249</definedName>
    <definedName name="SalesQty147">'Бланк заказа'!$U$250:$U$250</definedName>
    <definedName name="SalesQty148">'Бланк заказа'!$U$254:$U$254</definedName>
    <definedName name="SalesQty149">'Бланк заказа'!$U$258:$U$258</definedName>
    <definedName name="SalesQty15">'Бланк заказа'!$U$57:$U$57</definedName>
    <definedName name="SalesQty150">'Бланк заказа'!$U$262:$U$262</definedName>
    <definedName name="SalesQty151">'Бланк заказа'!$U$268:$U$268</definedName>
    <definedName name="SalesQty152">'Бланк заказа'!$U$269:$U$269</definedName>
    <definedName name="SalesQty153">'Бланк заказа'!$U$270:$U$270</definedName>
    <definedName name="SalesQty154">'Бланк заказа'!$U$271:$U$271</definedName>
    <definedName name="SalesQty155">'Бланк заказа'!$U$272:$U$272</definedName>
    <definedName name="SalesQty156">'Бланк заказа'!$U$273:$U$273</definedName>
    <definedName name="SalesQty157">'Бланк заказа'!$U$274:$U$274</definedName>
    <definedName name="SalesQty158">'Бланк заказа'!$U$275:$U$275</definedName>
    <definedName name="SalesQty159">'Бланк заказа'!$U$279:$U$279</definedName>
    <definedName name="SalesQty16">'Бланк заказа'!$U$58:$U$58</definedName>
    <definedName name="SalesQty160">'Бланк заказа'!$U$280:$U$280</definedName>
    <definedName name="SalesQty161">'Бланк заказа'!$U$284:$U$284</definedName>
    <definedName name="SalesQty162">'Бланк заказа'!$U$285:$U$285</definedName>
    <definedName name="SalesQty163">'Бланк заказа'!$U$289:$U$289</definedName>
    <definedName name="SalesQty164">'Бланк заказа'!$U$293:$U$293</definedName>
    <definedName name="SalesQty165">'Бланк заказа'!$U$298:$U$298</definedName>
    <definedName name="SalesQty166">'Бланк заказа'!$U$299:$U$299</definedName>
    <definedName name="SalesQty167">'Бланк заказа'!$U$300:$U$300</definedName>
    <definedName name="SalesQty168">'Бланк заказа'!$U$301:$U$301</definedName>
    <definedName name="SalesQty169">'Бланк заказа'!$U$305:$U$305</definedName>
    <definedName name="SalesQty17">'Бланк заказа'!$U$63:$U$63</definedName>
    <definedName name="SalesQty170">'Бланк заказа'!$U$306:$U$306</definedName>
    <definedName name="SalesQty171">'Бланк заказа'!$U$310:$U$310</definedName>
    <definedName name="SalesQty172">'Бланк заказа'!$U$311:$U$311</definedName>
    <definedName name="SalesQty173">'Бланк заказа'!$U$312:$U$312</definedName>
    <definedName name="SalesQty174">'Бланк заказа'!$U$313:$U$313</definedName>
    <definedName name="SalesQty175">'Бланк заказа'!$U$317:$U$317</definedName>
    <definedName name="SalesQty176">'Бланк заказа'!$U$323:$U$323</definedName>
    <definedName name="SalesQty177">'Бланк заказа'!$U$324:$U$324</definedName>
    <definedName name="SalesQty178">'Бланк заказа'!$U$328:$U$328</definedName>
    <definedName name="SalesQty179">'Бланк заказа'!$U$329:$U$329</definedName>
    <definedName name="SalesQty18">'Бланк заказа'!$U$64:$U$64</definedName>
    <definedName name="SalesQty180">'Бланк заказа'!$U$330:$U$330</definedName>
    <definedName name="SalesQty181">'Бланк заказа'!$U$331:$U$331</definedName>
    <definedName name="SalesQty182">'Бланк заказа'!$U$332:$U$332</definedName>
    <definedName name="SalesQty183">'Бланк заказа'!$U$333:$U$333</definedName>
    <definedName name="SalesQty184">'Бланк заказа'!$U$334:$U$334</definedName>
    <definedName name="SalesQty185">'Бланк заказа'!$U$338:$U$338</definedName>
    <definedName name="SalesQty186">'Бланк заказа'!$U$339:$U$339</definedName>
    <definedName name="SalesQty187">'Бланк заказа'!$U$340:$U$340</definedName>
    <definedName name="SalesQty188">'Бланк заказа'!$U$341:$U$341</definedName>
    <definedName name="SalesQty189">'Бланк заказа'!$U$345:$U$345</definedName>
    <definedName name="SalesQty19">'Бланк заказа'!$U$65:$U$65</definedName>
    <definedName name="SalesQty190">'Бланк заказа'!$U$350:$U$350</definedName>
    <definedName name="SalesQty191">'Бланк заказа'!$U$351:$U$351</definedName>
    <definedName name="SalesQty192">'Бланк заказа'!$U$355:$U$355</definedName>
    <definedName name="SalesQty193">'Бланк заказа'!$U$356:$U$356</definedName>
    <definedName name="SalesQty194">'Бланк заказа'!$U$357:$U$357</definedName>
    <definedName name="SalesQty195">'Бланк заказа'!$U$358:$U$358</definedName>
    <definedName name="SalesQty196">'Бланк заказа'!$U$359:$U$359</definedName>
    <definedName name="SalesQty197">'Бланк заказа'!$U$365:$U$365</definedName>
    <definedName name="SalesQty198">'Бланк заказа'!$U$366:$U$366</definedName>
    <definedName name="SalesQty199">'Бланк заказа'!$U$367:$U$367</definedName>
    <definedName name="SalesQty2">'Бланк заказа'!$U$26:$U$26</definedName>
    <definedName name="SalesQty20">'Бланк заказа'!$U$66:$U$66</definedName>
    <definedName name="SalesQty200">'Бланк заказа'!$U$368:$U$368</definedName>
    <definedName name="SalesQty201">'Бланк заказа'!$U$369:$U$369</definedName>
    <definedName name="SalesQty202">'Бланк заказа'!$U$370:$U$370</definedName>
    <definedName name="SalesQty203">'Бланк заказа'!$U$371:$U$371</definedName>
    <definedName name="SalesQty204">'Бланк заказа'!$U$372:$U$372</definedName>
    <definedName name="SalesQty205">'Бланк заказа'!$U$373:$U$373</definedName>
    <definedName name="SalesQty206">'Бланк заказа'!$U$374:$U$374</definedName>
    <definedName name="SalesQty207">'Бланк заказа'!$U$378:$U$378</definedName>
    <definedName name="SalesQty208">'Бланк заказа'!$U$379:$U$379</definedName>
    <definedName name="SalesQty209">'Бланк заказа'!$U$383:$U$383</definedName>
    <definedName name="SalesQty21">'Бланк заказа'!$U$67:$U$67</definedName>
    <definedName name="SalesQty210">'Бланк заказа'!$U$384:$U$384</definedName>
    <definedName name="SalesQty211">'Бланк заказа'!$U$385:$U$385</definedName>
    <definedName name="SalesQty212">'Бланк заказа'!$U$386:$U$386</definedName>
    <definedName name="SalesQty213">'Бланк заказа'!$U$387:$U$387</definedName>
    <definedName name="SalesQty214">'Бланк заказа'!$U$388:$U$388</definedName>
    <definedName name="SalesQty215">'Бланк заказа'!$U$392:$U$392</definedName>
    <definedName name="SalesQty216">'Бланк заказа'!$U$393:$U$393</definedName>
    <definedName name="SalesQty217">'Бланк заказа'!$U$399:$U$399</definedName>
    <definedName name="SalesQty218">'Бланк заказа'!$U$400:$U$400</definedName>
    <definedName name="SalesQty219">'Бланк заказа'!$U$404:$U$404</definedName>
    <definedName name="SalesQty22">'Бланк заказа'!$U$68:$U$68</definedName>
    <definedName name="SalesQty220">'Бланк заказа'!$U$405:$U$405</definedName>
    <definedName name="SalesQty221">'Бланк заказа'!$U$409:$U$409</definedName>
    <definedName name="SalesQty222">'Бланк заказа'!$U$410:$U$410</definedName>
    <definedName name="SalesQty223">'Бланк заказа'!$U$414:$U$414</definedName>
    <definedName name="SalesQty224">'Бланк заказа'!$U$415:$U$415</definedName>
    <definedName name="SalesQty225">'Бланк заказа'!$U$416:$U$416</definedName>
    <definedName name="SalesQty23">'Бланк заказа'!$U$69:$U$69</definedName>
    <definedName name="SalesQty24">'Бланк заказа'!$U$70:$U$70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заказа'!$U$82:$U$82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заказа'!$U$91:$U$91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заказа'!$U$103:$U$103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заказа'!$U$113:$U$113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заказа'!$U$121:$U$121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заказа'!$U$130:$U$130</definedName>
    <definedName name="SalesQty64">'Бланк заказа'!$U$131:$U$131</definedName>
    <definedName name="SalesQty65">'Бланк заказа'!$U$132:$U$132</definedName>
    <definedName name="SalesQty66">'Бланк заказа'!$U$137:$U$137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заказа'!$U$149:$U$149</definedName>
    <definedName name="SalesQty79">'Бланк заказа'!$U$150:$U$150</definedName>
    <definedName name="SalesQty8">'Бланк заказа'!$U$35:$U$35</definedName>
    <definedName name="SalesQty80">'Бланк заказа'!$U$151:$U$151</definedName>
    <definedName name="SalesQty81">'Бланк заказа'!$U$152:$U$152</definedName>
    <definedName name="SalesQty82">'Бланк заказа'!$U$156:$U$156</definedName>
    <definedName name="SalesQty83">'Бланк заказа'!$U$157:$U$157</definedName>
    <definedName name="SalesQty84">'Бланк заказа'!$U$161:$U$161</definedName>
    <definedName name="SalesQty85">'Бланк заказа'!$U$162:$U$162</definedName>
    <definedName name="SalesQty86">'Бланк заказа'!$U$163:$U$163</definedName>
    <definedName name="SalesQty87">'Бланк заказа'!$U$164:$U$164</definedName>
    <definedName name="SalesQty88">'Бланк заказа'!$U$165:$U$165</definedName>
    <definedName name="SalesQty89">'Бланк заказа'!$U$166:$U$166</definedName>
    <definedName name="SalesQty9">'Бланк заказа'!$U$36:$U$36</definedName>
    <definedName name="SalesQty90">'Бланк заказа'!$U$167:$U$167</definedName>
    <definedName name="SalesQty91">'Бланк заказа'!$U$168:$U$168</definedName>
    <definedName name="SalesQty92">'Бланк заказа'!$U$169:$U$169</definedName>
    <definedName name="SalesQty93">'Бланк заказа'!$U$170:$U$170</definedName>
    <definedName name="SalesQty94">'Бланк заказа'!$U$171:$U$171</definedName>
    <definedName name="SalesQty95">'Бланк заказа'!$U$172:$U$172</definedName>
    <definedName name="SalesQty96">'Бланк заказа'!$U$173:$U$173</definedName>
    <definedName name="SalesQty97">'Бланк заказа'!$U$174:$U$174</definedName>
    <definedName name="SalesQty98">'Бланк заказа'!$U$175:$U$175</definedName>
    <definedName name="SalesQty99">'Бланк заказа'!$U$176:$U$176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заказа'!$V$180:$V$180</definedName>
    <definedName name="SalesRoundBox101">'Бланк заказа'!$V$181:$V$181</definedName>
    <definedName name="SalesRoundBox102">'Бланк заказа'!$V$182:$V$182</definedName>
    <definedName name="SalesRoundBox103">'Бланк заказа'!$V$183:$V$183</definedName>
    <definedName name="SalesRoundBox104">'Бланк заказа'!$V$184:$V$184</definedName>
    <definedName name="SalesRoundBox105">'Бланк заказа'!$V$185:$V$185</definedName>
    <definedName name="SalesRoundBox106">'Бланк заказа'!$V$186:$V$186</definedName>
    <definedName name="SalesRoundBox107">'Бланк заказа'!$V$187:$V$187</definedName>
    <definedName name="SalesRoundBox108">'Бланк заказа'!$V$188:$V$188</definedName>
    <definedName name="SalesRoundBox109">'Бланк заказа'!$V$189:$V$189</definedName>
    <definedName name="SalesRoundBox11">'Бланк заказа'!$V$44:$V$44</definedName>
    <definedName name="SalesRoundBox110">'Бланк заказа'!$V$190:$V$190</definedName>
    <definedName name="SalesRoundBox111">'Бланк заказа'!$V$191:$V$191</definedName>
    <definedName name="SalesRoundBox112">'Бланк заказа'!$V$192:$V$192</definedName>
    <definedName name="SalesRoundBox113">'Бланк заказа'!$V$193:$V$193</definedName>
    <definedName name="SalesRoundBox114">'Бланк заказа'!$V$194:$V$194</definedName>
    <definedName name="SalesRoundBox115">'Бланк заказа'!$V$195:$V$195</definedName>
    <definedName name="SalesRoundBox116">'Бланк заказа'!$V$196:$V$196</definedName>
    <definedName name="SalesRoundBox117">'Бланк заказа'!$V$197:$V$197</definedName>
    <definedName name="SalesRoundBox118">'Бланк заказа'!$V$198:$V$198</definedName>
    <definedName name="SalesRoundBox119">'Бланк заказа'!$V$199:$V$199</definedName>
    <definedName name="SalesRoundBox12">'Бланк заказа'!$V$50:$V$50</definedName>
    <definedName name="SalesRoundBox120">'Бланк заказа'!$V$200:$V$200</definedName>
    <definedName name="SalesRoundBox121">'Бланк заказа'!$V$204:$V$204</definedName>
    <definedName name="SalesRoundBox122">'Бланк заказа'!$V$205:$V$205</definedName>
    <definedName name="SalesRoundBox123">'Бланк заказа'!$V$206:$V$206</definedName>
    <definedName name="SalesRoundBox124">'Бланк заказа'!$V$207:$V$207</definedName>
    <definedName name="SalesRoundBox125">'Бланк заказа'!$V$208:$V$208</definedName>
    <definedName name="SalesRoundBox126">'Бланк заказа'!$V$209:$V$209</definedName>
    <definedName name="SalesRoundBox127">'Бланк заказа'!$V$213:$V$213</definedName>
    <definedName name="SalesRoundBox128">'Бланк заказа'!$V$214:$V$214</definedName>
    <definedName name="SalesRoundBox129">'Бланк заказа'!$V$215:$V$215</definedName>
    <definedName name="SalesRoundBox13">'Бланк заказа'!$V$51:$V$51</definedName>
    <definedName name="SalesRoundBox130">'Бланк заказа'!$V$219:$V$219</definedName>
    <definedName name="SalesRoundBox131">'Бланк заказа'!$V$220:$V$220</definedName>
    <definedName name="SalesRoundBox132">'Бланк заказа'!$V$221:$V$221</definedName>
    <definedName name="SalesRoundBox133">'Бланк заказа'!$V$222:$V$222</definedName>
    <definedName name="SalesRoundBox134">'Бланк заказа'!$V$227:$V$227</definedName>
    <definedName name="SalesRoundBox135">'Бланк заказа'!$V$228:$V$228</definedName>
    <definedName name="SalesRoundBox136">'Бланк заказа'!$V$229:$V$229</definedName>
    <definedName name="SalesRoundBox137">'Бланк заказа'!$V$230:$V$230</definedName>
    <definedName name="SalesRoundBox138">'Бланк заказа'!$V$231:$V$231</definedName>
    <definedName name="SalesRoundBox139">'Бланк заказа'!$V$232:$V$232</definedName>
    <definedName name="SalesRoundBox14">'Бланк заказа'!$V$56:$V$56</definedName>
    <definedName name="SalesRoundBox140">'Бланк заказа'!$V$233:$V$233</definedName>
    <definedName name="SalesRoundBox141">'Бланк заказа'!$V$237:$V$237</definedName>
    <definedName name="SalesRoundBox142">'Бланк заказа'!$V$238:$V$238</definedName>
    <definedName name="SalesRoundBox143">'Бланк заказа'!$V$243:$V$243</definedName>
    <definedName name="SalesRoundBox144">'Бланк заказа'!$V$244:$V$244</definedName>
    <definedName name="SalesRoundBox145">'Бланк заказа'!$V$248:$V$248</definedName>
    <definedName name="SalesRoundBox146">'Бланк заказа'!$V$249:$V$249</definedName>
    <definedName name="SalesRoundBox147">'Бланк заказа'!$V$250:$V$250</definedName>
    <definedName name="SalesRoundBox148">'Бланк заказа'!$V$254:$V$254</definedName>
    <definedName name="SalesRoundBox149">'Бланк заказа'!$V$258:$V$258</definedName>
    <definedName name="SalesRoundBox15">'Бланк заказа'!$V$57:$V$57</definedName>
    <definedName name="SalesRoundBox150">'Бланк заказа'!$V$262:$V$262</definedName>
    <definedName name="SalesRoundBox151">'Бланк заказа'!$V$268:$V$268</definedName>
    <definedName name="SalesRoundBox152">'Бланк заказа'!$V$269:$V$269</definedName>
    <definedName name="SalesRoundBox153">'Бланк заказа'!$V$270:$V$270</definedName>
    <definedName name="SalesRoundBox154">'Бланк заказа'!$V$271:$V$271</definedName>
    <definedName name="SalesRoundBox155">'Бланк заказа'!$V$272:$V$272</definedName>
    <definedName name="SalesRoundBox156">'Бланк заказа'!$V$273:$V$273</definedName>
    <definedName name="SalesRoundBox157">'Бланк заказа'!$V$274:$V$274</definedName>
    <definedName name="SalesRoundBox158">'Бланк заказа'!$V$275:$V$275</definedName>
    <definedName name="SalesRoundBox159">'Бланк заказа'!$V$279:$V$279</definedName>
    <definedName name="SalesRoundBox16">'Бланк заказа'!$V$58:$V$58</definedName>
    <definedName name="SalesRoundBox160">'Бланк заказа'!$V$280:$V$280</definedName>
    <definedName name="SalesRoundBox161">'Бланк заказа'!$V$284:$V$284</definedName>
    <definedName name="SalesRoundBox162">'Бланк заказа'!$V$285:$V$285</definedName>
    <definedName name="SalesRoundBox163">'Бланк заказа'!$V$289:$V$289</definedName>
    <definedName name="SalesRoundBox164">'Бланк заказа'!$V$293:$V$293</definedName>
    <definedName name="SalesRoundBox165">'Бланк заказа'!$V$298:$V$298</definedName>
    <definedName name="SalesRoundBox166">'Бланк заказа'!$V$299:$V$299</definedName>
    <definedName name="SalesRoundBox167">'Бланк заказа'!$V$300:$V$300</definedName>
    <definedName name="SalesRoundBox168">'Бланк заказа'!$V$301:$V$301</definedName>
    <definedName name="SalesRoundBox169">'Бланк заказа'!$V$305:$V$305</definedName>
    <definedName name="SalesRoundBox17">'Бланк заказа'!$V$63:$V$63</definedName>
    <definedName name="SalesRoundBox170">'Бланк заказа'!$V$306:$V$306</definedName>
    <definedName name="SalesRoundBox171">'Бланк заказа'!$V$310:$V$310</definedName>
    <definedName name="SalesRoundBox172">'Бланк заказа'!$V$311:$V$311</definedName>
    <definedName name="SalesRoundBox173">'Бланк заказа'!$V$312:$V$312</definedName>
    <definedName name="SalesRoundBox174">'Бланк заказа'!$V$313:$V$313</definedName>
    <definedName name="SalesRoundBox175">'Бланк заказа'!$V$317:$V$317</definedName>
    <definedName name="SalesRoundBox176">'Бланк заказа'!$V$323:$V$323</definedName>
    <definedName name="SalesRoundBox177">'Бланк заказа'!$V$324:$V$324</definedName>
    <definedName name="SalesRoundBox178">'Бланк заказа'!$V$328:$V$328</definedName>
    <definedName name="SalesRoundBox179">'Бланк заказа'!$V$329:$V$329</definedName>
    <definedName name="SalesRoundBox18">'Бланк заказа'!$V$64:$V$64</definedName>
    <definedName name="SalesRoundBox180">'Бланк заказа'!$V$330:$V$330</definedName>
    <definedName name="SalesRoundBox181">'Бланк заказа'!$V$331:$V$331</definedName>
    <definedName name="SalesRoundBox182">'Бланк заказа'!$V$332:$V$332</definedName>
    <definedName name="SalesRoundBox183">'Бланк заказа'!$V$333:$V$333</definedName>
    <definedName name="SalesRoundBox184">'Бланк заказа'!$V$334:$V$334</definedName>
    <definedName name="SalesRoundBox185">'Бланк заказа'!$V$338:$V$338</definedName>
    <definedName name="SalesRoundBox186">'Бланк заказа'!$V$339:$V$339</definedName>
    <definedName name="SalesRoundBox187">'Бланк заказа'!$V$340:$V$340</definedName>
    <definedName name="SalesRoundBox188">'Бланк заказа'!$V$341:$V$341</definedName>
    <definedName name="SalesRoundBox189">'Бланк заказа'!$V$345:$V$345</definedName>
    <definedName name="SalesRoundBox19">'Бланк заказа'!$V$65:$V$65</definedName>
    <definedName name="SalesRoundBox190">'Бланк заказа'!$V$350:$V$350</definedName>
    <definedName name="SalesRoundBox191">'Бланк заказа'!$V$351:$V$351</definedName>
    <definedName name="SalesRoundBox192">'Бланк заказа'!$V$355:$V$355</definedName>
    <definedName name="SalesRoundBox193">'Бланк заказа'!$V$356:$V$356</definedName>
    <definedName name="SalesRoundBox194">'Бланк заказа'!$V$357:$V$357</definedName>
    <definedName name="SalesRoundBox195">'Бланк заказа'!$V$358:$V$358</definedName>
    <definedName name="SalesRoundBox196">'Бланк заказа'!$V$359:$V$359</definedName>
    <definedName name="SalesRoundBox197">'Бланк заказа'!$V$365:$V$365</definedName>
    <definedName name="SalesRoundBox198">'Бланк заказа'!$V$366:$V$366</definedName>
    <definedName name="SalesRoundBox199">'Бланк заказа'!$V$367:$V$367</definedName>
    <definedName name="SalesRoundBox2">'Бланк заказа'!$V$26:$V$26</definedName>
    <definedName name="SalesRoundBox20">'Бланк заказа'!$V$66:$V$66</definedName>
    <definedName name="SalesRoundBox200">'Бланк заказа'!$V$368:$V$368</definedName>
    <definedName name="SalesRoundBox201">'Бланк заказа'!$V$369:$V$369</definedName>
    <definedName name="SalesRoundBox202">'Бланк заказа'!$V$370:$V$370</definedName>
    <definedName name="SalesRoundBox203">'Бланк заказа'!$V$371:$V$371</definedName>
    <definedName name="SalesRoundBox204">'Бланк заказа'!$V$372:$V$372</definedName>
    <definedName name="SalesRoundBox205">'Бланк заказа'!$V$373:$V$373</definedName>
    <definedName name="SalesRoundBox206">'Бланк заказа'!$V$374:$V$374</definedName>
    <definedName name="SalesRoundBox207">'Бланк заказа'!$V$378:$V$378</definedName>
    <definedName name="SalesRoundBox208">'Бланк заказа'!$V$379:$V$379</definedName>
    <definedName name="SalesRoundBox209">'Бланк заказа'!$V$383:$V$383</definedName>
    <definedName name="SalesRoundBox21">'Бланк заказа'!$V$67:$V$67</definedName>
    <definedName name="SalesRoundBox210">'Бланк заказа'!$V$384:$V$384</definedName>
    <definedName name="SalesRoundBox211">'Бланк заказа'!$V$385:$V$385</definedName>
    <definedName name="SalesRoundBox212">'Бланк заказа'!$V$386:$V$386</definedName>
    <definedName name="SalesRoundBox213">'Бланк заказа'!$V$387:$V$387</definedName>
    <definedName name="SalesRoundBox214">'Бланк заказа'!$V$388:$V$388</definedName>
    <definedName name="SalesRoundBox215">'Бланк заказа'!$V$392:$V$392</definedName>
    <definedName name="SalesRoundBox216">'Бланк заказа'!$V$393:$V$393</definedName>
    <definedName name="SalesRoundBox217">'Бланк заказа'!$V$399:$V$399</definedName>
    <definedName name="SalesRoundBox218">'Бланк заказа'!$V$400:$V$400</definedName>
    <definedName name="SalesRoundBox219">'Бланк заказа'!$V$404:$V$404</definedName>
    <definedName name="SalesRoundBox22">'Бланк заказа'!$V$68:$V$68</definedName>
    <definedName name="SalesRoundBox220">'Бланк заказа'!$V$405:$V$405</definedName>
    <definedName name="SalesRoundBox221">'Бланк заказа'!$V$409:$V$409</definedName>
    <definedName name="SalesRoundBox222">'Бланк заказа'!$V$410:$V$410</definedName>
    <definedName name="SalesRoundBox223">'Бланк заказа'!$V$414:$V$414</definedName>
    <definedName name="SalesRoundBox224">'Бланк заказа'!$V$415:$V$415</definedName>
    <definedName name="SalesRoundBox225">'Бланк заказа'!$V$416:$V$416</definedName>
    <definedName name="SalesRoundBox23">'Бланк заказа'!$V$69:$V$69</definedName>
    <definedName name="SalesRoundBox24">'Бланк заказа'!$V$70:$V$70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заказа'!$V$82:$V$82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заказа'!$V$91:$V$91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заказа'!$V$103:$V$103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заказа'!$V$113:$V$113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заказа'!$V$121:$V$121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заказа'!$V$130:$V$130</definedName>
    <definedName name="SalesRoundBox64">'Бланк заказа'!$V$131:$V$131</definedName>
    <definedName name="SalesRoundBox65">'Бланк заказа'!$V$132:$V$132</definedName>
    <definedName name="SalesRoundBox66">'Бланк заказа'!$V$137:$V$137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заказа'!$V$149:$V$149</definedName>
    <definedName name="SalesRoundBox79">'Бланк заказа'!$V$150:$V$150</definedName>
    <definedName name="SalesRoundBox8">'Бланк заказа'!$V$35:$V$35</definedName>
    <definedName name="SalesRoundBox80">'Бланк заказа'!$V$151:$V$151</definedName>
    <definedName name="SalesRoundBox81">'Бланк заказа'!$V$152:$V$152</definedName>
    <definedName name="SalesRoundBox82">'Бланк заказа'!$V$156:$V$156</definedName>
    <definedName name="SalesRoundBox83">'Бланк заказа'!$V$157:$V$157</definedName>
    <definedName name="SalesRoundBox84">'Бланк заказа'!$V$161:$V$161</definedName>
    <definedName name="SalesRoundBox85">'Бланк заказа'!$V$162:$V$162</definedName>
    <definedName name="SalesRoundBox86">'Бланк заказа'!$V$163:$V$163</definedName>
    <definedName name="SalesRoundBox87">'Бланк заказа'!$V$164:$V$164</definedName>
    <definedName name="SalesRoundBox88">'Бланк заказа'!$V$165:$V$165</definedName>
    <definedName name="SalesRoundBox89">'Бланк заказа'!$V$166:$V$166</definedName>
    <definedName name="SalesRoundBox9">'Бланк заказа'!$V$36:$V$36</definedName>
    <definedName name="SalesRoundBox90">'Бланк заказа'!$V$167:$V$167</definedName>
    <definedName name="SalesRoundBox91">'Бланк заказа'!$V$168:$V$168</definedName>
    <definedName name="SalesRoundBox92">'Бланк заказа'!$V$169:$V$169</definedName>
    <definedName name="SalesRoundBox93">'Бланк заказа'!$V$170:$V$170</definedName>
    <definedName name="SalesRoundBox94">'Бланк заказа'!$V$171:$V$171</definedName>
    <definedName name="SalesRoundBox95">'Бланк заказа'!$V$172:$V$172</definedName>
    <definedName name="SalesRoundBox96">'Бланк заказа'!$V$173:$V$173</definedName>
    <definedName name="SalesRoundBox97">'Бланк заказа'!$V$174:$V$174</definedName>
    <definedName name="SalesRoundBox98">'Бланк заказа'!$V$175:$V$175</definedName>
    <definedName name="SalesRoundBox99">'Бланк заказа'!$V$176:$V$176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заказа'!$T$180:$T$180</definedName>
    <definedName name="UnitOfMeasure101">'Бланк заказа'!$T$181:$T$181</definedName>
    <definedName name="UnitOfMeasure102">'Бланк заказа'!$T$182:$T$182</definedName>
    <definedName name="UnitOfMeasure103">'Бланк заказа'!$T$183:$T$183</definedName>
    <definedName name="UnitOfMeasure104">'Бланк заказа'!$T$184:$T$184</definedName>
    <definedName name="UnitOfMeasure105">'Бланк заказа'!$T$185:$T$185</definedName>
    <definedName name="UnitOfMeasure106">'Бланк заказа'!$T$186:$T$186</definedName>
    <definedName name="UnitOfMeasure107">'Бланк заказа'!$T$187:$T$187</definedName>
    <definedName name="UnitOfMeasure108">'Бланк заказа'!$T$188:$T$188</definedName>
    <definedName name="UnitOfMeasure109">'Бланк заказа'!$T$189:$T$189</definedName>
    <definedName name="UnitOfMeasure11">'Бланк заказа'!$T$44:$T$44</definedName>
    <definedName name="UnitOfMeasure110">'Бланк заказа'!$T$190:$T$190</definedName>
    <definedName name="UnitOfMeasure111">'Бланк заказа'!$T$191:$T$191</definedName>
    <definedName name="UnitOfMeasure112">'Бланк заказа'!$T$192:$T$192</definedName>
    <definedName name="UnitOfMeasure113">'Бланк заказа'!$T$193:$T$193</definedName>
    <definedName name="UnitOfMeasure114">'Бланк заказа'!$T$194:$T$194</definedName>
    <definedName name="UnitOfMeasure115">'Бланк заказа'!$T$195:$T$195</definedName>
    <definedName name="UnitOfMeasure116">'Бланк заказа'!$T$196:$T$196</definedName>
    <definedName name="UnitOfMeasure117">'Бланк заказа'!$T$197:$T$197</definedName>
    <definedName name="UnitOfMeasure118">'Бланк заказа'!$T$198:$T$198</definedName>
    <definedName name="UnitOfMeasure119">'Бланк заказа'!$T$199:$T$199</definedName>
    <definedName name="UnitOfMeasure12">'Бланк заказа'!$T$50:$T$50</definedName>
    <definedName name="UnitOfMeasure120">'Бланк заказа'!$T$200:$T$200</definedName>
    <definedName name="UnitOfMeasure121">'Бланк заказа'!$T$204:$T$204</definedName>
    <definedName name="UnitOfMeasure122">'Бланк заказа'!$T$205:$T$205</definedName>
    <definedName name="UnitOfMeasure123">'Бланк заказа'!$T$206:$T$206</definedName>
    <definedName name="UnitOfMeasure124">'Бланк заказа'!$T$207:$T$207</definedName>
    <definedName name="UnitOfMeasure125">'Бланк заказа'!$T$208:$T$208</definedName>
    <definedName name="UnitOfMeasure126">'Бланк заказа'!$T$209:$T$209</definedName>
    <definedName name="UnitOfMeasure127">'Бланк заказа'!$T$213:$T$213</definedName>
    <definedName name="UnitOfMeasure128">'Бланк заказа'!$T$214:$T$214</definedName>
    <definedName name="UnitOfMeasure129">'Бланк заказа'!$T$215:$T$215</definedName>
    <definedName name="UnitOfMeasure13">'Бланк заказа'!$T$51:$T$51</definedName>
    <definedName name="UnitOfMeasure130">'Бланк заказа'!$T$219:$T$219</definedName>
    <definedName name="UnitOfMeasure131">'Бланк заказа'!$T$220:$T$220</definedName>
    <definedName name="UnitOfMeasure132">'Бланк заказа'!$T$221:$T$221</definedName>
    <definedName name="UnitOfMeasure133">'Бланк заказа'!$T$222:$T$222</definedName>
    <definedName name="UnitOfMeasure134">'Бланк заказа'!$T$227:$T$227</definedName>
    <definedName name="UnitOfMeasure135">'Бланк заказа'!$T$228:$T$228</definedName>
    <definedName name="UnitOfMeasure136">'Бланк заказа'!$T$229:$T$229</definedName>
    <definedName name="UnitOfMeasure137">'Бланк заказа'!$T$230:$T$230</definedName>
    <definedName name="UnitOfMeasure138">'Бланк заказа'!$T$231:$T$231</definedName>
    <definedName name="UnitOfMeasure139">'Бланк заказа'!$T$232:$T$232</definedName>
    <definedName name="UnitOfMeasure14">'Бланк заказа'!$T$56:$T$56</definedName>
    <definedName name="UnitOfMeasure140">'Бланк заказа'!$T$233:$T$233</definedName>
    <definedName name="UnitOfMeasure141">'Бланк заказа'!$T$237:$T$237</definedName>
    <definedName name="UnitOfMeasure142">'Бланк заказа'!$T$238:$T$238</definedName>
    <definedName name="UnitOfMeasure143">'Бланк заказа'!$T$243:$T$243</definedName>
    <definedName name="UnitOfMeasure144">'Бланк заказа'!$T$244:$T$244</definedName>
    <definedName name="UnitOfMeasure145">'Бланк заказа'!$T$248:$T$248</definedName>
    <definedName name="UnitOfMeasure146">'Бланк заказа'!$T$249:$T$249</definedName>
    <definedName name="UnitOfMeasure147">'Бланк заказа'!$T$250:$T$250</definedName>
    <definedName name="UnitOfMeasure148">'Бланк заказа'!$T$254:$T$254</definedName>
    <definedName name="UnitOfMeasure149">'Бланк заказа'!$T$258:$T$258</definedName>
    <definedName name="UnitOfMeasure15">'Бланк заказа'!$T$57:$T$57</definedName>
    <definedName name="UnitOfMeasure150">'Бланк заказа'!$T$262:$T$262</definedName>
    <definedName name="UnitOfMeasure151">'Бланк заказа'!$T$268:$T$268</definedName>
    <definedName name="UnitOfMeasure152">'Бланк заказа'!$T$269:$T$269</definedName>
    <definedName name="UnitOfMeasure153">'Бланк заказа'!$T$270:$T$270</definedName>
    <definedName name="UnitOfMeasure154">'Бланк заказа'!$T$271:$T$271</definedName>
    <definedName name="UnitOfMeasure155">'Бланк заказа'!$T$272:$T$272</definedName>
    <definedName name="UnitOfMeasure156">'Бланк заказа'!$T$273:$T$273</definedName>
    <definedName name="UnitOfMeasure157">'Бланк заказа'!$T$274:$T$274</definedName>
    <definedName name="UnitOfMeasure158">'Бланк заказа'!$T$275:$T$275</definedName>
    <definedName name="UnitOfMeasure159">'Бланк заказа'!$T$279:$T$279</definedName>
    <definedName name="UnitOfMeasure16">'Бланк заказа'!$T$58:$T$58</definedName>
    <definedName name="UnitOfMeasure160">'Бланк заказа'!$T$280:$T$280</definedName>
    <definedName name="UnitOfMeasure161">'Бланк заказа'!$T$284:$T$284</definedName>
    <definedName name="UnitOfMeasure162">'Бланк заказа'!$T$285:$T$285</definedName>
    <definedName name="UnitOfMeasure163">'Бланк заказа'!$T$289:$T$289</definedName>
    <definedName name="UnitOfMeasure164">'Бланк заказа'!$T$293:$T$293</definedName>
    <definedName name="UnitOfMeasure165">'Бланк заказа'!$T$298:$T$298</definedName>
    <definedName name="UnitOfMeasure166">'Бланк заказа'!$T$299:$T$299</definedName>
    <definedName name="UnitOfMeasure167">'Бланк заказа'!$T$300:$T$300</definedName>
    <definedName name="UnitOfMeasure168">'Бланк заказа'!$T$301:$T$301</definedName>
    <definedName name="UnitOfMeasure169">'Бланк заказа'!$T$305:$T$305</definedName>
    <definedName name="UnitOfMeasure17">'Бланк заказа'!$T$63:$T$63</definedName>
    <definedName name="UnitOfMeasure170">'Бланк заказа'!$T$306:$T$306</definedName>
    <definedName name="UnitOfMeasure171">'Бланк заказа'!$T$310:$T$310</definedName>
    <definedName name="UnitOfMeasure172">'Бланк заказа'!$T$311:$T$311</definedName>
    <definedName name="UnitOfMeasure173">'Бланк заказа'!$T$312:$T$312</definedName>
    <definedName name="UnitOfMeasure174">'Бланк заказа'!$T$313:$T$313</definedName>
    <definedName name="UnitOfMeasure175">'Бланк заказа'!$T$317:$T$317</definedName>
    <definedName name="UnitOfMeasure176">'Бланк заказа'!$T$323:$T$323</definedName>
    <definedName name="UnitOfMeasure177">'Бланк заказа'!$T$324:$T$324</definedName>
    <definedName name="UnitOfMeasure178">'Бланк заказа'!$T$328:$T$328</definedName>
    <definedName name="UnitOfMeasure179">'Бланк заказа'!$T$329:$T$329</definedName>
    <definedName name="UnitOfMeasure18">'Бланк заказа'!$T$64:$T$64</definedName>
    <definedName name="UnitOfMeasure180">'Бланк заказа'!$T$330:$T$330</definedName>
    <definedName name="UnitOfMeasure181">'Бланк заказа'!$T$331:$T$331</definedName>
    <definedName name="UnitOfMeasure182">'Бланк заказа'!$T$332:$T$332</definedName>
    <definedName name="UnitOfMeasure183">'Бланк заказа'!$T$333:$T$333</definedName>
    <definedName name="UnitOfMeasure184">'Бланк заказа'!$T$334:$T$334</definedName>
    <definedName name="UnitOfMeasure185">'Бланк заказа'!$T$338:$T$338</definedName>
    <definedName name="UnitOfMeasure186">'Бланк заказа'!$T$339:$T$339</definedName>
    <definedName name="UnitOfMeasure187">'Бланк заказа'!$T$340:$T$340</definedName>
    <definedName name="UnitOfMeasure188">'Бланк заказа'!$T$341:$T$341</definedName>
    <definedName name="UnitOfMeasure189">'Бланк заказа'!$T$345:$T$345</definedName>
    <definedName name="UnitOfMeasure19">'Бланк заказа'!$T$65:$T$65</definedName>
    <definedName name="UnitOfMeasure190">'Бланк заказа'!$T$350:$T$350</definedName>
    <definedName name="UnitOfMeasure191">'Бланк заказа'!$T$351:$T$351</definedName>
    <definedName name="UnitOfMeasure192">'Бланк заказа'!$T$355:$T$355</definedName>
    <definedName name="UnitOfMeasure193">'Бланк заказа'!$T$356:$T$356</definedName>
    <definedName name="UnitOfMeasure194">'Бланк заказа'!$T$357:$T$357</definedName>
    <definedName name="UnitOfMeasure195">'Бланк заказа'!$T$358:$T$358</definedName>
    <definedName name="UnitOfMeasure196">'Бланк заказа'!$T$359:$T$359</definedName>
    <definedName name="UnitOfMeasure197">'Бланк заказа'!$T$365:$T$365</definedName>
    <definedName name="UnitOfMeasure198">'Бланк заказа'!$T$366:$T$366</definedName>
    <definedName name="UnitOfMeasure199">'Бланк заказа'!$T$367:$T$367</definedName>
    <definedName name="UnitOfMeasure2">'Бланк заказа'!$T$26:$T$26</definedName>
    <definedName name="UnitOfMeasure20">'Бланк заказа'!$T$66:$T$66</definedName>
    <definedName name="UnitOfMeasure200">'Бланк заказа'!$T$368:$T$368</definedName>
    <definedName name="UnitOfMeasure201">'Бланк заказа'!$T$369:$T$369</definedName>
    <definedName name="UnitOfMeasure202">'Бланк заказа'!$T$370:$T$370</definedName>
    <definedName name="UnitOfMeasure203">'Бланк заказа'!$T$371:$T$371</definedName>
    <definedName name="UnitOfMeasure204">'Бланк заказа'!$T$372:$T$372</definedName>
    <definedName name="UnitOfMeasure205">'Бланк заказа'!$T$373:$T$373</definedName>
    <definedName name="UnitOfMeasure206">'Бланк заказа'!$T$374:$T$374</definedName>
    <definedName name="UnitOfMeasure207">'Бланк заказа'!$T$378:$T$378</definedName>
    <definedName name="UnitOfMeasure208">'Бланк заказа'!$T$379:$T$379</definedName>
    <definedName name="UnitOfMeasure209">'Бланк заказа'!$T$383:$T$383</definedName>
    <definedName name="UnitOfMeasure21">'Бланк заказа'!$T$67:$T$67</definedName>
    <definedName name="UnitOfMeasure210">'Бланк заказа'!$T$384:$T$384</definedName>
    <definedName name="UnitOfMeasure211">'Бланк заказа'!$T$385:$T$385</definedName>
    <definedName name="UnitOfMeasure212">'Бланк заказа'!$T$386:$T$386</definedName>
    <definedName name="UnitOfMeasure213">'Бланк заказа'!$T$387:$T$387</definedName>
    <definedName name="UnitOfMeasure214">'Бланк заказа'!$T$388:$T$388</definedName>
    <definedName name="UnitOfMeasure215">'Бланк заказа'!$T$392:$T$392</definedName>
    <definedName name="UnitOfMeasure216">'Бланк заказа'!$T$393:$T$393</definedName>
    <definedName name="UnitOfMeasure217">'Бланк заказа'!$T$399:$T$399</definedName>
    <definedName name="UnitOfMeasure218">'Бланк заказа'!$T$400:$T$400</definedName>
    <definedName name="UnitOfMeasure219">'Бланк заказа'!$T$404:$T$404</definedName>
    <definedName name="UnitOfMeasure22">'Бланк заказа'!$T$68:$T$68</definedName>
    <definedName name="UnitOfMeasure220">'Бланк заказа'!$T$405:$T$405</definedName>
    <definedName name="UnitOfMeasure221">'Бланк заказа'!$T$409:$T$409</definedName>
    <definedName name="UnitOfMeasure222">'Бланк заказа'!$T$410:$T$410</definedName>
    <definedName name="UnitOfMeasure223">'Бланк заказа'!$T$414:$T$414</definedName>
    <definedName name="UnitOfMeasure224">'Бланк заказа'!$T$415:$T$415</definedName>
    <definedName name="UnitOfMeasure225">'Бланк заказа'!$T$416:$T$416</definedName>
    <definedName name="UnitOfMeasure23">'Бланк заказа'!$T$69:$T$69</definedName>
    <definedName name="UnitOfMeasure24">'Бланк заказа'!$T$70:$T$70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заказа'!$T$82:$T$82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заказа'!$T$91:$T$91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заказа'!$T$103:$T$103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заказа'!$T$113:$T$113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заказа'!$T$121:$T$121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заказа'!$T$130:$T$130</definedName>
    <definedName name="UnitOfMeasure64">'Бланк заказа'!$T$131:$T$131</definedName>
    <definedName name="UnitOfMeasure65">'Бланк заказа'!$T$132:$T$132</definedName>
    <definedName name="UnitOfMeasure66">'Бланк заказа'!$T$137:$T$137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заказа'!$T$149:$T$149</definedName>
    <definedName name="UnitOfMeasure79">'Бланк заказа'!$T$150:$T$150</definedName>
    <definedName name="UnitOfMeasure8">'Бланк заказа'!$T$35:$T$35</definedName>
    <definedName name="UnitOfMeasure80">'Бланк заказа'!$T$151:$T$151</definedName>
    <definedName name="UnitOfMeasure81">'Бланк заказа'!$T$152:$T$152</definedName>
    <definedName name="UnitOfMeasure82">'Бланк заказа'!$T$156:$T$156</definedName>
    <definedName name="UnitOfMeasure83">'Бланк заказа'!$T$157:$T$157</definedName>
    <definedName name="UnitOfMeasure84">'Бланк заказа'!$T$161:$T$161</definedName>
    <definedName name="UnitOfMeasure85">'Бланк заказа'!$T$162:$T$162</definedName>
    <definedName name="UnitOfMeasure86">'Бланк заказа'!$T$163:$T$163</definedName>
    <definedName name="UnitOfMeasure87">'Бланк заказа'!$T$164:$T$164</definedName>
    <definedName name="UnitOfMeasure88">'Бланк заказа'!$T$165:$T$165</definedName>
    <definedName name="UnitOfMeasure89">'Бланк заказа'!$T$166:$T$166</definedName>
    <definedName name="UnitOfMeasure9">'Бланк заказа'!$T$36:$T$36</definedName>
    <definedName name="UnitOfMeasure90">'Бланк заказа'!$T$167:$T$167</definedName>
    <definedName name="UnitOfMeasure91">'Бланк заказа'!$T$168:$T$168</definedName>
    <definedName name="UnitOfMeasure92">'Бланк заказа'!$T$169:$T$169</definedName>
    <definedName name="UnitOfMeasure93">'Бланк заказа'!$T$170:$T$170</definedName>
    <definedName name="UnitOfMeasure94">'Бланк заказа'!$T$171:$T$171</definedName>
    <definedName name="UnitOfMeasure95">'Бланк заказа'!$T$172:$T$172</definedName>
    <definedName name="UnitOfMeasure96">'Бланк заказа'!$T$173:$T$173</definedName>
    <definedName name="UnitOfMeasure97">'Бланк заказа'!$T$174:$T$174</definedName>
    <definedName name="UnitOfMeasure98">'Бланк заказа'!$T$175:$T$175</definedName>
    <definedName name="UnitOfMeasure99">'Бланк заказа'!$T$176:$T$176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  <definedName name="_xlnm._FilterDatabase" localSheetId="0" hidden="1">'Бланк заказа'!$B$18:$W$424</definedName>
  </definedNames>
  <calcPr calcId="181029" fullCalcOnLoad="1" refMode="R1C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13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b val="1"/>
      <sz val="10"/>
    </font>
    <font>
      <name val="Arial Cyr"/>
      <charset val="204"/>
      <color indexed="8"/>
      <sz val="10"/>
    </font>
    <font>
      <name val="Arial Cyr"/>
      <charset val="204"/>
      <color theme="0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79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24" borderId="11" applyAlignment="1" applyProtection="1" pivotButton="0" quotePrefix="0" xfId="0">
      <alignment horizontal="center" vertical="center"/>
      <protection locked="1" hidden="1"/>
    </xf>
    <xf numFmtId="2" fontId="0" fillId="0" borderId="11" applyProtection="1" pivotButton="0" quotePrefix="0" xfId="0">
      <protection locked="1" hidden="1"/>
    </xf>
    <xf numFmtId="2" fontId="61" fillId="0" borderId="11" applyAlignment="1" applyProtection="1" pivotButton="0" quotePrefix="0" xfId="0">
      <alignment horizontal="center"/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4" fillId="0" borderId="0" applyProtection="1" pivotButton="0" quotePrefix="0" xfId="0">
      <protection locked="1" hidden="1"/>
    </xf>
    <xf numFmtId="0" fontId="66" fillId="0" borderId="0" applyProtection="1" pivotButton="0" quotePrefix="0" xfId="0">
      <protection locked="1" hidden="1"/>
    </xf>
    <xf numFmtId="0" fontId="68" fillId="0" borderId="0" applyProtection="1" pivotButton="0" quotePrefix="0" xfId="0">
      <protection locked="1" hidden="1"/>
    </xf>
    <xf numFmtId="0" fontId="70" fillId="0" borderId="0" applyProtection="1" pivotButton="0" quotePrefix="0" xfId="0">
      <protection locked="1" hidden="1"/>
    </xf>
    <xf numFmtId="0" fontId="72" fillId="0" borderId="0" applyProtection="1" pivotButton="0" quotePrefix="0" xfId="0">
      <protection locked="1" hidden="1"/>
    </xf>
    <xf numFmtId="0" fontId="74" fillId="0" borderId="0" applyProtection="1" pivotButton="0" quotePrefix="0" xfId="0">
      <protection locked="1" hidden="1"/>
    </xf>
    <xf numFmtId="0" fontId="76" fillId="0" borderId="0" applyProtection="1" pivotButton="0" quotePrefix="0" xfId="0">
      <protection locked="1" hidden="1"/>
    </xf>
    <xf numFmtId="0" fontId="78" fillId="0" borderId="0" applyProtection="1" pivotButton="0" quotePrefix="0" xfId="0">
      <protection locked="1" hidden="1"/>
    </xf>
    <xf numFmtId="0" fontId="80" fillId="0" borderId="0" applyProtection="1" pivotButton="0" quotePrefix="0" xfId="0">
      <protection locked="1" hidden="1"/>
    </xf>
    <xf numFmtId="0" fontId="82" fillId="0" borderId="0" applyProtection="1" pivotButton="0" quotePrefix="0" xfId="0">
      <protection locked="1" hidden="1"/>
    </xf>
    <xf numFmtId="0" fontId="84" fillId="0" borderId="0" applyProtection="1" pivotButton="0" quotePrefix="0" xfId="0">
      <protection locked="1" hidden="1"/>
    </xf>
    <xf numFmtId="0" fontId="86" fillId="0" borderId="0" applyProtection="1" pivotButton="0" quotePrefix="0" xfId="0">
      <protection locked="1" hidden="1"/>
    </xf>
    <xf numFmtId="0" fontId="88" fillId="0" borderId="0" applyProtection="1" pivotButton="0" quotePrefix="0" xfId="0">
      <protection locked="1" hidden="1"/>
    </xf>
    <xf numFmtId="0" fontId="90" fillId="0" borderId="0" applyProtection="1" pivotButton="0" quotePrefix="0" xfId="0">
      <protection locked="1" hidden="1"/>
    </xf>
    <xf numFmtId="0" fontId="92" fillId="0" borderId="0" applyProtection="1" pivotButton="0" quotePrefix="0" xfId="0">
      <protection locked="1" hidden="1"/>
    </xf>
    <xf numFmtId="0" fontId="94" fillId="0" borderId="0" applyProtection="1" pivotButton="0" quotePrefix="0" xfId="0">
      <protection locked="1" hidden="1"/>
    </xf>
    <xf numFmtId="0" fontId="96" fillId="0" borderId="0" applyProtection="1" pivotButton="0" quotePrefix="0" xfId="0">
      <protection locked="1" hidden="1"/>
    </xf>
    <xf numFmtId="0" fontId="98" fillId="0" borderId="0" applyProtection="1" pivotButton="0" quotePrefix="0" xfId="0">
      <protection locked="1" hidden="1"/>
    </xf>
    <xf numFmtId="0" fontId="100" fillId="0" borderId="0" applyProtection="1" pivotButton="0" quotePrefix="0" xfId="0">
      <protection locked="1" hidden="1"/>
    </xf>
    <xf numFmtId="0" fontId="102" fillId="0" borderId="0" applyProtection="1" pivotButton="0" quotePrefix="0" xfId="0">
      <protection locked="1" hidden="1"/>
    </xf>
    <xf numFmtId="0" fontId="104" fillId="0" borderId="0" applyProtection="1" pivotButton="0" quotePrefix="0" xfId="0">
      <protection locked="1" hidden="1"/>
    </xf>
    <xf numFmtId="0" fontId="106" fillId="0" borderId="0" applyProtection="1" pivotButton="0" quotePrefix="0" xfId="0">
      <protection locked="1" hidden="1"/>
    </xf>
    <xf numFmtId="0" fontId="108" fillId="0" borderId="0" applyProtection="1" pivotButton="0" quotePrefix="0" xfId="0">
      <protection locked="1" hidden="1"/>
    </xf>
    <xf numFmtId="0" fontId="110" fillId="0" borderId="0" applyProtection="1" pivotButton="0" quotePrefix="0" xfId="0">
      <protection locked="1" hidden="1"/>
    </xf>
    <xf numFmtId="0" fontId="112" fillId="0" borderId="0" applyProtection="1" pivotButton="0" quotePrefix="0" xfId="0">
      <protection locked="1" hidden="1"/>
    </xf>
    <xf numFmtId="0" fontId="114" fillId="0" borderId="0" applyProtection="1" pivotButton="0" quotePrefix="0" xfId="0">
      <protection locked="1" hidden="1"/>
    </xf>
    <xf numFmtId="0" fontId="116" fillId="0" borderId="0" applyProtection="1" pivotButton="0" quotePrefix="0" xfId="0">
      <protection locked="1" hidden="1"/>
    </xf>
    <xf numFmtId="0" fontId="118" fillId="0" borderId="0" applyProtection="1" pivotButton="0" quotePrefix="0" xfId="0">
      <protection locked="1" hidden="1"/>
    </xf>
    <xf numFmtId="0" fontId="120" fillId="0" borderId="0" applyProtection="1" pivotButton="0" quotePrefix="0" xfId="0">
      <protection locked="1" hidden="1"/>
    </xf>
    <xf numFmtId="0" fontId="122" fillId="0" borderId="0" applyProtection="1" pivotButton="0" quotePrefix="0" xfId="0">
      <protection locked="1" hidden="1"/>
    </xf>
    <xf numFmtId="0" fontId="124" fillId="0" borderId="0" applyProtection="1" pivotButton="0" quotePrefix="0" xfId="0">
      <protection locked="1" hidden="1"/>
    </xf>
    <xf numFmtId="0" fontId="126" fillId="0" borderId="0" applyProtection="1" pivotButton="0" quotePrefix="0" xfId="0">
      <protection locked="1" hidden="1"/>
    </xf>
    <xf numFmtId="0" fontId="128" fillId="0" borderId="0" applyProtection="1" pivotButton="0" quotePrefix="0" xfId="0">
      <protection locked="1" hidden="1"/>
    </xf>
    <xf numFmtId="0" fontId="130" fillId="0" borderId="0" applyProtection="1" pivotButton="0" quotePrefix="0" xfId="0">
      <protection locked="1" hidden="1"/>
    </xf>
    <xf numFmtId="0" fontId="132" fillId="0" borderId="0" applyProtection="1" pivotButton="0" quotePrefix="0" xfId="0">
      <protection locked="1" hidden="1"/>
    </xf>
    <xf numFmtId="0" fontId="134" fillId="0" borderId="0" applyProtection="1" pivotButton="0" quotePrefix="0" xfId="0">
      <protection locked="1" hidden="1"/>
    </xf>
    <xf numFmtId="0" fontId="136" fillId="0" borderId="0" applyProtection="1" pivotButton="0" quotePrefix="0" xfId="0">
      <protection locked="1" hidden="1"/>
    </xf>
    <xf numFmtId="0" fontId="138" fillId="0" borderId="0" applyProtection="1" pivotButton="0" quotePrefix="0" xfId="0">
      <protection locked="1" hidden="1"/>
    </xf>
    <xf numFmtId="0" fontId="140" fillId="0" borderId="0" applyProtection="1" pivotButton="0" quotePrefix="0" xfId="0">
      <protection locked="1" hidden="1"/>
    </xf>
    <xf numFmtId="0" fontId="142" fillId="0" borderId="0" applyProtection="1" pivotButton="0" quotePrefix="0" xfId="0">
      <protection locked="1" hidden="1"/>
    </xf>
    <xf numFmtId="0" fontId="144" fillId="0" borderId="0" applyProtection="1" pivotButton="0" quotePrefix="0" xfId="0">
      <protection locked="1" hidden="1"/>
    </xf>
    <xf numFmtId="0" fontId="146" fillId="0" borderId="0" applyProtection="1" pivotButton="0" quotePrefix="0" xfId="0">
      <protection locked="1" hidden="1"/>
    </xf>
    <xf numFmtId="0" fontId="148" fillId="0" borderId="0" applyProtection="1" pivotButton="0" quotePrefix="0" xfId="0">
      <protection locked="1" hidden="1"/>
    </xf>
    <xf numFmtId="0" fontId="150" fillId="0" borderId="0" applyProtection="1" pivotButton="0" quotePrefix="0" xfId="0">
      <protection locked="1" hidden="1"/>
    </xf>
    <xf numFmtId="0" fontId="152" fillId="0" borderId="0" applyProtection="1" pivotButton="0" quotePrefix="0" xfId="0">
      <protection locked="1" hidden="1"/>
    </xf>
    <xf numFmtId="0" fontId="154" fillId="0" borderId="0" applyProtection="1" pivotButton="0" quotePrefix="0" xfId="0">
      <protection locked="1" hidden="1"/>
    </xf>
    <xf numFmtId="0" fontId="156" fillId="0" borderId="0" applyProtection="1" pivotButton="0" quotePrefix="0" xfId="0">
      <protection locked="1" hidden="1"/>
    </xf>
    <xf numFmtId="0" fontId="158" fillId="0" borderId="0" applyProtection="1" pivotButton="0" quotePrefix="0" xfId="0">
      <protection locked="1" hidden="1"/>
    </xf>
    <xf numFmtId="0" fontId="160" fillId="0" borderId="0" applyProtection="1" pivotButton="0" quotePrefix="0" xfId="0">
      <protection locked="1" hidden="1"/>
    </xf>
    <xf numFmtId="0" fontId="162" fillId="0" borderId="0" applyProtection="1" pivotButton="0" quotePrefix="0" xfId="0">
      <protection locked="1" hidden="1"/>
    </xf>
    <xf numFmtId="0" fontId="164" fillId="0" borderId="0" applyProtection="1" pivotButton="0" quotePrefix="0" xfId="0">
      <protection locked="1" hidden="1"/>
    </xf>
    <xf numFmtId="0" fontId="166" fillId="0" borderId="0" applyProtection="1" pivotButton="0" quotePrefix="0" xfId="0">
      <protection locked="1" hidden="1"/>
    </xf>
    <xf numFmtId="0" fontId="168" fillId="0" borderId="0" applyProtection="1" pivotButton="0" quotePrefix="0" xfId="0">
      <protection locked="1" hidden="1"/>
    </xf>
    <xf numFmtId="0" fontId="170" fillId="0" borderId="0" applyProtection="1" pivotButton="0" quotePrefix="0" xfId="0">
      <protection locked="1" hidden="1"/>
    </xf>
    <xf numFmtId="0" fontId="172" fillId="0" borderId="0" applyProtection="1" pivotButton="0" quotePrefix="0" xfId="0">
      <protection locked="1" hidden="1"/>
    </xf>
    <xf numFmtId="0" fontId="174" fillId="0" borderId="0" applyProtection="1" pivotButton="0" quotePrefix="0" xfId="0">
      <protection locked="1" hidden="1"/>
    </xf>
    <xf numFmtId="0" fontId="176" fillId="0" borderId="0" applyProtection="1" pivotButton="0" quotePrefix="0" xfId="0">
      <protection locked="1" hidden="1"/>
    </xf>
    <xf numFmtId="0" fontId="178" fillId="0" borderId="0" applyProtection="1" pivotButton="0" quotePrefix="0" xfId="0">
      <protection locked="1" hidden="1"/>
    </xf>
    <xf numFmtId="0" fontId="180" fillId="0" borderId="0" applyProtection="1" pivotButton="0" quotePrefix="0" xfId="0">
      <protection locked="1" hidden="1"/>
    </xf>
    <xf numFmtId="0" fontId="182" fillId="0" borderId="0" applyProtection="1" pivotButton="0" quotePrefix="0" xfId="0">
      <protection locked="1" hidden="1"/>
    </xf>
    <xf numFmtId="0" fontId="184" fillId="0" borderId="0" applyProtection="1" pivotButton="0" quotePrefix="0" xfId="0">
      <protection locked="1" hidden="1"/>
    </xf>
    <xf numFmtId="0" fontId="186" fillId="0" borderId="0" applyProtection="1" pivotButton="0" quotePrefix="0" xfId="0">
      <protection locked="1" hidden="1"/>
    </xf>
    <xf numFmtId="0" fontId="188" fillId="0" borderId="0" applyProtection="1" pivotButton="0" quotePrefix="0" xfId="0">
      <protection locked="1" hidden="1"/>
    </xf>
    <xf numFmtId="0" fontId="190" fillId="0" borderId="0" applyProtection="1" pivotButton="0" quotePrefix="0" xfId="0">
      <protection locked="1" hidden="1"/>
    </xf>
    <xf numFmtId="0" fontId="192" fillId="0" borderId="0" applyProtection="1" pivotButton="0" quotePrefix="0" xfId="0">
      <protection locked="1" hidden="1"/>
    </xf>
    <xf numFmtId="0" fontId="194" fillId="0" borderId="0" applyProtection="1" pivotButton="0" quotePrefix="0" xfId="0">
      <protection locked="1" hidden="1"/>
    </xf>
    <xf numFmtId="0" fontId="196" fillId="0" borderId="0" applyProtection="1" pivotButton="0" quotePrefix="0" xfId="0">
      <protection locked="1" hidden="1"/>
    </xf>
    <xf numFmtId="0" fontId="198" fillId="0" borderId="0" applyProtection="1" pivotButton="0" quotePrefix="0" xfId="0">
      <protection locked="1" hidden="1"/>
    </xf>
    <xf numFmtId="0" fontId="200" fillId="0" borderId="0" applyProtection="1" pivotButton="0" quotePrefix="0" xfId="0">
      <protection locked="1" hidden="1"/>
    </xf>
    <xf numFmtId="0" fontId="202" fillId="0" borderId="0" applyProtection="1" pivotButton="0" quotePrefix="0" xfId="0">
      <protection locked="1" hidden="1"/>
    </xf>
    <xf numFmtId="0" fontId="204" fillId="0" borderId="0" applyProtection="1" pivotButton="0" quotePrefix="0" xfId="0">
      <protection locked="1" hidden="1"/>
    </xf>
    <xf numFmtId="0" fontId="206" fillId="0" borderId="0" applyProtection="1" pivotButton="0" quotePrefix="0" xfId="0">
      <protection locked="1" hidden="1"/>
    </xf>
    <xf numFmtId="0" fontId="208" fillId="0" borderId="0" applyProtection="1" pivotButton="0" quotePrefix="0" xfId="0">
      <protection locked="1" hidden="1"/>
    </xf>
    <xf numFmtId="0" fontId="210" fillId="0" borderId="0" applyProtection="1" pivotButton="0" quotePrefix="0" xfId="0">
      <protection locked="1" hidden="1"/>
    </xf>
    <xf numFmtId="0" fontId="212" fillId="0" borderId="0" applyProtection="1" pivotButton="0" quotePrefix="0" xfId="0">
      <protection locked="1" hidden="1"/>
    </xf>
    <xf numFmtId="0" fontId="214" fillId="0" borderId="0" applyProtection="1" pivotButton="0" quotePrefix="0" xfId="0">
      <protection locked="1" hidden="1"/>
    </xf>
    <xf numFmtId="0" fontId="216" fillId="0" borderId="0" applyProtection="1" pivotButton="0" quotePrefix="0" xfId="0">
      <protection locked="1" hidden="1"/>
    </xf>
    <xf numFmtId="0" fontId="218" fillId="0" borderId="0" applyProtection="1" pivotButton="0" quotePrefix="0" xfId="0">
      <protection locked="1" hidden="1"/>
    </xf>
    <xf numFmtId="0" fontId="220" fillId="0" borderId="0" applyProtection="1" pivotButton="0" quotePrefix="0" xfId="0">
      <protection locked="1" hidden="1"/>
    </xf>
    <xf numFmtId="0" fontId="222" fillId="0" borderId="0" applyProtection="1" pivotButton="0" quotePrefix="0" xfId="0">
      <protection locked="1" hidden="1"/>
    </xf>
    <xf numFmtId="0" fontId="224" fillId="0" borderId="0" applyProtection="1" pivotButton="0" quotePrefix="0" xfId="0">
      <protection locked="1" hidden="1"/>
    </xf>
    <xf numFmtId="0" fontId="226" fillId="0" borderId="0" applyProtection="1" pivotButton="0" quotePrefix="0" xfId="0">
      <protection locked="1" hidden="1"/>
    </xf>
    <xf numFmtId="0" fontId="228" fillId="0" borderId="0" applyProtection="1" pivotButton="0" quotePrefix="0" xfId="0">
      <protection locked="1" hidden="1"/>
    </xf>
    <xf numFmtId="0" fontId="230" fillId="0" borderId="0" applyProtection="1" pivotButton="0" quotePrefix="0" xfId="0">
      <protection locked="1" hidden="1"/>
    </xf>
    <xf numFmtId="0" fontId="232" fillId="0" borderId="0" applyProtection="1" pivotButton="0" quotePrefix="0" xfId="0">
      <protection locked="1" hidden="1"/>
    </xf>
    <xf numFmtId="0" fontId="234" fillId="0" borderId="0" applyProtection="1" pivotButton="0" quotePrefix="0" xfId="0">
      <protection locked="1" hidden="1"/>
    </xf>
    <xf numFmtId="0" fontId="236" fillId="0" borderId="0" applyProtection="1" pivotButton="0" quotePrefix="0" xfId="0">
      <protection locked="1" hidden="1"/>
    </xf>
    <xf numFmtId="0" fontId="238" fillId="0" borderId="0" applyProtection="1" pivotButton="0" quotePrefix="0" xfId="0">
      <protection locked="1" hidden="1"/>
    </xf>
    <xf numFmtId="0" fontId="240" fillId="0" borderId="0" applyProtection="1" pivotButton="0" quotePrefix="0" xfId="0">
      <protection locked="1" hidden="1"/>
    </xf>
    <xf numFmtId="0" fontId="242" fillId="0" borderId="0" applyProtection="1" pivotButton="0" quotePrefix="0" xfId="0">
      <protection locked="1" hidden="1"/>
    </xf>
    <xf numFmtId="0" fontId="244" fillId="0" borderId="0" applyProtection="1" pivotButton="0" quotePrefix="0" xfId="0">
      <protection locked="1" hidden="1"/>
    </xf>
    <xf numFmtId="0" fontId="246" fillId="0" borderId="0" applyProtection="1" pivotButton="0" quotePrefix="0" xfId="0">
      <protection locked="1" hidden="1"/>
    </xf>
    <xf numFmtId="0" fontId="248" fillId="0" borderId="0" applyProtection="1" pivotButton="0" quotePrefix="0" xfId="0">
      <protection locked="1" hidden="1"/>
    </xf>
    <xf numFmtId="0" fontId="250" fillId="0" borderId="0" applyProtection="1" pivotButton="0" quotePrefix="0" xfId="0">
      <protection locked="1" hidden="1"/>
    </xf>
    <xf numFmtId="0" fontId="252" fillId="0" borderId="0" applyProtection="1" pivotButton="0" quotePrefix="0" xfId="0">
      <protection locked="1" hidden="1"/>
    </xf>
    <xf numFmtId="0" fontId="254" fillId="0" borderId="0" applyProtection="1" pivotButton="0" quotePrefix="0" xfId="0">
      <protection locked="1" hidden="1"/>
    </xf>
    <xf numFmtId="0" fontId="256" fillId="0" borderId="0" applyProtection="1" pivotButton="0" quotePrefix="0" xfId="0">
      <protection locked="1" hidden="1"/>
    </xf>
    <xf numFmtId="0" fontId="258" fillId="0" borderId="0" applyProtection="1" pivotButton="0" quotePrefix="0" xfId="0">
      <protection locked="1" hidden="1"/>
    </xf>
    <xf numFmtId="0" fontId="260" fillId="0" borderId="0" applyProtection="1" pivotButton="0" quotePrefix="0" xfId="0">
      <protection locked="1" hidden="1"/>
    </xf>
    <xf numFmtId="0" fontId="262" fillId="0" borderId="0" applyProtection="1" pivotButton="0" quotePrefix="0" xfId="0">
      <protection locked="1" hidden="1"/>
    </xf>
    <xf numFmtId="0" fontId="264" fillId="0" borderId="0" applyProtection="1" pivotButton="0" quotePrefix="0" xfId="0">
      <protection locked="1" hidden="1"/>
    </xf>
    <xf numFmtId="0" fontId="266" fillId="0" borderId="0" applyProtection="1" pivotButton="0" quotePrefix="0" xfId="0">
      <protection locked="1" hidden="1"/>
    </xf>
    <xf numFmtId="0" fontId="268" fillId="0" borderId="0" applyProtection="1" pivotButton="0" quotePrefix="0" xfId="0">
      <protection locked="1" hidden="1"/>
    </xf>
    <xf numFmtId="0" fontId="270" fillId="0" borderId="0" applyProtection="1" pivotButton="0" quotePrefix="0" xfId="0">
      <protection locked="1" hidden="1"/>
    </xf>
    <xf numFmtId="0" fontId="272" fillId="0" borderId="0" applyProtection="1" pivotButton="0" quotePrefix="0" xfId="0">
      <protection locked="1" hidden="1"/>
    </xf>
    <xf numFmtId="0" fontId="274" fillId="0" borderId="0" applyProtection="1" pivotButton="0" quotePrefix="0" xfId="0">
      <protection locked="1" hidden="1"/>
    </xf>
    <xf numFmtId="0" fontId="276" fillId="0" borderId="0" applyProtection="1" pivotButton="0" quotePrefix="0" xfId="0">
      <protection locked="1" hidden="1"/>
    </xf>
    <xf numFmtId="0" fontId="278" fillId="0" borderId="0" applyProtection="1" pivotButton="0" quotePrefix="0" xfId="0">
      <protection locked="1" hidden="1"/>
    </xf>
    <xf numFmtId="0" fontId="280" fillId="0" borderId="0" applyProtection="1" pivotButton="0" quotePrefix="0" xfId="0">
      <protection locked="1" hidden="1"/>
    </xf>
    <xf numFmtId="0" fontId="282" fillId="0" borderId="0" applyProtection="1" pivotButton="0" quotePrefix="0" xfId="0">
      <protection locked="1" hidden="1"/>
    </xf>
    <xf numFmtId="0" fontId="284" fillId="0" borderId="0" applyProtection="1" pivotButton="0" quotePrefix="0" xfId="0">
      <protection locked="1" hidden="1"/>
    </xf>
    <xf numFmtId="0" fontId="286" fillId="0" borderId="0" applyProtection="1" pivotButton="0" quotePrefix="0" xfId="0">
      <protection locked="1" hidden="1"/>
    </xf>
    <xf numFmtId="0" fontId="288" fillId="0" borderId="0" applyProtection="1" pivotButton="0" quotePrefix="0" xfId="0">
      <protection locked="1" hidden="1"/>
    </xf>
    <xf numFmtId="0" fontId="290" fillId="0" borderId="0" applyProtection="1" pivotButton="0" quotePrefix="0" xfId="0">
      <protection locked="1" hidden="1"/>
    </xf>
    <xf numFmtId="0" fontId="292" fillId="0" borderId="0" applyProtection="1" pivotButton="0" quotePrefix="0" xfId="0">
      <protection locked="1" hidden="1"/>
    </xf>
    <xf numFmtId="0" fontId="294" fillId="0" borderId="0" applyProtection="1" pivotButton="0" quotePrefix="0" xfId="0">
      <protection locked="1" hidden="1"/>
    </xf>
    <xf numFmtId="0" fontId="296" fillId="0" borderId="0" applyProtection="1" pivotButton="0" quotePrefix="0" xfId="0">
      <protection locked="1" hidden="1"/>
    </xf>
    <xf numFmtId="0" fontId="298" fillId="0" borderId="0" applyProtection="1" pivotButton="0" quotePrefix="0" xfId="0">
      <protection locked="1" hidden="1"/>
    </xf>
    <xf numFmtId="0" fontId="300" fillId="0" borderId="0" applyProtection="1" pivotButton="0" quotePrefix="0" xfId="0">
      <protection locked="1" hidden="1"/>
    </xf>
    <xf numFmtId="0" fontId="302" fillId="0" borderId="0" applyProtection="1" pivotButton="0" quotePrefix="0" xfId="0">
      <protection locked="1" hidden="1"/>
    </xf>
    <xf numFmtId="0" fontId="304" fillId="0" borderId="0" applyProtection="1" pivotButton="0" quotePrefix="0" xfId="0">
      <protection locked="1" hidden="1"/>
    </xf>
    <xf numFmtId="0" fontId="306" fillId="0" borderId="0" applyProtection="1" pivotButton="0" quotePrefix="0" xfId="0">
      <protection locked="1" hidden="1"/>
    </xf>
    <xf numFmtId="0" fontId="308" fillId="0" borderId="0" applyProtection="1" pivotButton="0" quotePrefix="0" xfId="0">
      <protection locked="1" hidden="1"/>
    </xf>
    <xf numFmtId="0" fontId="310" fillId="0" borderId="0" applyProtection="1" pivotButton="0" quotePrefix="0" xfId="0">
      <protection locked="1" hidden="1"/>
    </xf>
    <xf numFmtId="0" fontId="312" fillId="0" borderId="0" applyProtection="1" pivotButton="0" quotePrefix="0" xfId="0">
      <protection locked="1" hidden="1"/>
    </xf>
    <xf numFmtId="0" fontId="314" fillId="0" borderId="0" applyProtection="1" pivotButton="0" quotePrefix="0" xfId="0">
      <protection locked="1" hidden="1"/>
    </xf>
    <xf numFmtId="0" fontId="316" fillId="0" borderId="0" applyProtection="1" pivotButton="0" quotePrefix="0" xfId="0">
      <protection locked="1" hidden="1"/>
    </xf>
    <xf numFmtId="0" fontId="318" fillId="0" borderId="0" applyProtection="1" pivotButton="0" quotePrefix="0" xfId="0">
      <protection locked="1" hidden="1"/>
    </xf>
    <xf numFmtId="0" fontId="320" fillId="0" borderId="0" applyProtection="1" pivotButton="0" quotePrefix="0" xfId="0">
      <protection locked="1" hidden="1"/>
    </xf>
    <xf numFmtId="0" fontId="322" fillId="0" borderId="0" applyProtection="1" pivotButton="0" quotePrefix="0" xfId="0">
      <protection locked="1" hidden="1"/>
    </xf>
    <xf numFmtId="0" fontId="324" fillId="0" borderId="0" applyProtection="1" pivotButton="0" quotePrefix="0" xfId="0">
      <protection locked="1" hidden="1"/>
    </xf>
    <xf numFmtId="0" fontId="326" fillId="0" borderId="0" applyProtection="1" pivotButton="0" quotePrefix="0" xfId="0">
      <protection locked="1" hidden="1"/>
    </xf>
    <xf numFmtId="0" fontId="328" fillId="0" borderId="0" applyProtection="1" pivotButton="0" quotePrefix="0" xfId="0">
      <protection locked="1" hidden="1"/>
    </xf>
    <xf numFmtId="0" fontId="330" fillId="0" borderId="0" applyProtection="1" pivotButton="0" quotePrefix="0" xfId="0">
      <protection locked="1" hidden="1"/>
    </xf>
    <xf numFmtId="0" fontId="332" fillId="0" borderId="0" applyProtection="1" pivotButton="0" quotePrefix="0" xfId="0">
      <protection locked="1" hidden="1"/>
    </xf>
    <xf numFmtId="0" fontId="334" fillId="0" borderId="0" applyProtection="1" pivotButton="0" quotePrefix="0" xfId="0">
      <protection locked="1" hidden="1"/>
    </xf>
    <xf numFmtId="0" fontId="336" fillId="0" borderId="0" applyProtection="1" pivotButton="0" quotePrefix="0" xfId="0">
      <protection locked="1" hidden="1"/>
    </xf>
    <xf numFmtId="0" fontId="338" fillId="0" borderId="0" applyProtection="1" pivotButton="0" quotePrefix="0" xfId="0">
      <protection locked="1" hidden="1"/>
    </xf>
    <xf numFmtId="0" fontId="340" fillId="0" borderId="0" applyProtection="1" pivotButton="0" quotePrefix="0" xfId="0">
      <protection locked="1" hidden="1"/>
    </xf>
    <xf numFmtId="0" fontId="342" fillId="0" borderId="0" applyProtection="1" pivotButton="0" quotePrefix="0" xfId="0">
      <protection locked="1" hidden="1"/>
    </xf>
    <xf numFmtId="0" fontId="344" fillId="0" borderId="0" applyProtection="1" pivotButton="0" quotePrefix="0" xfId="0">
      <protection locked="1" hidden="1"/>
    </xf>
    <xf numFmtId="0" fontId="346" fillId="0" borderId="0" applyProtection="1" pivotButton="0" quotePrefix="0" xfId="0">
      <protection locked="1" hidden="1"/>
    </xf>
    <xf numFmtId="0" fontId="348" fillId="0" borderId="0" applyProtection="1" pivotButton="0" quotePrefix="0" xfId="0">
      <protection locked="1" hidden="1"/>
    </xf>
    <xf numFmtId="0" fontId="350" fillId="0" borderId="0" applyProtection="1" pivotButton="0" quotePrefix="0" xfId="0">
      <protection locked="1" hidden="1"/>
    </xf>
    <xf numFmtId="0" fontId="352" fillId="0" borderId="0" applyProtection="1" pivotButton="0" quotePrefix="0" xfId="0">
      <protection locked="1" hidden="1"/>
    </xf>
    <xf numFmtId="0" fontId="354" fillId="0" borderId="0" applyProtection="1" pivotButton="0" quotePrefix="0" xfId="0">
      <protection locked="1" hidden="1"/>
    </xf>
    <xf numFmtId="0" fontId="356" fillId="0" borderId="0" applyProtection="1" pivotButton="0" quotePrefix="0" xfId="0">
      <protection locked="1" hidden="1"/>
    </xf>
    <xf numFmtId="0" fontId="358" fillId="0" borderId="0" applyProtection="1" pivotButton="0" quotePrefix="0" xfId="0">
      <protection locked="1" hidden="1"/>
    </xf>
    <xf numFmtId="0" fontId="360" fillId="0" borderId="0" applyProtection="1" pivotButton="0" quotePrefix="0" xfId="0">
      <protection locked="1" hidden="1"/>
    </xf>
    <xf numFmtId="0" fontId="362" fillId="0" borderId="0" applyProtection="1" pivotButton="0" quotePrefix="0" xfId="0">
      <protection locked="1" hidden="1"/>
    </xf>
    <xf numFmtId="0" fontId="364" fillId="0" borderId="0" applyProtection="1" pivotButton="0" quotePrefix="0" xfId="0">
      <protection locked="1" hidden="1"/>
    </xf>
    <xf numFmtId="0" fontId="366" fillId="0" borderId="0" applyProtection="1" pivotButton="0" quotePrefix="0" xfId="0">
      <protection locked="1" hidden="1"/>
    </xf>
    <xf numFmtId="0" fontId="368" fillId="0" borderId="0" applyProtection="1" pivotButton="0" quotePrefix="0" xfId="0">
      <protection locked="1" hidden="1"/>
    </xf>
    <xf numFmtId="0" fontId="370" fillId="0" borderId="0" applyProtection="1" pivotButton="0" quotePrefix="0" xfId="0">
      <protection locked="1" hidden="1"/>
    </xf>
    <xf numFmtId="0" fontId="372" fillId="0" borderId="0" applyProtection="1" pivotButton="0" quotePrefix="0" xfId="0">
      <protection locked="1" hidden="1"/>
    </xf>
    <xf numFmtId="0" fontId="374" fillId="0" borderId="0" applyProtection="1" pivotButton="0" quotePrefix="0" xfId="0">
      <protection locked="1" hidden="1"/>
    </xf>
    <xf numFmtId="0" fontId="376" fillId="0" borderId="0" applyProtection="1" pivotButton="0" quotePrefix="0" xfId="0">
      <protection locked="1" hidden="1"/>
    </xf>
    <xf numFmtId="0" fontId="378" fillId="0" borderId="0" applyProtection="1" pivotButton="0" quotePrefix="0" xfId="0">
      <protection locked="1" hidden="1"/>
    </xf>
    <xf numFmtId="0" fontId="380" fillId="0" borderId="0" applyProtection="1" pivotButton="0" quotePrefix="0" xfId="0">
      <protection locked="1" hidden="1"/>
    </xf>
    <xf numFmtId="0" fontId="382" fillId="0" borderId="0" applyProtection="1" pivotButton="0" quotePrefix="0" xfId="0">
      <protection locked="1" hidden="1"/>
    </xf>
    <xf numFmtId="0" fontId="384" fillId="0" borderId="0" applyProtection="1" pivotButton="0" quotePrefix="0" xfId="0">
      <protection locked="1" hidden="1"/>
    </xf>
    <xf numFmtId="0" fontId="386" fillId="0" borderId="0" applyProtection="1" pivotButton="0" quotePrefix="0" xfId="0">
      <protection locked="1" hidden="1"/>
    </xf>
    <xf numFmtId="0" fontId="388" fillId="0" borderId="0" applyProtection="1" pivotButton="0" quotePrefix="0" xfId="0">
      <protection locked="1" hidden="1"/>
    </xf>
    <xf numFmtId="0" fontId="390" fillId="0" borderId="0" applyProtection="1" pivotButton="0" quotePrefix="0" xfId="0">
      <protection locked="1" hidden="1"/>
    </xf>
    <xf numFmtId="0" fontId="392" fillId="0" borderId="0" applyProtection="1" pivotButton="0" quotePrefix="0" xfId="0">
      <protection locked="1" hidden="1"/>
    </xf>
    <xf numFmtId="0" fontId="394" fillId="0" borderId="0" applyProtection="1" pivotButton="0" quotePrefix="0" xfId="0">
      <protection locked="1" hidden="1"/>
    </xf>
    <xf numFmtId="0" fontId="396" fillId="0" borderId="0" applyProtection="1" pivotButton="0" quotePrefix="0" xfId="0">
      <protection locked="1" hidden="1"/>
    </xf>
    <xf numFmtId="0" fontId="398" fillId="0" borderId="0" applyProtection="1" pivotButton="0" quotePrefix="0" xfId="0">
      <protection locked="1" hidden="1"/>
    </xf>
    <xf numFmtId="0" fontId="400" fillId="0" borderId="0" applyProtection="1" pivotButton="0" quotePrefix="0" xfId="0">
      <protection locked="1" hidden="1"/>
    </xf>
    <xf numFmtId="0" fontId="402" fillId="0" borderId="0" applyProtection="1" pivotButton="0" quotePrefix="0" xfId="0">
      <protection locked="1" hidden="1"/>
    </xf>
    <xf numFmtId="0" fontId="404" fillId="0" borderId="0" applyProtection="1" pivotButton="0" quotePrefix="0" xfId="0">
      <protection locked="1" hidden="1"/>
    </xf>
    <xf numFmtId="0" fontId="406" fillId="0" borderId="0" applyProtection="1" pivotButton="0" quotePrefix="0" xfId="0">
      <protection locked="1" hidden="1"/>
    </xf>
    <xf numFmtId="0" fontId="408" fillId="0" borderId="0" applyProtection="1" pivotButton="0" quotePrefix="0" xfId="0">
      <protection locked="1" hidden="1"/>
    </xf>
    <xf numFmtId="0" fontId="410" fillId="0" borderId="0" applyProtection="1" pivotButton="0" quotePrefix="0" xfId="0">
      <protection locked="1" hidden="1"/>
    </xf>
    <xf numFmtId="0" fontId="412" fillId="0" borderId="0" applyProtection="1" pivotButton="0" quotePrefix="0" xfId="0">
      <protection locked="1" hidden="1"/>
    </xf>
    <xf numFmtId="0" fontId="414" fillId="0" borderId="0" applyProtection="1" pivotButton="0" quotePrefix="0" xfId="0">
      <protection locked="1" hidden="1"/>
    </xf>
    <xf numFmtId="0" fontId="416" fillId="0" borderId="0" applyProtection="1" pivotButton="0" quotePrefix="0" xfId="0">
      <protection locked="1" hidden="1"/>
    </xf>
    <xf numFmtId="0" fontId="418" fillId="0" borderId="0" applyProtection="1" pivotButton="0" quotePrefix="0" xfId="0">
      <protection locked="1" hidden="1"/>
    </xf>
    <xf numFmtId="0" fontId="420" fillId="0" borderId="0" applyProtection="1" pivotButton="0" quotePrefix="0" xfId="0">
      <protection locked="1" hidden="1"/>
    </xf>
    <xf numFmtId="0" fontId="422" fillId="0" borderId="0" applyProtection="1" pivotButton="0" quotePrefix="0" xfId="0">
      <protection locked="1" hidden="1"/>
    </xf>
    <xf numFmtId="0" fontId="424" fillId="0" borderId="0" applyProtection="1" pivotButton="0" quotePrefix="0" xfId="0">
      <protection locked="1" hidden="1"/>
    </xf>
    <xf numFmtId="0" fontId="426" fillId="0" borderId="0" applyProtection="1" pivotButton="0" quotePrefix="0" xfId="0">
      <protection locked="1" hidden="1"/>
    </xf>
    <xf numFmtId="0" fontId="428" fillId="0" borderId="0" applyProtection="1" pivotButton="0" quotePrefix="0" xfId="0">
      <protection locked="1" hidden="1"/>
    </xf>
    <xf numFmtId="0" fontId="430" fillId="0" borderId="0" applyProtection="1" pivotButton="0" quotePrefix="0" xfId="0">
      <protection locked="1" hidden="1"/>
    </xf>
    <xf numFmtId="0" fontId="432" fillId="0" borderId="0" applyProtection="1" pivotButton="0" quotePrefix="0" xfId="0">
      <protection locked="1" hidden="1"/>
    </xf>
    <xf numFmtId="0" fontId="434" fillId="0" borderId="0" applyProtection="1" pivotButton="0" quotePrefix="0" xfId="0">
      <protection locked="1" hidden="1"/>
    </xf>
    <xf numFmtId="0" fontId="436" fillId="0" borderId="0" applyProtection="1" pivotButton="0" quotePrefix="0" xfId="0">
      <protection locked="1" hidden="1"/>
    </xf>
    <xf numFmtId="0" fontId="438" fillId="0" borderId="0" applyProtection="1" pivotButton="0" quotePrefix="0" xfId="0">
      <protection locked="1" hidden="1"/>
    </xf>
    <xf numFmtId="0" fontId="440" fillId="0" borderId="0" applyProtection="1" pivotButton="0" quotePrefix="0" xfId="0">
      <protection locked="1" hidden="1"/>
    </xf>
    <xf numFmtId="0" fontId="442" fillId="0" borderId="0" applyProtection="1" pivotButton="0" quotePrefix="0" xfId="0">
      <protection locked="1" hidden="1"/>
    </xf>
    <xf numFmtId="0" fontId="444" fillId="0" borderId="0" applyProtection="1" pivotButton="0" quotePrefix="0" xfId="0">
      <protection locked="1" hidden="1"/>
    </xf>
    <xf numFmtId="0" fontId="446" fillId="0" borderId="0" applyProtection="1" pivotButton="0" quotePrefix="0" xfId="0">
      <protection locked="1" hidden="1"/>
    </xf>
    <xf numFmtId="0" fontId="448" fillId="0" borderId="0" applyProtection="1" pivotButton="0" quotePrefix="0" xfId="0">
      <protection locked="1" hidden="1"/>
    </xf>
    <xf numFmtId="0" fontId="450" fillId="0" borderId="0" applyProtection="1" pivotButton="0" quotePrefix="0" xfId="0">
      <protection locked="1" hidden="1"/>
    </xf>
    <xf numFmtId="0" fontId="452" fillId="0" borderId="0" applyProtection="1" pivotButton="0" quotePrefix="0" xfId="0">
      <protection locked="1" hidden="1"/>
    </xf>
    <xf numFmtId="0" fontId="454" fillId="0" borderId="0" applyProtection="1" pivotButton="0" quotePrefix="0" xfId="0">
      <protection locked="1" hidden="1"/>
    </xf>
    <xf numFmtId="0" fontId="456" fillId="0" borderId="0" applyProtection="1" pivotButton="0" quotePrefix="0" xfId="0">
      <protection locked="1" hidden="1"/>
    </xf>
    <xf numFmtId="0" fontId="458" fillId="0" borderId="0" applyProtection="1" pivotButton="0" quotePrefix="0" xfId="0">
      <protection locked="1" hidden="1"/>
    </xf>
    <xf numFmtId="0" fontId="460" fillId="0" borderId="0" applyProtection="1" pivotButton="0" quotePrefix="0" xfId="0">
      <protection locked="1" hidden="1"/>
    </xf>
    <xf numFmtId="0" fontId="462" fillId="0" borderId="0" applyProtection="1" pivotButton="0" quotePrefix="0" xfId="0">
      <protection locked="1" hidden="1"/>
    </xf>
    <xf numFmtId="0" fontId="464" fillId="0" borderId="0" applyProtection="1" pivotButton="0" quotePrefix="0" xfId="0">
      <protection locked="1" hidden="1"/>
    </xf>
    <xf numFmtId="0" fontId="466" fillId="0" borderId="0" applyProtection="1" pivotButton="0" quotePrefix="0" xfId="0">
      <protection locked="1" hidden="1"/>
    </xf>
    <xf numFmtId="0" fontId="468" fillId="0" borderId="0" applyProtection="1" pivotButton="0" quotePrefix="0" xfId="0">
      <protection locked="1" hidden="1"/>
    </xf>
    <xf numFmtId="0" fontId="470" fillId="0" borderId="0" applyProtection="1" pivotButton="0" quotePrefix="0" xfId="0">
      <protection locked="1" hidden="1"/>
    </xf>
    <xf numFmtId="0" fontId="472" fillId="0" borderId="0" applyProtection="1" pivotButton="0" quotePrefix="0" xfId="0">
      <protection locked="1" hidden="1"/>
    </xf>
    <xf numFmtId="0" fontId="474" fillId="0" borderId="0" applyProtection="1" pivotButton="0" quotePrefix="0" xfId="0">
      <protection locked="1" hidden="1"/>
    </xf>
    <xf numFmtId="0" fontId="476" fillId="0" borderId="0" applyProtection="1" pivotButton="0" quotePrefix="0" xfId="0">
      <protection locked="1" hidden="1"/>
    </xf>
    <xf numFmtId="0" fontId="478" fillId="0" borderId="0" applyProtection="1" pivotButton="0" quotePrefix="0" xfId="0">
      <protection locked="1" hidden="1"/>
    </xf>
    <xf numFmtId="0" fontId="480" fillId="0" borderId="0" applyProtection="1" pivotButton="0" quotePrefix="0" xfId="0">
      <protection locked="1" hidden="1"/>
    </xf>
    <xf numFmtId="0" fontId="482" fillId="0" borderId="0" applyProtection="1" pivotButton="0" quotePrefix="0" xfId="0">
      <protection locked="1" hidden="1"/>
    </xf>
    <xf numFmtId="0" fontId="484" fillId="0" borderId="0" applyProtection="1" pivotButton="0" quotePrefix="0" xfId="0">
      <protection locked="1" hidden="1"/>
    </xf>
    <xf numFmtId="0" fontId="486" fillId="0" borderId="0" applyProtection="1" pivotButton="0" quotePrefix="0" xfId="0">
      <protection locked="1" hidden="1"/>
    </xf>
    <xf numFmtId="0" fontId="488" fillId="0" borderId="0" applyProtection="1" pivotButton="0" quotePrefix="0" xfId="0">
      <protection locked="1" hidden="1"/>
    </xf>
    <xf numFmtId="0" fontId="490" fillId="0" borderId="0" applyProtection="1" pivotButton="0" quotePrefix="0" xfId="0">
      <protection locked="1" hidden="1"/>
    </xf>
    <xf numFmtId="0" fontId="492" fillId="0" borderId="0" applyProtection="1" pivotButton="0" quotePrefix="0" xfId="0">
      <protection locked="1" hidden="1"/>
    </xf>
    <xf numFmtId="0" fontId="494" fillId="0" borderId="0" applyProtection="1" pivotButton="0" quotePrefix="0" xfId="0">
      <protection locked="1" hidden="1"/>
    </xf>
    <xf numFmtId="0" fontId="496" fillId="0" borderId="0" applyProtection="1" pivotButton="0" quotePrefix="0" xfId="0">
      <protection locked="1" hidden="1"/>
    </xf>
    <xf numFmtId="0" fontId="498" fillId="0" borderId="0" applyProtection="1" pivotButton="0" quotePrefix="0" xfId="0">
      <protection locked="1" hidden="1"/>
    </xf>
    <xf numFmtId="0" fontId="500" fillId="0" borderId="0" applyProtection="1" pivotButton="0" quotePrefix="0" xfId="0">
      <protection locked="1" hidden="1"/>
    </xf>
    <xf numFmtId="0" fontId="502" fillId="0" borderId="0" applyProtection="1" pivotButton="0" quotePrefix="0" xfId="0">
      <protection locked="1" hidden="1"/>
    </xf>
    <xf numFmtId="0" fontId="504" fillId="0" borderId="0" applyProtection="1" pivotButton="0" quotePrefix="0" xfId="0">
      <protection locked="1" hidden="1"/>
    </xf>
    <xf numFmtId="0" fontId="506" fillId="0" borderId="0" applyProtection="1" pivotButton="0" quotePrefix="0" xfId="0">
      <protection locked="1" hidden="1"/>
    </xf>
    <xf numFmtId="0" fontId="508" fillId="0" borderId="0" applyProtection="1" pivotButton="0" quotePrefix="0" xfId="0">
      <protection locked="1" hidden="1"/>
    </xf>
    <xf numFmtId="0" fontId="510" fillId="0" borderId="0" applyProtection="1" pivotButton="0" quotePrefix="0" xfId="0">
      <protection locked="1" hidden="1"/>
    </xf>
    <xf numFmtId="0" fontId="512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507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2" fillId="0" borderId="43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3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8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AC433"/>
  <sheetViews>
    <sheetView showGridLines="0" tabSelected="1" zoomScaleNormal="100" zoomScaleSheetLayoutView="100" workbookViewId="0">
      <selection activeCell="D6" sqref="D6:K6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9.42578125" customWidth="1" style="5" min="11" max="11"/>
    <col width="10.42578125" customWidth="1" style="4" min="12" max="12"/>
    <col width="7.42578125" customWidth="1" style="2" min="13" max="13"/>
    <col width="15.5703125" customWidth="1" style="2" min="14" max="14"/>
    <col width="8.140625" customWidth="1" style="1" min="15" max="15"/>
    <col width="6.140625" customWidth="1" style="1" min="16" max="16"/>
    <col width="10.85546875" customWidth="1" style="3" min="17" max="17"/>
    <col width="10.42578125" customWidth="1" style="3" min="18" max="18"/>
    <col width="9.42578125" customWidth="1" style="3" min="19" max="19"/>
    <col width="8.42578125" customWidth="1" style="3" min="20" max="20"/>
    <col width="10" customWidth="1" style="1" min="21" max="21"/>
    <col width="11" customWidth="1" style="1" min="22" max="22"/>
    <col width="10" customWidth="1" style="1" min="23" max="23"/>
    <col width="11.5703125" customWidth="1" style="1" min="24" max="24"/>
    <col width="10.42578125" customWidth="1" style="1" min="25" max="25"/>
    <col width="11.42578125" bestFit="1" customWidth="1" style="61" min="26" max="26"/>
    <col width="9.140625" customWidth="1" style="61" min="27" max="27"/>
    <col width="8.85546875" customWidth="1" style="61" min="28" max="28"/>
    <col width="13.5703125" customWidth="1" style="1" min="29" max="29"/>
    <col width="9.140625" customWidth="1" style="1" min="30" max="16384"/>
  </cols>
  <sheetData>
    <row r="1" ht="45" customFormat="1" customHeight="1" s="571">
      <c r="A1" s="48" t="n"/>
      <c r="B1" s="48" t="n"/>
      <c r="C1" s="48" t="n"/>
      <c r="D1" s="590" t="inlineStr">
        <is>
          <t xml:space="preserve">  БЛАНК ЗАКАЗА </t>
        </is>
      </c>
      <c r="G1" s="14" t="inlineStr">
        <is>
          <t>КИ</t>
        </is>
      </c>
      <c r="H1" s="590" t="inlineStr">
        <is>
          <t>на отгрузку продукции с ООО Трейд-Сервис с</t>
        </is>
      </c>
      <c r="O1" s="591" t="inlineStr">
        <is>
          <t>17.07.2023</t>
        </is>
      </c>
      <c r="R1" s="15" t="n"/>
      <c r="S1" s="15" t="n"/>
      <c r="T1" s="15" t="n"/>
      <c r="U1" s="15" t="n"/>
      <c r="V1" s="15" t="n"/>
      <c r="W1" s="15" t="n"/>
      <c r="X1" s="15" t="n"/>
      <c r="Y1" s="62" t="n"/>
      <c r="Z1" s="62" t="n"/>
      <c r="AA1" s="62" t="n"/>
      <c r="AB1" s="62" t="n"/>
    </row>
    <row r="2" ht="16.5" customFormat="1" customHeight="1" s="571">
      <c r="A2" s="34" t="inlineStr">
        <is>
          <t>бланк создан</t>
        </is>
      </c>
      <c r="B2" s="35" t="inlineStr">
        <is>
          <t>13.07.2023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593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" t="n"/>
      <c r="O2" s="1" t="n"/>
      <c r="P2" s="1" t="n"/>
      <c r="Q2" s="1" t="n"/>
      <c r="R2" s="1" t="n"/>
      <c r="S2" s="1" t="n"/>
      <c r="T2" s="1" t="n"/>
      <c r="U2" s="19" t="n"/>
      <c r="V2" s="19" t="n"/>
      <c r="W2" s="19" t="n"/>
      <c r="X2" s="19" t="n"/>
      <c r="Y2" s="60" t="n"/>
      <c r="Z2" s="60" t="n"/>
      <c r="AA2" s="60" t="n"/>
    </row>
    <row r="3" ht="11.25" customFormat="1" customHeight="1" s="571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18" t="n"/>
      <c r="L3" s="18" t="n"/>
      <c r="M3" s="1" t="n"/>
      <c r="N3" s="1" t="n"/>
      <c r="O3" s="1" t="n"/>
      <c r="P3" s="1" t="n"/>
      <c r="Q3" s="1" t="n"/>
      <c r="R3" s="1" t="n"/>
      <c r="S3" s="1" t="n"/>
      <c r="T3" s="1" t="n"/>
      <c r="U3" s="19" t="n"/>
      <c r="V3" s="19" t="n"/>
      <c r="W3" s="19" t="n"/>
      <c r="X3" s="19" t="n"/>
      <c r="Y3" s="60" t="n"/>
      <c r="Z3" s="60" t="n"/>
      <c r="AA3" s="60" t="n"/>
    </row>
    <row r="4" ht="9" customFormat="1" customHeight="1" s="571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3" t="n"/>
      <c r="O4" s="23" t="n"/>
      <c r="P4" s="23" t="n"/>
      <c r="Q4" s="23" t="n"/>
      <c r="R4" s="23" t="n"/>
      <c r="S4" s="24" t="n"/>
      <c r="T4" s="25" t="n"/>
      <c r="U4" s="25" t="n"/>
      <c r="V4" s="25" t="n"/>
      <c r="W4" s="25" t="n"/>
      <c r="X4" s="25" t="n"/>
      <c r="Y4" s="60" t="n"/>
      <c r="Z4" s="60" t="n"/>
      <c r="AA4" s="60" t="n"/>
    </row>
    <row r="5" ht="23.45" customFormat="1" customHeight="1" s="571">
      <c r="A5" s="572" t="inlineStr">
        <is>
          <t xml:space="preserve">Ваш контактный телефон и имя: </t>
        </is>
      </c>
      <c r="B5" s="600" t="n"/>
      <c r="C5" s="601" t="n"/>
      <c r="D5" s="594" t="n"/>
      <c r="E5" s="602" t="n"/>
      <c r="F5" s="595" t="inlineStr">
        <is>
          <t>Комментарий к заказу:</t>
        </is>
      </c>
      <c r="G5" s="601" t="n"/>
      <c r="H5" s="594" t="n"/>
      <c r="I5" s="603" t="n"/>
      <c r="J5" s="603" t="n"/>
      <c r="K5" s="602" t="n"/>
      <c r="M5" s="29" t="inlineStr">
        <is>
          <t>Дата загрузки</t>
        </is>
      </c>
      <c r="N5" s="604" t="n">
        <v>45123</v>
      </c>
      <c r="O5" s="605" t="n"/>
      <c r="Q5" s="597" t="inlineStr">
        <is>
          <t>Способ доставки (доставка/самовывоз)</t>
        </is>
      </c>
      <c r="R5" s="606" t="n"/>
      <c r="S5" s="607" t="inlineStr">
        <is>
          <t>Самовывоз</t>
        </is>
      </c>
      <c r="T5" s="605" t="n"/>
      <c r="Y5" s="60" t="n"/>
      <c r="Z5" s="60" t="n"/>
      <c r="AA5" s="60" t="n"/>
    </row>
    <row r="6" ht="24" customFormat="1" customHeight="1" s="571">
      <c r="A6" s="572" t="inlineStr">
        <is>
          <t>Адрес доставки:</t>
        </is>
      </c>
      <c r="B6" s="600" t="n"/>
      <c r="C6" s="601" t="n"/>
      <c r="D6" s="573" t="inlineStr">
        <is>
          <t>ЛП, ООО, Краснодарский край, Сочи г, Строительный пер, д. 10А,</t>
        </is>
      </c>
      <c r="E6" s="608" t="n"/>
      <c r="F6" s="608" t="n"/>
      <c r="G6" s="608" t="n"/>
      <c r="H6" s="608" t="n"/>
      <c r="I6" s="608" t="n"/>
      <c r="J6" s="608" t="n"/>
      <c r="K6" s="605" t="n"/>
      <c r="M6" s="29" t="inlineStr">
        <is>
          <t>День недели</t>
        </is>
      </c>
      <c r="N6" s="574">
        <f>IF(N5=0," ",CHOOSE(WEEKDAY(N5,2),"Понедельник","Вторник","Среда","Четверг","Пятница","Суббота","Воскресенье"))</f>
        <v/>
      </c>
      <c r="O6" s="609" t="n"/>
      <c r="Q6" s="576" t="inlineStr">
        <is>
          <t>Наименование клиента</t>
        </is>
      </c>
      <c r="R6" s="606" t="n"/>
      <c r="S6" s="610" t="inlineStr">
        <is>
          <t>ОБЩЕСТВО С ОГРАНИЧЕННОЙ ОТВЕТСТВЕННОСТЬЮ "ЛОГИСТИЧЕСКИЙ ПАРТНЕР"</t>
        </is>
      </c>
      <c r="T6" s="611" t="n"/>
      <c r="Y6" s="60" t="n"/>
      <c r="Z6" s="60" t="n"/>
      <c r="AA6" s="60" t="n"/>
    </row>
    <row r="7" hidden="1" ht="21.75" customFormat="1" customHeight="1" s="571">
      <c r="A7" s="65" t="n"/>
      <c r="B7" s="65" t="n"/>
      <c r="C7" s="65" t="n"/>
      <c r="D7" s="612">
        <f>IFERROR(VLOOKUP(DeliveryAddress,Table,3,0),1)</f>
        <v/>
      </c>
      <c r="E7" s="613" t="n"/>
      <c r="F7" s="613" t="n"/>
      <c r="G7" s="613" t="n"/>
      <c r="H7" s="613" t="n"/>
      <c r="I7" s="613" t="n"/>
      <c r="J7" s="613" t="n"/>
      <c r="K7" s="614" t="n"/>
      <c r="M7" s="29" t="n"/>
      <c r="N7" s="49" t="n"/>
      <c r="O7" s="49" t="n"/>
      <c r="Q7" s="1" t="n"/>
      <c r="R7" s="606" t="n"/>
      <c r="S7" s="615" t="n"/>
      <c r="T7" s="616" t="n"/>
      <c r="Y7" s="60" t="n"/>
      <c r="Z7" s="60" t="n"/>
      <c r="AA7" s="60" t="n"/>
    </row>
    <row r="8" ht="25.5" customFormat="1" customHeight="1" s="571">
      <c r="A8" s="586" t="inlineStr">
        <is>
          <t>Адрес сдачи груза:</t>
        </is>
      </c>
      <c r="B8" s="617" t="n"/>
      <c r="C8" s="618" t="n"/>
      <c r="D8" s="587" t="n"/>
      <c r="E8" s="619" t="n"/>
      <c r="F8" s="619" t="n"/>
      <c r="G8" s="619" t="n"/>
      <c r="H8" s="619" t="n"/>
      <c r="I8" s="619" t="n"/>
      <c r="J8" s="619" t="n"/>
      <c r="K8" s="620" t="n"/>
      <c r="M8" s="29" t="inlineStr">
        <is>
          <t>Время загрузки</t>
        </is>
      </c>
      <c r="N8" s="567" t="n">
        <v>0.3333333333333333</v>
      </c>
      <c r="O8" s="605" t="n"/>
      <c r="Q8" s="1" t="n"/>
      <c r="R8" s="606" t="n"/>
      <c r="S8" s="615" t="n"/>
      <c r="T8" s="616" t="n"/>
      <c r="Y8" s="60" t="n"/>
      <c r="Z8" s="60" t="n"/>
      <c r="AA8" s="60" t="n"/>
    </row>
    <row r="9" ht="39.95" customFormat="1" customHeight="1" s="571">
      <c r="A9" s="563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564" t="inlineStr"/>
      <c r="E9" s="3" t="n"/>
      <c r="F9" s="563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588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588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M9" s="31" t="inlineStr">
        <is>
          <t>Дата доставки</t>
        </is>
      </c>
      <c r="N9" s="604" t="n"/>
      <c r="O9" s="605" t="n"/>
      <c r="Q9" s="1" t="n"/>
      <c r="R9" s="606" t="n"/>
      <c r="S9" s="621" t="n"/>
      <c r="T9" s="622" t="n"/>
      <c r="U9" s="50" t="n"/>
      <c r="V9" s="50" t="n"/>
      <c r="W9" s="50" t="n"/>
      <c r="X9" s="50" t="n"/>
      <c r="Y9" s="60" t="n"/>
      <c r="Z9" s="60" t="n"/>
      <c r="AA9" s="60" t="n"/>
    </row>
    <row r="10" ht="26.45" customFormat="1" customHeight="1" s="571">
      <c r="A10" s="563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564" t="n"/>
      <c r="E10" s="3" t="n"/>
      <c r="F10" s="563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566">
        <f>IFERROR(VLOOKUP($D$10,Proxy,2,FALSE),"")</f>
        <v/>
      </c>
      <c r="I10" s="1" t="n"/>
      <c r="J10" s="1" t="n"/>
      <c r="K10" s="1" t="n"/>
      <c r="M10" s="31" t="inlineStr">
        <is>
          <t>Время доставки</t>
        </is>
      </c>
      <c r="N10" s="567" t="n"/>
      <c r="O10" s="605" t="n"/>
      <c r="R10" s="29" t="inlineStr">
        <is>
          <t>КОД Аксапты Клиента</t>
        </is>
      </c>
      <c r="S10" s="623" t="inlineStr">
        <is>
          <t>590704</t>
        </is>
      </c>
      <c r="T10" s="611" t="n"/>
      <c r="U10" s="51" t="n"/>
      <c r="V10" s="51" t="n"/>
      <c r="W10" s="51" t="n"/>
      <c r="X10" s="51" t="n"/>
      <c r="Y10" s="60" t="n"/>
      <c r="Z10" s="60" t="n"/>
      <c r="AA10" s="60" t="n"/>
    </row>
    <row r="11" ht="15.95" customFormat="1" customHeight="1" s="571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M11" s="31" t="inlineStr">
        <is>
          <t>Время доставки 2 машины</t>
        </is>
      </c>
      <c r="N11" s="567" t="n"/>
      <c r="O11" s="605" t="n"/>
      <c r="R11" s="29" t="inlineStr">
        <is>
          <t>Тип заказа</t>
        </is>
      </c>
      <c r="S11" s="555" t="inlineStr">
        <is>
          <t>Основной заказ</t>
        </is>
      </c>
      <c r="T11" s="624" t="n"/>
      <c r="U11" s="52" t="n"/>
      <c r="V11" s="52" t="n"/>
      <c r="W11" s="52" t="n"/>
      <c r="X11" s="52" t="n"/>
      <c r="Y11" s="60" t="n"/>
      <c r="Z11" s="60" t="n"/>
      <c r="AA11" s="60" t="n"/>
    </row>
    <row r="12" ht="18.6" customFormat="1" customHeight="1" s="571">
      <c r="A12" s="554" t="inlineStr">
        <is>
          <t>Телефоны для заказов: 8(919)002-63-01  E-mail: kolbasa@abiproduct.ru  Телефон сотрудников склада: 8 (910) 775-52-91</t>
        </is>
      </c>
      <c r="B12" s="600" t="n"/>
      <c r="C12" s="600" t="n"/>
      <c r="D12" s="600" t="n"/>
      <c r="E12" s="600" t="n"/>
      <c r="F12" s="600" t="n"/>
      <c r="G12" s="600" t="n"/>
      <c r="H12" s="600" t="n"/>
      <c r="I12" s="600" t="n"/>
      <c r="J12" s="600" t="n"/>
      <c r="K12" s="601" t="n"/>
      <c r="M12" s="29" t="inlineStr">
        <is>
          <t>Время доставки 3 машины</t>
        </is>
      </c>
      <c r="N12" s="570" t="n"/>
      <c r="O12" s="614" t="n"/>
      <c r="P12" s="28" t="n"/>
      <c r="R12" s="29" t="inlineStr"/>
      <c r="S12" s="571" t="n"/>
      <c r="T12" s="1" t="n"/>
      <c r="Y12" s="60" t="n"/>
      <c r="Z12" s="60" t="n"/>
      <c r="AA12" s="60" t="n"/>
    </row>
    <row r="13" ht="23.25" customFormat="1" customHeight="1" s="571">
      <c r="A13" s="554" t="inlineStr">
        <is>
          <t>График приема заказов: Заказы принимаются за ДВА дня до отгрузки Пн-Пт: с 9:00 до 14:00, Суб., Вс. - до 12:00</t>
        </is>
      </c>
      <c r="B13" s="600" t="n"/>
      <c r="C13" s="600" t="n"/>
      <c r="D13" s="600" t="n"/>
      <c r="E13" s="600" t="n"/>
      <c r="F13" s="600" t="n"/>
      <c r="G13" s="600" t="n"/>
      <c r="H13" s="600" t="n"/>
      <c r="I13" s="600" t="n"/>
      <c r="J13" s="600" t="n"/>
      <c r="K13" s="601" t="n"/>
      <c r="L13" s="31" t="n"/>
      <c r="M13" s="31" t="inlineStr">
        <is>
          <t>Время доставки 4 машины</t>
        </is>
      </c>
      <c r="N13" s="555" t="n"/>
      <c r="O13" s="624" t="n"/>
      <c r="P13" s="28" t="n"/>
      <c r="U13" s="57" t="n"/>
      <c r="V13" s="57" t="n"/>
      <c r="W13" s="57" t="n"/>
      <c r="X13" s="57" t="n"/>
      <c r="Y13" s="60" t="n"/>
      <c r="Z13" s="60" t="n"/>
      <c r="AA13" s="60" t="n"/>
    </row>
    <row r="14" ht="18.6" customFormat="1" customHeight="1" s="571">
      <c r="A14" s="554" t="inlineStr">
        <is>
          <t>Телефон менеджера по логистике: 8 (919) 012-30-55 - по вопросам доставки продукции</t>
        </is>
      </c>
      <c r="B14" s="600" t="n"/>
      <c r="C14" s="600" t="n"/>
      <c r="D14" s="600" t="n"/>
      <c r="E14" s="600" t="n"/>
      <c r="F14" s="600" t="n"/>
      <c r="G14" s="600" t="n"/>
      <c r="H14" s="600" t="n"/>
      <c r="I14" s="600" t="n"/>
      <c r="J14" s="600" t="n"/>
      <c r="K14" s="601" t="n"/>
      <c r="U14" s="58" t="n"/>
      <c r="V14" s="58" t="n"/>
      <c r="W14" s="58" t="n"/>
      <c r="X14" s="58" t="n"/>
      <c r="Y14" s="60" t="n"/>
      <c r="Z14" s="60" t="n"/>
      <c r="AA14" s="60" t="n"/>
    </row>
    <row r="15" ht="22.5" customFormat="1" customHeight="1" s="571">
      <c r="A15" s="556" t="inlineStr">
        <is>
          <t>Телефон по работе с претензиями/жалобами (WhatSapp): 8 (980) 757-69-93       E-mail: Claims@abiproduct.ru</t>
        </is>
      </c>
      <c r="B15" s="600" t="n"/>
      <c r="C15" s="600" t="n"/>
      <c r="D15" s="600" t="n"/>
      <c r="E15" s="600" t="n"/>
      <c r="F15" s="600" t="n"/>
      <c r="G15" s="600" t="n"/>
      <c r="H15" s="600" t="n"/>
      <c r="I15" s="600" t="n"/>
      <c r="J15" s="600" t="n"/>
      <c r="K15" s="601" t="n"/>
      <c r="M15" s="558" t="inlineStr">
        <is>
          <t>Кликните на продукт, чтобы просмотреть изображение</t>
        </is>
      </c>
      <c r="U15" s="571" t="n"/>
      <c r="V15" s="571" t="n"/>
      <c r="W15" s="571" t="n"/>
      <c r="X15" s="571" t="n"/>
      <c r="Y15" s="60" t="n"/>
      <c r="Z15" s="60" t="n"/>
      <c r="AA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625" t="n"/>
      <c r="N16" s="625" t="n"/>
      <c r="O16" s="625" t="n"/>
      <c r="P16" s="625" t="n"/>
      <c r="Q16" s="625" t="n"/>
      <c r="R16" s="8" t="n"/>
      <c r="S16" s="8" t="n"/>
      <c r="T16" s="10" t="n"/>
      <c r="U16" s="11" t="n"/>
      <c r="V16" s="11" t="n"/>
      <c r="W16" s="11" t="n"/>
      <c r="X16" s="11" t="n"/>
      <c r="Y16" s="11" t="n"/>
    </row>
    <row r="17" ht="27.75" customHeight="1">
      <c r="A17" s="543" t="inlineStr">
        <is>
          <t>Код единицы продаж</t>
        </is>
      </c>
      <c r="B17" s="543" t="inlineStr">
        <is>
          <t>Код продукта</t>
        </is>
      </c>
      <c r="C17" s="560" t="inlineStr">
        <is>
          <t>Номер варианта</t>
        </is>
      </c>
      <c r="D17" s="543" t="inlineStr">
        <is>
          <t xml:space="preserve">Штрих-код </t>
        </is>
      </c>
      <c r="E17" s="626" t="n"/>
      <c r="F17" s="543" t="inlineStr">
        <is>
          <t>Вес нетто штуки, кг</t>
        </is>
      </c>
      <c r="G17" s="543" t="inlineStr">
        <is>
          <t>Кол-во штук в коробе, шт</t>
        </is>
      </c>
      <c r="H17" s="543" t="inlineStr">
        <is>
          <t>Вес нетто короба, кг</t>
        </is>
      </c>
      <c r="I17" s="543" t="inlineStr">
        <is>
          <t>Вес брутто короба, кг</t>
        </is>
      </c>
      <c r="J17" s="543" t="inlineStr">
        <is>
          <t>Кол-во кор. на паллте, шт</t>
        </is>
      </c>
      <c r="K17" s="543" t="inlineStr">
        <is>
          <t>Завод</t>
        </is>
      </c>
      <c r="L17" s="543" t="inlineStr">
        <is>
          <t>Срок годности, сут.</t>
        </is>
      </c>
      <c r="M17" s="543" t="inlineStr">
        <is>
          <t>Наименование</t>
        </is>
      </c>
      <c r="N17" s="627" t="n"/>
      <c r="O17" s="627" t="n"/>
      <c r="P17" s="627" t="n"/>
      <c r="Q17" s="626" t="n"/>
      <c r="R17" s="559" t="inlineStr">
        <is>
          <t>Доступно к отгрузке</t>
        </is>
      </c>
      <c r="S17" s="601" t="n"/>
      <c r="T17" s="543" t="inlineStr">
        <is>
          <t>Ед. изм.</t>
        </is>
      </c>
      <c r="U17" s="543" t="inlineStr">
        <is>
          <t>Заказ</t>
        </is>
      </c>
      <c r="V17" s="544" t="inlineStr">
        <is>
          <t>Заказ с округлением до короба</t>
        </is>
      </c>
      <c r="W17" s="543" t="inlineStr">
        <is>
          <t>Объём заказа, м3</t>
        </is>
      </c>
      <c r="X17" s="546" t="inlineStr">
        <is>
          <t>Примечание по продуктку</t>
        </is>
      </c>
      <c r="Y17" s="546" t="inlineStr">
        <is>
          <t>Признак "НОВИНКА"</t>
        </is>
      </c>
      <c r="Z17" s="546" t="inlineStr">
        <is>
          <t>Для формул</t>
        </is>
      </c>
      <c r="AA17" s="628" t="n"/>
      <c r="AB17" s="629" t="n"/>
      <c r="AC17" s="553" t="inlineStr">
        <is>
          <t>Вид продукции</t>
        </is>
      </c>
    </row>
    <row r="18" ht="14.25" customHeight="1">
      <c r="A18" s="630" t="n"/>
      <c r="B18" s="630" t="n"/>
      <c r="C18" s="630" t="n"/>
      <c r="D18" s="631" t="n"/>
      <c r="E18" s="632" t="n"/>
      <c r="F18" s="630" t="n"/>
      <c r="G18" s="630" t="n"/>
      <c r="H18" s="630" t="n"/>
      <c r="I18" s="630" t="n"/>
      <c r="J18" s="630" t="n"/>
      <c r="K18" s="630" t="n"/>
      <c r="L18" s="630" t="n"/>
      <c r="M18" s="631" t="n"/>
      <c r="N18" s="633" t="n"/>
      <c r="O18" s="633" t="n"/>
      <c r="P18" s="633" t="n"/>
      <c r="Q18" s="632" t="n"/>
      <c r="R18" s="559" t="inlineStr">
        <is>
          <t>начиная с</t>
        </is>
      </c>
      <c r="S18" s="559" t="inlineStr">
        <is>
          <t>до</t>
        </is>
      </c>
      <c r="T18" s="630" t="n"/>
      <c r="U18" s="630" t="n"/>
      <c r="V18" s="634" t="n"/>
      <c r="W18" s="630" t="n"/>
      <c r="X18" s="635" t="n"/>
      <c r="Y18" s="635" t="n"/>
      <c r="Z18" s="636" t="n"/>
      <c r="AA18" s="637" t="n"/>
      <c r="AB18" s="638" t="n"/>
      <c r="AC18" s="639" t="n"/>
    </row>
    <row r="19" ht="27.75" customHeight="1">
      <c r="A19" s="323" t="inlineStr">
        <is>
          <t>Ядрена копоть</t>
        </is>
      </c>
      <c r="B19" s="640" t="n"/>
      <c r="C19" s="640" t="n"/>
      <c r="D19" s="640" t="n"/>
      <c r="E19" s="640" t="n"/>
      <c r="F19" s="640" t="n"/>
      <c r="G19" s="640" t="n"/>
      <c r="H19" s="640" t="n"/>
      <c r="I19" s="640" t="n"/>
      <c r="J19" s="640" t="n"/>
      <c r="K19" s="640" t="n"/>
      <c r="L19" s="640" t="n"/>
      <c r="M19" s="640" t="n"/>
      <c r="N19" s="640" t="n"/>
      <c r="O19" s="640" t="n"/>
      <c r="P19" s="640" t="n"/>
      <c r="Q19" s="640" t="n"/>
      <c r="R19" s="640" t="n"/>
      <c r="S19" s="640" t="n"/>
      <c r="T19" s="640" t="n"/>
      <c r="U19" s="640" t="n"/>
      <c r="V19" s="640" t="n"/>
      <c r="W19" s="640" t="n"/>
      <c r="X19" s="55" t="n"/>
      <c r="Y19" s="55" t="n"/>
    </row>
    <row r="20" ht="16.5" customHeight="1">
      <c r="A20" s="324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324" t="n"/>
      <c r="Y20" s="324" t="n"/>
    </row>
    <row r="21" ht="14.25" customHeight="1">
      <c r="A21" s="318" t="inlineStr">
        <is>
          <t>Копченые колбасы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318" t="n"/>
      <c r="Y21" s="318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08" t="n">
        <v>4607091389258</v>
      </c>
      <c r="E22" s="609" t="n"/>
      <c r="F22" s="641" t="n">
        <v>0.3</v>
      </c>
      <c r="G22" s="38" t="n">
        <v>6</v>
      </c>
      <c r="H22" s="641" t="n">
        <v>1.8</v>
      </c>
      <c r="I22" s="641" t="n">
        <v>2</v>
      </c>
      <c r="J22" s="38" t="n">
        <v>156</v>
      </c>
      <c r="K22" s="39" t="inlineStr">
        <is>
          <t>СК2</t>
        </is>
      </c>
      <c r="L22" s="38" t="n">
        <v>35</v>
      </c>
      <c r="M22" s="642" t="inlineStr">
        <is>
          <t>В/к колбасы Колбаски Бюргерсы Ядрена копоть 0,3 Ядрена копоть</t>
        </is>
      </c>
      <c r="N22" s="643" t="n"/>
      <c r="O22" s="643" t="n"/>
      <c r="P22" s="643" t="n"/>
      <c r="Q22" s="609" t="n"/>
      <c r="R22" s="40" t="inlineStr"/>
      <c r="S22" s="40" t="inlineStr"/>
      <c r="T22" s="41" t="inlineStr">
        <is>
          <t>кг</t>
        </is>
      </c>
      <c r="U22" s="644" t="n">
        <v>0</v>
      </c>
      <c r="V22" s="645">
        <f>IFERROR(IF(U22="",0,CEILING((U22/$H22),1)*$H22),"")</f>
        <v/>
      </c>
      <c r="W22" s="42">
        <f>IFERROR(IF(V22=0,"",ROUNDUP(V22/H22,0)*0.00753),"")</f>
        <v/>
      </c>
      <c r="X22" s="69" t="inlineStr"/>
      <c r="Y22" s="70" t="inlineStr"/>
      <c r="AC22" s="75" t="inlineStr">
        <is>
          <t>КИ</t>
        </is>
      </c>
    </row>
    <row r="23">
      <c r="A23" s="317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646" t="n"/>
      <c r="M23" s="647" t="inlineStr">
        <is>
          <t>Итого</t>
        </is>
      </c>
      <c r="N23" s="617" t="n"/>
      <c r="O23" s="617" t="n"/>
      <c r="P23" s="617" t="n"/>
      <c r="Q23" s="617" t="n"/>
      <c r="R23" s="617" t="n"/>
      <c r="S23" s="618" t="n"/>
      <c r="T23" s="43" t="inlineStr">
        <is>
          <t>кор</t>
        </is>
      </c>
      <c r="U23" s="648">
        <f>IFERROR(U22/H22,"0")</f>
        <v/>
      </c>
      <c r="V23" s="648">
        <f>IFERROR(V22/H22,"0")</f>
        <v/>
      </c>
      <c r="W23" s="648">
        <f>IFERROR(IF(W22="",0,W22),"0")</f>
        <v/>
      </c>
      <c r="X23" s="649" t="n"/>
      <c r="Y23" s="649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646" t="n"/>
      <c r="M24" s="647" t="inlineStr">
        <is>
          <t>Итого</t>
        </is>
      </c>
      <c r="N24" s="617" t="n"/>
      <c r="O24" s="617" t="n"/>
      <c r="P24" s="617" t="n"/>
      <c r="Q24" s="617" t="n"/>
      <c r="R24" s="617" t="n"/>
      <c r="S24" s="618" t="n"/>
      <c r="T24" s="43" t="inlineStr">
        <is>
          <t>кг</t>
        </is>
      </c>
      <c r="U24" s="648">
        <f>IFERROR(SUM(U22:U22),"0")</f>
        <v/>
      </c>
      <c r="V24" s="648">
        <f>IFERROR(SUM(V22:V22),"0")</f>
        <v/>
      </c>
      <c r="W24" s="43" t="n"/>
      <c r="X24" s="649" t="n"/>
      <c r="Y24" s="649" t="n"/>
    </row>
    <row r="25" ht="14.25" customHeight="1">
      <c r="A25" s="318" t="inlineStr">
        <is>
          <t>Сосиски</t>
        </is>
      </c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318" t="n"/>
      <c r="Y25" s="318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08" t="n">
        <v>4607091383881</v>
      </c>
      <c r="E26" s="609" t="n"/>
      <c r="F26" s="641" t="n">
        <v>0.33</v>
      </c>
      <c r="G26" s="38" t="n">
        <v>6</v>
      </c>
      <c r="H26" s="641" t="n">
        <v>1.98</v>
      </c>
      <c r="I26" s="641" t="n">
        <v>2.246</v>
      </c>
      <c r="J26" s="38" t="n">
        <v>156</v>
      </c>
      <c r="K26" s="39" t="inlineStr">
        <is>
          <t>СК2</t>
        </is>
      </c>
      <c r="L26" s="38" t="n">
        <v>35</v>
      </c>
      <c r="M26" s="650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N26" s="643" t="n"/>
      <c r="O26" s="643" t="n"/>
      <c r="P26" s="643" t="n"/>
      <c r="Q26" s="609" t="n"/>
      <c r="R26" s="40" t="inlineStr"/>
      <c r="S26" s="40" t="inlineStr"/>
      <c r="T26" s="41" t="inlineStr">
        <is>
          <t>кг</t>
        </is>
      </c>
      <c r="U26" s="644" t="n">
        <v>0</v>
      </c>
      <c r="V26" s="645">
        <f>IFERROR(IF(U26="",0,CEILING((U26/$H26),1)*$H26),"")</f>
        <v/>
      </c>
      <c r="W26" s="42">
        <f>IFERROR(IF(V26=0,"",ROUNDUP(V26/H26,0)*0.00753),"")</f>
        <v/>
      </c>
      <c r="X26" s="69" t="inlineStr"/>
      <c r="Y26" s="70" t="inlineStr"/>
      <c r="AC26" s="76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08" t="n">
        <v>4607091388237</v>
      </c>
      <c r="E27" s="609" t="n"/>
      <c r="F27" s="641" t="n">
        <v>0.42</v>
      </c>
      <c r="G27" s="38" t="n">
        <v>6</v>
      </c>
      <c r="H27" s="641" t="n">
        <v>2.52</v>
      </c>
      <c r="I27" s="641" t="n">
        <v>2.786</v>
      </c>
      <c r="J27" s="38" t="n">
        <v>156</v>
      </c>
      <c r="K27" s="39" t="inlineStr">
        <is>
          <t>СК2</t>
        </is>
      </c>
      <c r="L27" s="38" t="n">
        <v>35</v>
      </c>
      <c r="M27" s="651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N27" s="643" t="n"/>
      <c r="O27" s="643" t="n"/>
      <c r="P27" s="643" t="n"/>
      <c r="Q27" s="609" t="n"/>
      <c r="R27" s="40" t="inlineStr"/>
      <c r="S27" s="40" t="inlineStr"/>
      <c r="T27" s="41" t="inlineStr">
        <is>
          <t>кг</t>
        </is>
      </c>
      <c r="U27" s="644" t="n">
        <v>0</v>
      </c>
      <c r="V27" s="645">
        <f>IFERROR(IF(U27="",0,CEILING((U27/$H27),1)*$H27),"")</f>
        <v/>
      </c>
      <c r="W27" s="42">
        <f>IFERROR(IF(V27=0,"",ROUNDUP(V27/H27,0)*0.00753),"")</f>
        <v/>
      </c>
      <c r="X27" s="69" t="inlineStr"/>
      <c r="Y27" s="70" t="inlineStr"/>
      <c r="AC27" s="77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08" t="n">
        <v>4607091383935</v>
      </c>
      <c r="E28" s="609" t="n"/>
      <c r="F28" s="641" t="n">
        <v>0.33</v>
      </c>
      <c r="G28" s="38" t="n">
        <v>6</v>
      </c>
      <c r="H28" s="641" t="n">
        <v>1.98</v>
      </c>
      <c r="I28" s="641" t="n">
        <v>2.246</v>
      </c>
      <c r="J28" s="38" t="n">
        <v>156</v>
      </c>
      <c r="K28" s="39" t="inlineStr">
        <is>
          <t>СК2</t>
        </is>
      </c>
      <c r="L28" s="38" t="n">
        <v>30</v>
      </c>
      <c r="M28" s="652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N28" s="643" t="n"/>
      <c r="O28" s="643" t="n"/>
      <c r="P28" s="643" t="n"/>
      <c r="Q28" s="609" t="n"/>
      <c r="R28" s="40" t="inlineStr"/>
      <c r="S28" s="40" t="inlineStr"/>
      <c r="T28" s="41" t="inlineStr">
        <is>
          <t>кг</t>
        </is>
      </c>
      <c r="U28" s="644" t="n">
        <v>0</v>
      </c>
      <c r="V28" s="645">
        <f>IFERROR(IF(U28="",0,CEILING((U28/$H28),1)*$H28),"")</f>
        <v/>
      </c>
      <c r="W28" s="42">
        <f>IFERROR(IF(V28=0,"",ROUNDUP(V28/H28,0)*0.00753),"")</f>
        <v/>
      </c>
      <c r="X28" s="69" t="inlineStr"/>
      <c r="Y28" s="70" t="inlineStr"/>
      <c r="AC28" s="78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08" t="n">
        <v>4680115881853</v>
      </c>
      <c r="E29" s="609" t="n"/>
      <c r="F29" s="641" t="n">
        <v>0.33</v>
      </c>
      <c r="G29" s="38" t="n">
        <v>6</v>
      </c>
      <c r="H29" s="641" t="n">
        <v>1.98</v>
      </c>
      <c r="I29" s="641" t="n">
        <v>2.246</v>
      </c>
      <c r="J29" s="38" t="n">
        <v>156</v>
      </c>
      <c r="K29" s="39" t="inlineStr">
        <is>
          <t>СК2</t>
        </is>
      </c>
      <c r="L29" s="38" t="n">
        <v>30</v>
      </c>
      <c r="M29" s="653" t="inlineStr">
        <is>
          <t>Сосиски С соусом Барбекю Ядрена копоть Фикс.вес 0,33 ц/о мгс Ядрена копоть</t>
        </is>
      </c>
      <c r="N29" s="643" t="n"/>
      <c r="O29" s="643" t="n"/>
      <c r="P29" s="643" t="n"/>
      <c r="Q29" s="609" t="n"/>
      <c r="R29" s="40" t="inlineStr"/>
      <c r="S29" s="40" t="inlineStr"/>
      <c r="T29" s="41" t="inlineStr">
        <is>
          <t>кг</t>
        </is>
      </c>
      <c r="U29" s="644" t="n">
        <v>0</v>
      </c>
      <c r="V29" s="645">
        <f>IFERROR(IF(U29="",0,CEILING((U29/$H29),1)*$H29),"")</f>
        <v/>
      </c>
      <c r="W29" s="42">
        <f>IFERROR(IF(V29=0,"",ROUNDUP(V29/H29,0)*0.00753),"")</f>
        <v/>
      </c>
      <c r="X29" s="69" t="inlineStr"/>
      <c r="Y29" s="70" t="inlineStr"/>
      <c r="AC29" s="79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08" t="n">
        <v>4607091383911</v>
      </c>
      <c r="E30" s="609" t="n"/>
      <c r="F30" s="641" t="n">
        <v>0.33</v>
      </c>
      <c r="G30" s="38" t="n">
        <v>6</v>
      </c>
      <c r="H30" s="641" t="n">
        <v>1.98</v>
      </c>
      <c r="I30" s="641" t="n">
        <v>2.246</v>
      </c>
      <c r="J30" s="38" t="n">
        <v>156</v>
      </c>
      <c r="K30" s="39" t="inlineStr">
        <is>
          <t>СК2</t>
        </is>
      </c>
      <c r="L30" s="38" t="n">
        <v>35</v>
      </c>
      <c r="M30" s="654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N30" s="643" t="n"/>
      <c r="O30" s="643" t="n"/>
      <c r="P30" s="643" t="n"/>
      <c r="Q30" s="609" t="n"/>
      <c r="R30" s="40" t="inlineStr"/>
      <c r="S30" s="40" t="inlineStr"/>
      <c r="T30" s="41" t="inlineStr">
        <is>
          <t>кг</t>
        </is>
      </c>
      <c r="U30" s="644" t="n">
        <v>0</v>
      </c>
      <c r="V30" s="645">
        <f>IFERROR(IF(U30="",0,CEILING((U30/$H30),1)*$H30),"")</f>
        <v/>
      </c>
      <c r="W30" s="42">
        <f>IFERROR(IF(V30=0,"",ROUNDUP(V30/H30,0)*0.00753),"")</f>
        <v/>
      </c>
      <c r="X30" s="69" t="inlineStr"/>
      <c r="Y30" s="70" t="inlineStr"/>
      <c r="AC30" s="80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08" t="n">
        <v>4607091388244</v>
      </c>
      <c r="E31" s="609" t="n"/>
      <c r="F31" s="641" t="n">
        <v>0.42</v>
      </c>
      <c r="G31" s="38" t="n">
        <v>6</v>
      </c>
      <c r="H31" s="641" t="n">
        <v>2.52</v>
      </c>
      <c r="I31" s="641" t="n">
        <v>2.786</v>
      </c>
      <c r="J31" s="38" t="n">
        <v>156</v>
      </c>
      <c r="K31" s="39" t="inlineStr">
        <is>
          <t>СК2</t>
        </is>
      </c>
      <c r="L31" s="38" t="n">
        <v>35</v>
      </c>
      <c r="M31" s="655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N31" s="643" t="n"/>
      <c r="O31" s="643" t="n"/>
      <c r="P31" s="643" t="n"/>
      <c r="Q31" s="609" t="n"/>
      <c r="R31" s="40" t="inlineStr"/>
      <c r="S31" s="40" t="inlineStr"/>
      <c r="T31" s="41" t="inlineStr">
        <is>
          <t>кг</t>
        </is>
      </c>
      <c r="U31" s="644" t="n">
        <v>0</v>
      </c>
      <c r="V31" s="645">
        <f>IFERROR(IF(U31="",0,CEILING((U31/$H31),1)*$H31),"")</f>
        <v/>
      </c>
      <c r="W31" s="42">
        <f>IFERROR(IF(V31=0,"",ROUNDUP(V31/H31,0)*0.00753),"")</f>
        <v/>
      </c>
      <c r="X31" s="69" t="inlineStr"/>
      <c r="Y31" s="70" t="inlineStr"/>
      <c r="AC31" s="81" t="inlineStr">
        <is>
          <t>КИ</t>
        </is>
      </c>
    </row>
    <row r="32">
      <c r="A32" s="317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646" t="n"/>
      <c r="M32" s="647" t="inlineStr">
        <is>
          <t>Итого</t>
        </is>
      </c>
      <c r="N32" s="617" t="n"/>
      <c r="O32" s="617" t="n"/>
      <c r="P32" s="617" t="n"/>
      <c r="Q32" s="617" t="n"/>
      <c r="R32" s="617" t="n"/>
      <c r="S32" s="618" t="n"/>
      <c r="T32" s="43" t="inlineStr">
        <is>
          <t>кор</t>
        </is>
      </c>
      <c r="U32" s="648">
        <f>IFERROR(U26/H26,"0")+IFERROR(U27/H27,"0")+IFERROR(U28/H28,"0")+IFERROR(U29/H29,"0")+IFERROR(U30/H30,"0")+IFERROR(U31/H31,"0")</f>
        <v/>
      </c>
      <c r="V32" s="648">
        <f>IFERROR(V26/H26,"0")+IFERROR(V27/H27,"0")+IFERROR(V28/H28,"0")+IFERROR(V29/H29,"0")+IFERROR(V30/H30,"0")+IFERROR(V31/H31,"0")</f>
        <v/>
      </c>
      <c r="W32" s="648">
        <f>IFERROR(IF(W26="",0,W26),"0")+IFERROR(IF(W27="",0,W27),"0")+IFERROR(IF(W28="",0,W28),"0")+IFERROR(IF(W29="",0,W29),"0")+IFERROR(IF(W30="",0,W30),"0")+IFERROR(IF(W31="",0,W31),"0")</f>
        <v/>
      </c>
      <c r="X32" s="649" t="n"/>
      <c r="Y32" s="649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646" t="n"/>
      <c r="M33" s="647" t="inlineStr">
        <is>
          <t>Итого</t>
        </is>
      </c>
      <c r="N33" s="617" t="n"/>
      <c r="O33" s="617" t="n"/>
      <c r="P33" s="617" t="n"/>
      <c r="Q33" s="617" t="n"/>
      <c r="R33" s="617" t="n"/>
      <c r="S33" s="618" t="n"/>
      <c r="T33" s="43" t="inlineStr">
        <is>
          <t>кг</t>
        </is>
      </c>
      <c r="U33" s="648">
        <f>IFERROR(SUM(U26:U31),"0")</f>
        <v/>
      </c>
      <c r="V33" s="648">
        <f>IFERROR(SUM(V26:V31),"0")</f>
        <v/>
      </c>
      <c r="W33" s="43" t="n"/>
      <c r="X33" s="649" t="n"/>
      <c r="Y33" s="649" t="n"/>
    </row>
    <row r="34" ht="14.25" customHeight="1">
      <c r="A34" s="318" t="inlineStr">
        <is>
          <t>Сырокопченые колбасы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318" t="n"/>
      <c r="Y34" s="318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08" t="n">
        <v>4607091388503</v>
      </c>
      <c r="E35" s="609" t="n"/>
      <c r="F35" s="641" t="n">
        <v>0.05</v>
      </c>
      <c r="G35" s="38" t="n">
        <v>12</v>
      </c>
      <c r="H35" s="641" t="n">
        <v>0.6</v>
      </c>
      <c r="I35" s="641" t="n">
        <v>0.842</v>
      </c>
      <c r="J35" s="38" t="n">
        <v>156</v>
      </c>
      <c r="K35" s="39" t="inlineStr">
        <is>
          <t>АК</t>
        </is>
      </c>
      <c r="L35" s="38" t="n">
        <v>120</v>
      </c>
      <c r="M35" s="656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N35" s="643" t="n"/>
      <c r="O35" s="643" t="n"/>
      <c r="P35" s="643" t="n"/>
      <c r="Q35" s="609" t="n"/>
      <c r="R35" s="40" t="inlineStr"/>
      <c r="S35" s="40" t="inlineStr"/>
      <c r="T35" s="41" t="inlineStr">
        <is>
          <t>кг</t>
        </is>
      </c>
      <c r="U35" s="644" t="n">
        <v>0</v>
      </c>
      <c r="V35" s="645">
        <f>IFERROR(IF(U35="",0,CEILING((U35/$H35),1)*$H35),"")</f>
        <v/>
      </c>
      <c r="W35" s="42">
        <f>IFERROR(IF(V35=0,"",ROUNDUP(V35/H35,0)*0.00753),"")</f>
        <v/>
      </c>
      <c r="X35" s="69" t="inlineStr"/>
      <c r="Y35" s="70" t="inlineStr"/>
      <c r="AC35" s="82" t="inlineStr">
        <is>
          <t>СНК</t>
        </is>
      </c>
    </row>
    <row r="36" ht="27" customHeight="1">
      <c r="A36" s="64" t="inlineStr">
        <is>
          <t>SU002648</t>
        </is>
      </c>
      <c r="B36" s="64" t="inlineStr">
        <is>
          <t>P003009</t>
        </is>
      </c>
      <c r="C36" s="37" t="n">
        <v>4301032036</v>
      </c>
      <c r="D36" s="308" t="n">
        <v>4680115880139</v>
      </c>
      <c r="E36" s="609" t="n"/>
      <c r="F36" s="641" t="n">
        <v>0.025</v>
      </c>
      <c r="G36" s="38" t="n">
        <v>10</v>
      </c>
      <c r="H36" s="641" t="n">
        <v>0.25</v>
      </c>
      <c r="I36" s="641" t="n">
        <v>0.41</v>
      </c>
      <c r="J36" s="38" t="n">
        <v>234</v>
      </c>
      <c r="K36" s="39" t="inlineStr">
        <is>
          <t>МТК</t>
        </is>
      </c>
      <c r="L36" s="38" t="n">
        <v>120</v>
      </c>
      <c r="M36" s="657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/>
      </c>
      <c r="N36" s="643" t="n"/>
      <c r="O36" s="643" t="n"/>
      <c r="P36" s="643" t="n"/>
      <c r="Q36" s="609" t="n"/>
      <c r="R36" s="40" t="inlineStr"/>
      <c r="S36" s="40" t="inlineStr"/>
      <c r="T36" s="41" t="inlineStr">
        <is>
          <t>кг</t>
        </is>
      </c>
      <c r="U36" s="644" t="n">
        <v>0</v>
      </c>
      <c r="V36" s="645">
        <f>IFERROR(IF(U36="",0,CEILING((U36/$H36),1)*$H36),"")</f>
        <v/>
      </c>
      <c r="W36" s="42">
        <f>IFERROR(IF(V36=0,"",ROUNDUP(V36/H36,0)*0.00502),"")</f>
        <v/>
      </c>
      <c r="X36" s="69" t="inlineStr"/>
      <c r="Y36" s="70" t="inlineStr"/>
      <c r="AC36" s="83" t="inlineStr">
        <is>
          <t>СНК</t>
        </is>
      </c>
    </row>
    <row r="37">
      <c r="A37" s="317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646" t="n"/>
      <c r="M37" s="647" t="inlineStr">
        <is>
          <t>Итого</t>
        </is>
      </c>
      <c r="N37" s="617" t="n"/>
      <c r="O37" s="617" t="n"/>
      <c r="P37" s="617" t="n"/>
      <c r="Q37" s="617" t="n"/>
      <c r="R37" s="617" t="n"/>
      <c r="S37" s="618" t="n"/>
      <c r="T37" s="43" t="inlineStr">
        <is>
          <t>кор</t>
        </is>
      </c>
      <c r="U37" s="648">
        <f>IFERROR(U35/H35,"0")+IFERROR(U36/H36,"0")</f>
        <v/>
      </c>
      <c r="V37" s="648">
        <f>IFERROR(V35/H35,"0")+IFERROR(V36/H36,"0")</f>
        <v/>
      </c>
      <c r="W37" s="648">
        <f>IFERROR(IF(W35="",0,W35),"0")+IFERROR(IF(W36="",0,W36),"0")</f>
        <v/>
      </c>
      <c r="X37" s="649" t="n"/>
      <c r="Y37" s="649" t="n"/>
    </row>
    <row r="3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646" t="n"/>
      <c r="M38" s="647" t="inlineStr">
        <is>
          <t>Итого</t>
        </is>
      </c>
      <c r="N38" s="617" t="n"/>
      <c r="O38" s="617" t="n"/>
      <c r="P38" s="617" t="n"/>
      <c r="Q38" s="617" t="n"/>
      <c r="R38" s="617" t="n"/>
      <c r="S38" s="618" t="n"/>
      <c r="T38" s="43" t="inlineStr">
        <is>
          <t>кг</t>
        </is>
      </c>
      <c r="U38" s="648">
        <f>IFERROR(SUM(U35:U36),"0")</f>
        <v/>
      </c>
      <c r="V38" s="648">
        <f>IFERROR(SUM(V35:V36),"0")</f>
        <v/>
      </c>
      <c r="W38" s="43" t="n"/>
      <c r="X38" s="649" t="n"/>
      <c r="Y38" s="649" t="n"/>
    </row>
    <row r="39" ht="14.25" customHeight="1">
      <c r="A39" s="318" t="inlineStr">
        <is>
          <t>Продукты из мяса птицы копчено-вареные</t>
        </is>
      </c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318" t="n"/>
      <c r="Y39" s="318" t="n"/>
    </row>
    <row r="40" ht="80.25" customHeight="1">
      <c r="A40" s="64" t="inlineStr">
        <is>
          <t>SU001872</t>
        </is>
      </c>
      <c r="B40" s="64" t="inlineStr">
        <is>
          <t>P001933</t>
        </is>
      </c>
      <c r="C40" s="37" t="n">
        <v>4301160001</v>
      </c>
      <c r="D40" s="308" t="n">
        <v>4607091388282</v>
      </c>
      <c r="E40" s="609" t="n"/>
      <c r="F40" s="641" t="n">
        <v>0.3</v>
      </c>
      <c r="G40" s="38" t="n">
        <v>6</v>
      </c>
      <c r="H40" s="641" t="n">
        <v>1.8</v>
      </c>
      <c r="I40" s="641" t="n">
        <v>2.084</v>
      </c>
      <c r="J40" s="38" t="n">
        <v>156</v>
      </c>
      <c r="K40" s="39" t="inlineStr">
        <is>
          <t>АК</t>
        </is>
      </c>
      <c r="L40" s="38" t="n">
        <v>30</v>
      </c>
      <c r="M40" s="658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N40" s="643" t="n"/>
      <c r="O40" s="643" t="n"/>
      <c r="P40" s="643" t="n"/>
      <c r="Q40" s="609" t="n"/>
      <c r="R40" s="40" t="inlineStr"/>
      <c r="S40" s="40" t="inlineStr"/>
      <c r="T40" s="41" t="inlineStr">
        <is>
          <t>кг</t>
        </is>
      </c>
      <c r="U40" s="644" t="n">
        <v>0</v>
      </c>
      <c r="V40" s="645">
        <f>IFERROR(IF(U40="",0,CEILING((U40/$H40),1)*$H40),"")</f>
        <v/>
      </c>
      <c r="W40" s="42">
        <f>IFERROR(IF(V40=0,"",ROUNDUP(V40/H40,0)*0.00753),"")</f>
        <v/>
      </c>
      <c r="X40" s="69" t="inlineStr">
        <is>
          <t>Предзаказ по четвергам до 12:00 на отгрузку со вторника следующей недели</t>
        </is>
      </c>
      <c r="Y40" s="70" t="inlineStr"/>
      <c r="AC40" s="84" t="inlineStr">
        <is>
          <t>КИ</t>
        </is>
      </c>
    </row>
    <row r="41">
      <c r="A41" s="317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646" t="n"/>
      <c r="M41" s="647" t="inlineStr">
        <is>
          <t>Итого</t>
        </is>
      </c>
      <c r="N41" s="617" t="n"/>
      <c r="O41" s="617" t="n"/>
      <c r="P41" s="617" t="n"/>
      <c r="Q41" s="617" t="n"/>
      <c r="R41" s="617" t="n"/>
      <c r="S41" s="618" t="n"/>
      <c r="T41" s="43" t="inlineStr">
        <is>
          <t>кор</t>
        </is>
      </c>
      <c r="U41" s="648">
        <f>IFERROR(U40/H40,"0")</f>
        <v/>
      </c>
      <c r="V41" s="648">
        <f>IFERROR(V40/H40,"0")</f>
        <v/>
      </c>
      <c r="W41" s="648">
        <f>IFERROR(IF(W40="",0,W40),"0")</f>
        <v/>
      </c>
      <c r="X41" s="649" t="n"/>
      <c r="Y41" s="649" t="n"/>
    </row>
    <row r="42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646" t="n"/>
      <c r="M42" s="647" t="inlineStr">
        <is>
          <t>Итого</t>
        </is>
      </c>
      <c r="N42" s="617" t="n"/>
      <c r="O42" s="617" t="n"/>
      <c r="P42" s="617" t="n"/>
      <c r="Q42" s="617" t="n"/>
      <c r="R42" s="617" t="n"/>
      <c r="S42" s="618" t="n"/>
      <c r="T42" s="43" t="inlineStr">
        <is>
          <t>кг</t>
        </is>
      </c>
      <c r="U42" s="648">
        <f>IFERROR(SUM(U40:U40),"0")</f>
        <v/>
      </c>
      <c r="V42" s="648">
        <f>IFERROR(SUM(V40:V40),"0")</f>
        <v/>
      </c>
      <c r="W42" s="43" t="n"/>
      <c r="X42" s="649" t="n"/>
      <c r="Y42" s="649" t="n"/>
    </row>
    <row r="43" ht="14.25" customHeight="1">
      <c r="A43" s="318" t="inlineStr">
        <is>
          <t>Сыровяленые колбасы</t>
        </is>
      </c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318" t="n"/>
      <c r="Y43" s="318" t="n"/>
    </row>
    <row r="44" ht="27" customHeight="1">
      <c r="A44" s="64" t="inlineStr">
        <is>
          <t>SU002049</t>
        </is>
      </c>
      <c r="B44" s="64" t="inlineStr">
        <is>
          <t>P002191</t>
        </is>
      </c>
      <c r="C44" s="37" t="n">
        <v>4301170002</v>
      </c>
      <c r="D44" s="308" t="n">
        <v>4607091389111</v>
      </c>
      <c r="E44" s="609" t="n"/>
      <c r="F44" s="641" t="n">
        <v>0.025</v>
      </c>
      <c r="G44" s="38" t="n">
        <v>10</v>
      </c>
      <c r="H44" s="641" t="n">
        <v>0.25</v>
      </c>
      <c r="I44" s="641" t="n">
        <v>0.492</v>
      </c>
      <c r="J44" s="38" t="n">
        <v>156</v>
      </c>
      <c r="K44" s="39" t="inlineStr">
        <is>
          <t>АК</t>
        </is>
      </c>
      <c r="L44" s="38" t="n">
        <v>120</v>
      </c>
      <c r="M44" s="659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/>
      </c>
      <c r="N44" s="643" t="n"/>
      <c r="O44" s="643" t="n"/>
      <c r="P44" s="643" t="n"/>
      <c r="Q44" s="609" t="n"/>
      <c r="R44" s="40" t="inlineStr"/>
      <c r="S44" s="40" t="inlineStr"/>
      <c r="T44" s="41" t="inlineStr">
        <is>
          <t>кг</t>
        </is>
      </c>
      <c r="U44" s="644" t="n">
        <v>0</v>
      </c>
      <c r="V44" s="645">
        <f>IFERROR(IF(U44="",0,CEILING((U44/$H44),1)*$H44),"")</f>
        <v/>
      </c>
      <c r="W44" s="42">
        <f>IFERROR(IF(V44=0,"",ROUNDUP(V44/H44,0)*0.00753),"")</f>
        <v/>
      </c>
      <c r="X44" s="69" t="inlineStr"/>
      <c r="Y44" s="70" t="inlineStr"/>
      <c r="AC44" s="85" t="inlineStr">
        <is>
          <t>СНК</t>
        </is>
      </c>
    </row>
    <row r="45">
      <c r="A45" s="317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646" t="n"/>
      <c r="M45" s="647" t="inlineStr">
        <is>
          <t>Итого</t>
        </is>
      </c>
      <c r="N45" s="617" t="n"/>
      <c r="O45" s="617" t="n"/>
      <c r="P45" s="617" t="n"/>
      <c r="Q45" s="617" t="n"/>
      <c r="R45" s="617" t="n"/>
      <c r="S45" s="618" t="n"/>
      <c r="T45" s="43" t="inlineStr">
        <is>
          <t>кор</t>
        </is>
      </c>
      <c r="U45" s="648">
        <f>IFERROR(U44/H44,"0")</f>
        <v/>
      </c>
      <c r="V45" s="648">
        <f>IFERROR(V44/H44,"0")</f>
        <v/>
      </c>
      <c r="W45" s="648">
        <f>IFERROR(IF(W44="",0,W44),"0")</f>
        <v/>
      </c>
      <c r="X45" s="649" t="n"/>
      <c r="Y45" s="649" t="n"/>
    </row>
    <row r="46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646" t="n"/>
      <c r="M46" s="647" t="inlineStr">
        <is>
          <t>Итого</t>
        </is>
      </c>
      <c r="N46" s="617" t="n"/>
      <c r="O46" s="617" t="n"/>
      <c r="P46" s="617" t="n"/>
      <c r="Q46" s="617" t="n"/>
      <c r="R46" s="617" t="n"/>
      <c r="S46" s="618" t="n"/>
      <c r="T46" s="43" t="inlineStr">
        <is>
          <t>кг</t>
        </is>
      </c>
      <c r="U46" s="648">
        <f>IFERROR(SUM(U44:U44),"0")</f>
        <v/>
      </c>
      <c r="V46" s="648">
        <f>IFERROR(SUM(V44:V44),"0")</f>
        <v/>
      </c>
      <c r="W46" s="43" t="n"/>
      <c r="X46" s="649" t="n"/>
      <c r="Y46" s="649" t="n"/>
    </row>
    <row r="47" ht="27.75" customHeight="1">
      <c r="A47" s="323" t="inlineStr">
        <is>
          <t>Вязанка</t>
        </is>
      </c>
      <c r="B47" s="640" t="n"/>
      <c r="C47" s="640" t="n"/>
      <c r="D47" s="640" t="n"/>
      <c r="E47" s="640" t="n"/>
      <c r="F47" s="640" t="n"/>
      <c r="G47" s="640" t="n"/>
      <c r="H47" s="640" t="n"/>
      <c r="I47" s="640" t="n"/>
      <c r="J47" s="640" t="n"/>
      <c r="K47" s="640" t="n"/>
      <c r="L47" s="640" t="n"/>
      <c r="M47" s="640" t="n"/>
      <c r="N47" s="640" t="n"/>
      <c r="O47" s="640" t="n"/>
      <c r="P47" s="640" t="n"/>
      <c r="Q47" s="640" t="n"/>
      <c r="R47" s="640" t="n"/>
      <c r="S47" s="640" t="n"/>
      <c r="T47" s="640" t="n"/>
      <c r="U47" s="640" t="n"/>
      <c r="V47" s="640" t="n"/>
      <c r="W47" s="640" t="n"/>
      <c r="X47" s="55" t="n"/>
      <c r="Y47" s="55" t="n"/>
    </row>
    <row r="48" ht="16.5" customHeight="1">
      <c r="A48" s="324" t="inlineStr">
        <is>
          <t>Столичная</t>
        </is>
      </c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324" t="n"/>
      <c r="Y48" s="324" t="n"/>
    </row>
    <row r="49" ht="14.25" customHeight="1">
      <c r="A49" s="318" t="inlineStr">
        <is>
          <t>Ветчины</t>
        </is>
      </c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318" t="n"/>
      <c r="Y49" s="318" t="n"/>
    </row>
    <row r="50" ht="27" customHeight="1">
      <c r="A50" s="64" t="inlineStr">
        <is>
          <t>SU002828</t>
        </is>
      </c>
      <c r="B50" s="64" t="inlineStr">
        <is>
          <t>P003234</t>
        </is>
      </c>
      <c r="C50" s="37" t="n">
        <v>4301020234</v>
      </c>
      <c r="D50" s="308" t="n">
        <v>4680115881440</v>
      </c>
      <c r="E50" s="609" t="n"/>
      <c r="F50" s="641" t="n">
        <v>1.35</v>
      </c>
      <c r="G50" s="38" t="n">
        <v>8</v>
      </c>
      <c r="H50" s="641" t="n">
        <v>10.8</v>
      </c>
      <c r="I50" s="641" t="n">
        <v>11.28</v>
      </c>
      <c r="J50" s="38" t="n">
        <v>56</v>
      </c>
      <c r="K50" s="39" t="inlineStr">
        <is>
          <t>СК1</t>
        </is>
      </c>
      <c r="L50" s="38" t="n">
        <v>50</v>
      </c>
      <c r="M50" s="660">
        <f>HYPERLINK("https://abi.ru/products/Охлажденные/Вязанка/Столичная/Ветчины/P003234/","Ветчины «Филейская» Весовые Вектор ТМ «Вязанка»")</f>
        <v/>
      </c>
      <c r="N50" s="643" t="n"/>
      <c r="O50" s="643" t="n"/>
      <c r="P50" s="643" t="n"/>
      <c r="Q50" s="609" t="n"/>
      <c r="R50" s="40" t="inlineStr"/>
      <c r="S50" s="40" t="inlineStr"/>
      <c r="T50" s="41" t="inlineStr">
        <is>
          <t>кг</t>
        </is>
      </c>
      <c r="U50" s="644" t="n">
        <v>50</v>
      </c>
      <c r="V50" s="645">
        <f>IFERROR(IF(U50="",0,CEILING((U50/$H50),1)*$H50),"")</f>
        <v/>
      </c>
      <c r="W50" s="42">
        <f>IFERROR(IF(V50=0,"",ROUNDUP(V50/H50,0)*0.02175),"")</f>
        <v/>
      </c>
      <c r="X50" s="69" t="inlineStr"/>
      <c r="Y50" s="70" t="inlineStr"/>
      <c r="AC50" s="86" t="inlineStr">
        <is>
          <t>КИ</t>
        </is>
      </c>
    </row>
    <row r="51" ht="27" customHeight="1">
      <c r="A51" s="64" t="inlineStr">
        <is>
          <t>SU002814</t>
        </is>
      </c>
      <c r="B51" s="64" t="inlineStr">
        <is>
          <t>P003226</t>
        </is>
      </c>
      <c r="C51" s="37" t="n">
        <v>4301020232</v>
      </c>
      <c r="D51" s="308" t="n">
        <v>4680115881433</v>
      </c>
      <c r="E51" s="609" t="n"/>
      <c r="F51" s="641" t="n">
        <v>0.45</v>
      </c>
      <c r="G51" s="38" t="n">
        <v>6</v>
      </c>
      <c r="H51" s="641" t="n">
        <v>2.7</v>
      </c>
      <c r="I51" s="641" t="n">
        <v>2.9</v>
      </c>
      <c r="J51" s="38" t="n">
        <v>156</v>
      </c>
      <c r="K51" s="39" t="inlineStr">
        <is>
          <t>СК1</t>
        </is>
      </c>
      <c r="L51" s="38" t="n">
        <v>50</v>
      </c>
      <c r="M51" s="661">
        <f>HYPERLINK("https://abi.ru/products/Охлажденные/Вязанка/Столичная/Ветчины/P003226/","Ветчины «Филейская» Фикс.вес 0,45 Вектор ТМ «Вязанка»")</f>
        <v/>
      </c>
      <c r="N51" s="643" t="n"/>
      <c r="O51" s="643" t="n"/>
      <c r="P51" s="643" t="n"/>
      <c r="Q51" s="609" t="n"/>
      <c r="R51" s="40" t="inlineStr"/>
      <c r="S51" s="40" t="inlineStr"/>
      <c r="T51" s="41" t="inlineStr">
        <is>
          <t>кг</t>
        </is>
      </c>
      <c r="U51" s="644" t="n">
        <v>67.5</v>
      </c>
      <c r="V51" s="645">
        <f>IFERROR(IF(U51="",0,CEILING((U51/$H51),1)*$H51),"")</f>
        <v/>
      </c>
      <c r="W51" s="42">
        <f>IFERROR(IF(V51=0,"",ROUNDUP(V51/H51,0)*0.00753),"")</f>
        <v/>
      </c>
      <c r="X51" s="69" t="inlineStr"/>
      <c r="Y51" s="70" t="inlineStr"/>
      <c r="AC51" s="87" t="inlineStr">
        <is>
          <t>КИ</t>
        </is>
      </c>
    </row>
    <row r="52">
      <c r="A52" s="317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646" t="n"/>
      <c r="M52" s="647" t="inlineStr">
        <is>
          <t>Итого</t>
        </is>
      </c>
      <c r="N52" s="617" t="n"/>
      <c r="O52" s="617" t="n"/>
      <c r="P52" s="617" t="n"/>
      <c r="Q52" s="617" t="n"/>
      <c r="R52" s="617" t="n"/>
      <c r="S52" s="618" t="n"/>
      <c r="T52" s="43" t="inlineStr">
        <is>
          <t>кор</t>
        </is>
      </c>
      <c r="U52" s="648">
        <f>IFERROR(U50/H50,"0")+IFERROR(U51/H51,"0")</f>
        <v/>
      </c>
      <c r="V52" s="648">
        <f>IFERROR(V50/H50,"0")+IFERROR(V51/H51,"0")</f>
        <v/>
      </c>
      <c r="W52" s="648">
        <f>IFERROR(IF(W50="",0,W50),"0")+IFERROR(IF(W51="",0,W51),"0")</f>
        <v/>
      </c>
      <c r="X52" s="649" t="n"/>
      <c r="Y52" s="649" t="n"/>
    </row>
    <row r="53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646" t="n"/>
      <c r="M53" s="647" t="inlineStr">
        <is>
          <t>Итого</t>
        </is>
      </c>
      <c r="N53" s="617" t="n"/>
      <c r="O53" s="617" t="n"/>
      <c r="P53" s="617" t="n"/>
      <c r="Q53" s="617" t="n"/>
      <c r="R53" s="617" t="n"/>
      <c r="S53" s="618" t="n"/>
      <c r="T53" s="43" t="inlineStr">
        <is>
          <t>кг</t>
        </is>
      </c>
      <c r="U53" s="648">
        <f>IFERROR(SUM(U50:U51),"0")</f>
        <v/>
      </c>
      <c r="V53" s="648">
        <f>IFERROR(SUM(V50:V51),"0")</f>
        <v/>
      </c>
      <c r="W53" s="43" t="n"/>
      <c r="X53" s="649" t="n"/>
      <c r="Y53" s="649" t="n"/>
    </row>
    <row r="54" ht="16.5" customHeight="1">
      <c r="A54" s="324" t="inlineStr">
        <is>
          <t>Классическая</t>
        </is>
      </c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324" t="n"/>
      <c r="Y54" s="324" t="n"/>
    </row>
    <row r="55" ht="14.25" customHeight="1">
      <c r="A55" s="318" t="inlineStr">
        <is>
          <t>Вареные колбасы</t>
        </is>
      </c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318" t="n"/>
      <c r="Y55" s="318" t="n"/>
    </row>
    <row r="56" ht="27" customHeight="1">
      <c r="A56" s="64" t="inlineStr">
        <is>
          <t>SU002829</t>
        </is>
      </c>
      <c r="B56" s="64" t="inlineStr">
        <is>
          <t>P003235</t>
        </is>
      </c>
      <c r="C56" s="37" t="n">
        <v>4301011452</v>
      </c>
      <c r="D56" s="308" t="n">
        <v>4680115881426</v>
      </c>
      <c r="E56" s="609" t="n"/>
      <c r="F56" s="641" t="n">
        <v>1.35</v>
      </c>
      <c r="G56" s="38" t="n">
        <v>8</v>
      </c>
      <c r="H56" s="641" t="n">
        <v>10.8</v>
      </c>
      <c r="I56" s="641" t="n">
        <v>11.28</v>
      </c>
      <c r="J56" s="38" t="n">
        <v>56</v>
      </c>
      <c r="K56" s="39" t="inlineStr">
        <is>
          <t>СК1</t>
        </is>
      </c>
      <c r="L56" s="38" t="n">
        <v>50</v>
      </c>
      <c r="M56" s="662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N56" s="643" t="n"/>
      <c r="O56" s="643" t="n"/>
      <c r="P56" s="643" t="n"/>
      <c r="Q56" s="609" t="n"/>
      <c r="R56" s="40" t="inlineStr"/>
      <c r="S56" s="40" t="inlineStr"/>
      <c r="T56" s="41" t="inlineStr">
        <is>
          <t>кг</t>
        </is>
      </c>
      <c r="U56" s="644" t="n">
        <v>400</v>
      </c>
      <c r="V56" s="645">
        <f>IFERROR(IF(U56="",0,CEILING((U56/$H56),1)*$H56),"")</f>
        <v/>
      </c>
      <c r="W56" s="42">
        <f>IFERROR(IF(V56=0,"",ROUNDUP(V56/H56,0)*0.02175),"")</f>
        <v/>
      </c>
      <c r="X56" s="69" t="inlineStr"/>
      <c r="Y56" s="70" t="inlineStr"/>
      <c r="AC56" s="88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08" t="n">
        <v>4680115881419</v>
      </c>
      <c r="E57" s="609" t="n"/>
      <c r="F57" s="641" t="n">
        <v>0.45</v>
      </c>
      <c r="G57" s="38" t="n">
        <v>10</v>
      </c>
      <c r="H57" s="641" t="n">
        <v>4.5</v>
      </c>
      <c r="I57" s="641" t="n">
        <v>4.74</v>
      </c>
      <c r="J57" s="38" t="n">
        <v>120</v>
      </c>
      <c r="K57" s="39" t="inlineStr">
        <is>
          <t>СК1</t>
        </is>
      </c>
      <c r="L57" s="38" t="n">
        <v>50</v>
      </c>
      <c r="M57" s="663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N57" s="643" t="n"/>
      <c r="O57" s="643" t="n"/>
      <c r="P57" s="643" t="n"/>
      <c r="Q57" s="609" t="n"/>
      <c r="R57" s="40" t="inlineStr"/>
      <c r="S57" s="40" t="inlineStr"/>
      <c r="T57" s="41" t="inlineStr">
        <is>
          <t>кг</t>
        </is>
      </c>
      <c r="U57" s="644" t="n">
        <v>225</v>
      </c>
      <c r="V57" s="645">
        <f>IFERROR(IF(U57="",0,CEILING((U57/$H57),1)*$H57),"")</f>
        <v/>
      </c>
      <c r="W57" s="42">
        <f>IFERROR(IF(V57=0,"",ROUNDUP(V57/H57,0)*0.00937),"")</f>
        <v/>
      </c>
      <c r="X57" s="69" t="inlineStr"/>
      <c r="Y57" s="70" t="inlineStr"/>
      <c r="AC57" s="89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08" t="n">
        <v>4680115881525</v>
      </c>
      <c r="E58" s="609" t="n"/>
      <c r="F58" s="641" t="n">
        <v>0.4</v>
      </c>
      <c r="G58" s="38" t="n">
        <v>10</v>
      </c>
      <c r="H58" s="641" t="n">
        <v>4</v>
      </c>
      <c r="I58" s="641" t="n">
        <v>4.24</v>
      </c>
      <c r="J58" s="38" t="n">
        <v>120</v>
      </c>
      <c r="K58" s="39" t="inlineStr">
        <is>
          <t>СК1</t>
        </is>
      </c>
      <c r="L58" s="38" t="n">
        <v>50</v>
      </c>
      <c r="M58" s="664" t="inlineStr">
        <is>
          <t>Колбаса вареная Филейская ТМ Вязанка ТС Классическая полиамид ф/в 0,4 кг</t>
        </is>
      </c>
      <c r="N58" s="643" t="n"/>
      <c r="O58" s="643" t="n"/>
      <c r="P58" s="643" t="n"/>
      <c r="Q58" s="609" t="n"/>
      <c r="R58" s="40" t="inlineStr"/>
      <c r="S58" s="40" t="inlineStr"/>
      <c r="T58" s="41" t="inlineStr">
        <is>
          <t>кг</t>
        </is>
      </c>
      <c r="U58" s="644" t="n">
        <v>0</v>
      </c>
      <c r="V58" s="645">
        <f>IFERROR(IF(U58="",0,CEILING((U58/$H58),1)*$H58),"")</f>
        <v/>
      </c>
      <c r="W58" s="42">
        <f>IFERROR(IF(V58=0,"",ROUNDUP(V58/H58,0)*0.00937),"")</f>
        <v/>
      </c>
      <c r="X58" s="69" t="inlineStr"/>
      <c r="Y58" s="70" t="inlineStr"/>
      <c r="AC58" s="90" t="inlineStr">
        <is>
          <t>КИ</t>
        </is>
      </c>
    </row>
    <row r="59">
      <c r="A59" s="317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646" t="n"/>
      <c r="M59" s="647" t="inlineStr">
        <is>
          <t>Итого</t>
        </is>
      </c>
      <c r="N59" s="617" t="n"/>
      <c r="O59" s="617" t="n"/>
      <c r="P59" s="617" t="n"/>
      <c r="Q59" s="617" t="n"/>
      <c r="R59" s="617" t="n"/>
      <c r="S59" s="618" t="n"/>
      <c r="T59" s="43" t="inlineStr">
        <is>
          <t>кор</t>
        </is>
      </c>
      <c r="U59" s="648">
        <f>IFERROR(U56/H56,"0")+IFERROR(U57/H57,"0")+IFERROR(U58/H58,"0")</f>
        <v/>
      </c>
      <c r="V59" s="648">
        <f>IFERROR(V56/H56,"0")+IFERROR(V57/H57,"0")+IFERROR(V58/H58,"0")</f>
        <v/>
      </c>
      <c r="W59" s="648">
        <f>IFERROR(IF(W56="",0,W56),"0")+IFERROR(IF(W57="",0,W57),"0")+IFERROR(IF(W58="",0,W58),"0")</f>
        <v/>
      </c>
      <c r="X59" s="649" t="n"/>
      <c r="Y59" s="649" t="n"/>
    </row>
    <row r="60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646" t="n"/>
      <c r="M60" s="647" t="inlineStr">
        <is>
          <t>Итого</t>
        </is>
      </c>
      <c r="N60" s="617" t="n"/>
      <c r="O60" s="617" t="n"/>
      <c r="P60" s="617" t="n"/>
      <c r="Q60" s="617" t="n"/>
      <c r="R60" s="617" t="n"/>
      <c r="S60" s="618" t="n"/>
      <c r="T60" s="43" t="inlineStr">
        <is>
          <t>кг</t>
        </is>
      </c>
      <c r="U60" s="648">
        <f>IFERROR(SUM(U56:U58),"0")</f>
        <v/>
      </c>
      <c r="V60" s="648">
        <f>IFERROR(SUM(V56:V58),"0")</f>
        <v/>
      </c>
      <c r="W60" s="43" t="n"/>
      <c r="X60" s="649" t="n"/>
      <c r="Y60" s="649" t="n"/>
    </row>
    <row r="61" ht="16.5" customHeight="1">
      <c r="A61" s="324" t="inlineStr">
        <is>
          <t>Вязанка</t>
        </is>
      </c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324" t="n"/>
      <c r="Y61" s="324" t="n"/>
    </row>
    <row r="62" ht="14.25" customHeight="1">
      <c r="A62" s="318" t="inlineStr">
        <is>
          <t>Вареные колбасы</t>
        </is>
      </c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318" t="n"/>
      <c r="Y62" s="318" t="n"/>
    </row>
    <row r="63" ht="27" customHeight="1">
      <c r="A63" s="64" t="inlineStr">
        <is>
          <t>SU000124</t>
        </is>
      </c>
      <c r="B63" s="64" t="inlineStr">
        <is>
          <t>P002478</t>
        </is>
      </c>
      <c r="C63" s="37" t="n">
        <v>4301011191</v>
      </c>
      <c r="D63" s="308" t="n">
        <v>4607091382945</v>
      </c>
      <c r="E63" s="609" t="n"/>
      <c r="F63" s="641" t="n">
        <v>1.35</v>
      </c>
      <c r="G63" s="38" t="n">
        <v>8</v>
      </c>
      <c r="H63" s="641" t="n">
        <v>10.8</v>
      </c>
      <c r="I63" s="641" t="n">
        <v>11.28</v>
      </c>
      <c r="J63" s="38" t="n">
        <v>56</v>
      </c>
      <c r="K63" s="39" t="inlineStr">
        <is>
          <t>СК1</t>
        </is>
      </c>
      <c r="L63" s="38" t="n">
        <v>50</v>
      </c>
      <c r="M63" s="665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/>
      </c>
      <c r="N63" s="643" t="n"/>
      <c r="O63" s="643" t="n"/>
      <c r="P63" s="643" t="n"/>
      <c r="Q63" s="609" t="n"/>
      <c r="R63" s="40" t="inlineStr"/>
      <c r="S63" s="40" t="inlineStr"/>
      <c r="T63" s="41" t="inlineStr">
        <is>
          <t>кг</t>
        </is>
      </c>
      <c r="U63" s="644" t="n">
        <v>30</v>
      </c>
      <c r="V63" s="645">
        <f>IFERROR(IF(U63="",0,CEILING((U63/$H63),1)*$H63),"")</f>
        <v/>
      </c>
      <c r="W63" s="42">
        <f>IFERROR(IF(V63=0,"",ROUNDUP(V63/H63,0)*0.02175),"")</f>
        <v/>
      </c>
      <c r="X63" s="69" t="inlineStr"/>
      <c r="Y63" s="70" t="inlineStr"/>
      <c r="AC63" s="91" t="inlineStr">
        <is>
          <t>КИ</t>
        </is>
      </c>
    </row>
    <row r="64" ht="27" customHeight="1">
      <c r="A64" s="64" t="inlineStr">
        <is>
          <t>SU000722</t>
        </is>
      </c>
      <c r="B64" s="64" t="inlineStr">
        <is>
          <t>P003011</t>
        </is>
      </c>
      <c r="C64" s="37" t="n">
        <v>4301011380</v>
      </c>
      <c r="D64" s="308" t="n">
        <v>4607091385670</v>
      </c>
      <c r="E64" s="609" t="n"/>
      <c r="F64" s="641" t="n">
        <v>1.35</v>
      </c>
      <c r="G64" s="38" t="n">
        <v>8</v>
      </c>
      <c r="H64" s="641" t="n">
        <v>10.8</v>
      </c>
      <c r="I64" s="641" t="n">
        <v>11.28</v>
      </c>
      <c r="J64" s="38" t="n">
        <v>56</v>
      </c>
      <c r="K64" s="39" t="inlineStr">
        <is>
          <t>СК1</t>
        </is>
      </c>
      <c r="L64" s="38" t="n">
        <v>50</v>
      </c>
      <c r="M64" s="666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N64" s="643" t="n"/>
      <c r="O64" s="643" t="n"/>
      <c r="P64" s="643" t="n"/>
      <c r="Q64" s="609" t="n"/>
      <c r="R64" s="40" t="inlineStr"/>
      <c r="S64" s="40" t="inlineStr"/>
      <c r="T64" s="41" t="inlineStr">
        <is>
          <t>кг</t>
        </is>
      </c>
      <c r="U64" s="644" t="n">
        <v>300</v>
      </c>
      <c r="V64" s="645">
        <f>IFERROR(IF(U64="",0,CEILING((U64/$H64),1)*$H64),"")</f>
        <v/>
      </c>
      <c r="W64" s="42">
        <f>IFERROR(IF(V64=0,"",ROUNDUP(V64/H64,0)*0.02175),"")</f>
        <v/>
      </c>
      <c r="X64" s="69" t="inlineStr"/>
      <c r="Y64" s="70" t="inlineStr"/>
      <c r="AC64" s="92" t="inlineStr">
        <is>
          <t>КИ</t>
        </is>
      </c>
    </row>
    <row r="65" ht="27" customHeight="1">
      <c r="A65" s="64" t="inlineStr">
        <is>
          <t>SU002830</t>
        </is>
      </c>
      <c r="B65" s="64" t="inlineStr">
        <is>
          <t>P003239</t>
        </is>
      </c>
      <c r="C65" s="37" t="n">
        <v>4301011468</v>
      </c>
      <c r="D65" s="308" t="n">
        <v>4680115881327</v>
      </c>
      <c r="E65" s="609" t="n"/>
      <c r="F65" s="641" t="n">
        <v>1.35</v>
      </c>
      <c r="G65" s="38" t="n">
        <v>8</v>
      </c>
      <c r="H65" s="641" t="n">
        <v>10.8</v>
      </c>
      <c r="I65" s="641" t="n">
        <v>11.28</v>
      </c>
      <c r="J65" s="38" t="n">
        <v>56</v>
      </c>
      <c r="K65" s="39" t="inlineStr">
        <is>
          <t>СК4</t>
        </is>
      </c>
      <c r="L65" s="38" t="n">
        <v>50</v>
      </c>
      <c r="M65" s="667">
        <f>HYPERLINK("https://abi.ru/products/Охлажденные/Вязанка/Вязанка/Вареные колбасы/P003239/","Вареные колбасы Молокуша Вязанка Вес п/а Вязанка")</f>
        <v/>
      </c>
      <c r="N65" s="643" t="n"/>
      <c r="O65" s="643" t="n"/>
      <c r="P65" s="643" t="n"/>
      <c r="Q65" s="609" t="n"/>
      <c r="R65" s="40" t="inlineStr"/>
      <c r="S65" s="40" t="inlineStr"/>
      <c r="T65" s="41" t="inlineStr">
        <is>
          <t>кг</t>
        </is>
      </c>
      <c r="U65" s="644" t="n">
        <v>0</v>
      </c>
      <c r="V65" s="645">
        <f>IFERROR(IF(U65="",0,CEILING((U65/$H65),1)*$H65),"")</f>
        <v/>
      </c>
      <c r="W65" s="42">
        <f>IFERROR(IF(V65=0,"",ROUNDUP(V65/H65,0)*0.02175),"")</f>
        <v/>
      </c>
      <c r="X65" s="69" t="inlineStr"/>
      <c r="Y65" s="70" t="inlineStr"/>
      <c r="AC65" s="93" t="inlineStr">
        <is>
          <t>КИ</t>
        </is>
      </c>
    </row>
    <row r="66" ht="16.5" customHeight="1">
      <c r="A66" s="64" t="inlineStr">
        <is>
          <t>SU001904</t>
        </is>
      </c>
      <c r="B66" s="64" t="inlineStr">
        <is>
          <t>P001681</t>
        </is>
      </c>
      <c r="C66" s="37" t="n">
        <v>4301011348</v>
      </c>
      <c r="D66" s="308" t="n">
        <v>4607091388312</v>
      </c>
      <c r="E66" s="609" t="n"/>
      <c r="F66" s="641" t="n">
        <v>1.35</v>
      </c>
      <c r="G66" s="38" t="n">
        <v>8</v>
      </c>
      <c r="H66" s="641" t="n">
        <v>10.8</v>
      </c>
      <c r="I66" s="641" t="n">
        <v>11.28</v>
      </c>
      <c r="J66" s="38" t="n">
        <v>56</v>
      </c>
      <c r="K66" s="39" t="inlineStr">
        <is>
          <t>СК1</t>
        </is>
      </c>
      <c r="L66" s="38" t="n">
        <v>45</v>
      </c>
      <c r="M66" s="668">
        <f>HYPERLINK("https://abi.ru/products/Охлажденные/Вязанка/Вязанка/Вареные колбасы/P001681/","Вареные колбасы с индейкой Вязанка Весовые вектор Вязанка")</f>
        <v/>
      </c>
      <c r="N66" s="643" t="n"/>
      <c r="O66" s="643" t="n"/>
      <c r="P66" s="643" t="n"/>
      <c r="Q66" s="609" t="n"/>
      <c r="R66" s="40" t="inlineStr"/>
      <c r="S66" s="40" t="inlineStr"/>
      <c r="T66" s="41" t="inlineStr">
        <is>
          <t>кг</t>
        </is>
      </c>
      <c r="U66" s="644" t="n">
        <v>0</v>
      </c>
      <c r="V66" s="645">
        <f>IFERROR(IF(U66="",0,CEILING((U66/$H66),1)*$H66),"")</f>
        <v/>
      </c>
      <c r="W66" s="42">
        <f>IFERROR(IF(V66=0,"",ROUNDUP(V66/H66,0)*0.02175),"")</f>
        <v/>
      </c>
      <c r="X66" s="69" t="inlineStr"/>
      <c r="Y66" s="70" t="inlineStr"/>
      <c r="AC66" s="94" t="inlineStr">
        <is>
          <t>КИ</t>
        </is>
      </c>
    </row>
    <row r="67" ht="16.5" customHeight="1">
      <c r="A67" s="64" t="inlineStr">
        <is>
          <t>SU002928</t>
        </is>
      </c>
      <c r="B67" s="64" t="inlineStr">
        <is>
          <t>P003357</t>
        </is>
      </c>
      <c r="C67" s="37" t="n">
        <v>4301011514</v>
      </c>
      <c r="D67" s="308" t="n">
        <v>4680115882133</v>
      </c>
      <c r="E67" s="609" t="n"/>
      <c r="F67" s="641" t="n">
        <v>1.35</v>
      </c>
      <c r="G67" s="38" t="n">
        <v>8</v>
      </c>
      <c r="H67" s="641" t="n">
        <v>10.8</v>
      </c>
      <c r="I67" s="641" t="n">
        <v>11.28</v>
      </c>
      <c r="J67" s="38" t="n">
        <v>56</v>
      </c>
      <c r="K67" s="39" t="inlineStr">
        <is>
          <t>СК1</t>
        </is>
      </c>
      <c r="L67" s="38" t="n">
        <v>50</v>
      </c>
      <c r="M67" s="669" t="inlineStr">
        <is>
          <t>Вареные колбасы "Сливушка" Вес П/а ТМ "Вязанка"</t>
        </is>
      </c>
      <c r="N67" s="643" t="n"/>
      <c r="O67" s="643" t="n"/>
      <c r="P67" s="643" t="n"/>
      <c r="Q67" s="609" t="n"/>
      <c r="R67" s="40" t="inlineStr"/>
      <c r="S67" s="40" t="inlineStr"/>
      <c r="T67" s="41" t="inlineStr">
        <is>
          <t>кг</t>
        </is>
      </c>
      <c r="U67" s="644" t="n">
        <v>0</v>
      </c>
      <c r="V67" s="645">
        <f>IFERROR(IF(U67="",0,CEILING((U67/$H67),1)*$H67),"")</f>
        <v/>
      </c>
      <c r="W67" s="42">
        <f>IFERROR(IF(V67=0,"",ROUNDUP(V67/H67,0)*0.02175),"")</f>
        <v/>
      </c>
      <c r="X67" s="69" t="inlineStr"/>
      <c r="Y67" s="70" t="inlineStr"/>
      <c r="AC67" s="95" t="inlineStr">
        <is>
          <t>КИ</t>
        </is>
      </c>
    </row>
    <row r="68" ht="27" customHeight="1">
      <c r="A68" s="64" t="inlineStr">
        <is>
          <t>SU000125</t>
        </is>
      </c>
      <c r="B68" s="64" t="inlineStr">
        <is>
          <t>P002479</t>
        </is>
      </c>
      <c r="C68" s="37" t="n">
        <v>4301011192</v>
      </c>
      <c r="D68" s="308" t="n">
        <v>4607091382952</v>
      </c>
      <c r="E68" s="609" t="n"/>
      <c r="F68" s="641" t="n">
        <v>0.5</v>
      </c>
      <c r="G68" s="38" t="n">
        <v>6</v>
      </c>
      <c r="H68" s="641" t="n">
        <v>3</v>
      </c>
      <c r="I68" s="641" t="n">
        <v>3.2</v>
      </c>
      <c r="J68" s="38" t="n">
        <v>156</v>
      </c>
      <c r="K68" s="39" t="inlineStr">
        <is>
          <t>СК1</t>
        </is>
      </c>
      <c r="L68" s="38" t="n">
        <v>50</v>
      </c>
      <c r="M68" s="670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N68" s="643" t="n"/>
      <c r="O68" s="643" t="n"/>
      <c r="P68" s="643" t="n"/>
      <c r="Q68" s="609" t="n"/>
      <c r="R68" s="40" t="inlineStr"/>
      <c r="S68" s="40" t="inlineStr"/>
      <c r="T68" s="41" t="inlineStr">
        <is>
          <t>кг</t>
        </is>
      </c>
      <c r="U68" s="644" t="n">
        <v>40</v>
      </c>
      <c r="V68" s="645">
        <f>IFERROR(IF(U68="",0,CEILING((U68/$H68),1)*$H68),"")</f>
        <v/>
      </c>
      <c r="W68" s="42">
        <f>IFERROR(IF(V68=0,"",ROUNDUP(V68/H68,0)*0.00753),"")</f>
        <v/>
      </c>
      <c r="X68" s="69" t="inlineStr"/>
      <c r="Y68" s="70" t="inlineStr"/>
      <c r="AC68" s="96" t="inlineStr">
        <is>
          <t>КИ</t>
        </is>
      </c>
    </row>
    <row r="69" ht="27" customHeight="1">
      <c r="A69" s="64" t="inlineStr">
        <is>
          <t>SU001485</t>
        </is>
      </c>
      <c r="B69" s="64" t="inlineStr">
        <is>
          <t>P003008</t>
        </is>
      </c>
      <c r="C69" s="37" t="n">
        <v>4301011382</v>
      </c>
      <c r="D69" s="308" t="n">
        <v>4607091385687</v>
      </c>
      <c r="E69" s="609" t="n"/>
      <c r="F69" s="641" t="n">
        <v>0.4</v>
      </c>
      <c r="G69" s="38" t="n">
        <v>10</v>
      </c>
      <c r="H69" s="641" t="n">
        <v>4</v>
      </c>
      <c r="I69" s="641" t="n">
        <v>4.24</v>
      </c>
      <c r="J69" s="38" t="n">
        <v>120</v>
      </c>
      <c r="K69" s="39" t="inlineStr">
        <is>
          <t>СК3</t>
        </is>
      </c>
      <c r="L69" s="38" t="n">
        <v>50</v>
      </c>
      <c r="M69" s="671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N69" s="643" t="n"/>
      <c r="O69" s="643" t="n"/>
      <c r="P69" s="643" t="n"/>
      <c r="Q69" s="609" t="n"/>
      <c r="R69" s="40" t="inlineStr"/>
      <c r="S69" s="40" t="inlineStr"/>
      <c r="T69" s="41" t="inlineStr">
        <is>
          <t>кг</t>
        </is>
      </c>
      <c r="U69" s="644" t="n">
        <v>200</v>
      </c>
      <c r="V69" s="645">
        <f>IFERROR(IF(U69="",0,CEILING((U69/$H69),1)*$H69),"")</f>
        <v/>
      </c>
      <c r="W69" s="42">
        <f>IFERROR(IF(V69=0,"",ROUNDUP(V69/H69,0)*0.00937),"")</f>
        <v/>
      </c>
      <c r="X69" s="69" t="inlineStr"/>
      <c r="Y69" s="70" t="inlineStr"/>
      <c r="AC69" s="97" t="inlineStr">
        <is>
          <t>КИ</t>
        </is>
      </c>
    </row>
    <row r="70" ht="27" customHeight="1">
      <c r="A70" s="64" t="inlineStr">
        <is>
          <t>SU002312</t>
        </is>
      </c>
      <c r="B70" s="64" t="inlineStr">
        <is>
          <t>P002577</t>
        </is>
      </c>
      <c r="C70" s="37" t="n">
        <v>4301011344</v>
      </c>
      <c r="D70" s="308" t="n">
        <v>4607091384604</v>
      </c>
      <c r="E70" s="609" t="n"/>
      <c r="F70" s="641" t="n">
        <v>0.4</v>
      </c>
      <c r="G70" s="38" t="n">
        <v>10</v>
      </c>
      <c r="H70" s="641" t="n">
        <v>4</v>
      </c>
      <c r="I70" s="641" t="n">
        <v>4.24</v>
      </c>
      <c r="J70" s="38" t="n">
        <v>120</v>
      </c>
      <c r="K70" s="39" t="inlineStr">
        <is>
          <t>СК1</t>
        </is>
      </c>
      <c r="L70" s="38" t="n">
        <v>50</v>
      </c>
      <c r="M70" s="672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N70" s="643" t="n"/>
      <c r="O70" s="643" t="n"/>
      <c r="P70" s="643" t="n"/>
      <c r="Q70" s="609" t="n"/>
      <c r="R70" s="40" t="inlineStr"/>
      <c r="S70" s="40" t="inlineStr"/>
      <c r="T70" s="41" t="inlineStr">
        <is>
          <t>кг</t>
        </is>
      </c>
      <c r="U70" s="644" t="n">
        <v>0</v>
      </c>
      <c r="V70" s="645">
        <f>IFERROR(IF(U70="",0,CEILING((U70/$H70),1)*$H70),"")</f>
        <v/>
      </c>
      <c r="W70" s="42">
        <f>IFERROR(IF(V70=0,"",ROUNDUP(V70/H70,0)*0.00937),"")</f>
        <v/>
      </c>
      <c r="X70" s="69" t="inlineStr"/>
      <c r="Y70" s="70" t="inlineStr"/>
      <c r="AC70" s="98" t="inlineStr">
        <is>
          <t>КИ</t>
        </is>
      </c>
    </row>
    <row r="71" ht="27" customHeight="1">
      <c r="A71" s="64" t="inlineStr">
        <is>
          <t>SU002674</t>
        </is>
      </c>
      <c r="B71" s="64" t="inlineStr">
        <is>
          <t>P003045</t>
        </is>
      </c>
      <c r="C71" s="37" t="n">
        <v>4301011386</v>
      </c>
      <c r="D71" s="308" t="n">
        <v>4680115880283</v>
      </c>
      <c r="E71" s="609" t="n"/>
      <c r="F71" s="641" t="n">
        <v>0.6</v>
      </c>
      <c r="G71" s="38" t="n">
        <v>8</v>
      </c>
      <c r="H71" s="641" t="n">
        <v>4.8</v>
      </c>
      <c r="I71" s="641" t="n">
        <v>5.04</v>
      </c>
      <c r="J71" s="38" t="n">
        <v>120</v>
      </c>
      <c r="K71" s="39" t="inlineStr">
        <is>
          <t>СК1</t>
        </is>
      </c>
      <c r="L71" s="38" t="n">
        <v>45</v>
      </c>
      <c r="M71" s="673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N71" s="643" t="n"/>
      <c r="O71" s="643" t="n"/>
      <c r="P71" s="643" t="n"/>
      <c r="Q71" s="609" t="n"/>
      <c r="R71" s="40" t="inlineStr"/>
      <c r="S71" s="40" t="inlineStr"/>
      <c r="T71" s="41" t="inlineStr">
        <is>
          <t>кг</t>
        </is>
      </c>
      <c r="U71" s="644" t="n">
        <v>0</v>
      </c>
      <c r="V71" s="645">
        <f>IFERROR(IF(U71="",0,CEILING((U71/$H71),1)*$H71),"")</f>
        <v/>
      </c>
      <c r="W71" s="42">
        <f>IFERROR(IF(V71=0,"",ROUNDUP(V71/H71,0)*0.00937),"")</f>
        <v/>
      </c>
      <c r="X71" s="69" t="inlineStr"/>
      <c r="Y71" s="70" t="inlineStr"/>
      <c r="AC71" s="99" t="inlineStr">
        <is>
          <t>КИ</t>
        </is>
      </c>
    </row>
    <row r="72" ht="16.5" customHeight="1">
      <c r="A72" s="64" t="inlineStr">
        <is>
          <t>SU002832</t>
        </is>
      </c>
      <c r="B72" s="64" t="inlineStr">
        <is>
          <t>P003245</t>
        </is>
      </c>
      <c r="C72" s="37" t="n">
        <v>4301011476</v>
      </c>
      <c r="D72" s="308" t="n">
        <v>4680115881518</v>
      </c>
      <c r="E72" s="609" t="n"/>
      <c r="F72" s="641" t="n">
        <v>0.4</v>
      </c>
      <c r="G72" s="38" t="n">
        <v>10</v>
      </c>
      <c r="H72" s="641" t="n">
        <v>4</v>
      </c>
      <c r="I72" s="641" t="n">
        <v>4.24</v>
      </c>
      <c r="J72" s="38" t="n">
        <v>120</v>
      </c>
      <c r="K72" s="39" t="inlineStr">
        <is>
          <t>СК3</t>
        </is>
      </c>
      <c r="L72" s="38" t="n">
        <v>50</v>
      </c>
      <c r="M72" s="674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N72" s="643" t="n"/>
      <c r="O72" s="643" t="n"/>
      <c r="P72" s="643" t="n"/>
      <c r="Q72" s="609" t="n"/>
      <c r="R72" s="40" t="inlineStr"/>
      <c r="S72" s="40" t="inlineStr"/>
      <c r="T72" s="41" t="inlineStr">
        <is>
          <t>кг</t>
        </is>
      </c>
      <c r="U72" s="644" t="n">
        <v>0</v>
      </c>
      <c r="V72" s="645">
        <f>IFERROR(IF(U72="",0,CEILING((U72/$H72),1)*$H72),"")</f>
        <v/>
      </c>
      <c r="W72" s="42">
        <f>IFERROR(IF(V72=0,"",ROUNDUP(V72/H72,0)*0.00937),"")</f>
        <v/>
      </c>
      <c r="X72" s="69" t="inlineStr"/>
      <c r="Y72" s="70" t="inlineStr"/>
      <c r="AC72" s="100" t="inlineStr">
        <is>
          <t>КИ</t>
        </is>
      </c>
    </row>
    <row r="73" ht="27" customHeight="1">
      <c r="A73" s="64" t="inlineStr">
        <is>
          <t>SU000084</t>
        </is>
      </c>
      <c r="B73" s="64" t="inlineStr">
        <is>
          <t>P003074</t>
        </is>
      </c>
      <c r="C73" s="37" t="n">
        <v>4301011414</v>
      </c>
      <c r="D73" s="308" t="n">
        <v>4607091381986</v>
      </c>
      <c r="E73" s="609" t="n"/>
      <c r="F73" s="641" t="n">
        <v>0.5</v>
      </c>
      <c r="G73" s="38" t="n">
        <v>10</v>
      </c>
      <c r="H73" s="641" t="n">
        <v>5</v>
      </c>
      <c r="I73" s="641" t="n">
        <v>5.24</v>
      </c>
      <c r="J73" s="38" t="n">
        <v>120</v>
      </c>
      <c r="K73" s="39" t="inlineStr">
        <is>
          <t>СК1</t>
        </is>
      </c>
      <c r="L73" s="38" t="n">
        <v>45</v>
      </c>
      <c r="M73" s="675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/>
      </c>
      <c r="N73" s="643" t="n"/>
      <c r="O73" s="643" t="n"/>
      <c r="P73" s="643" t="n"/>
      <c r="Q73" s="609" t="n"/>
      <c r="R73" s="40" t="inlineStr"/>
      <c r="S73" s="40" t="inlineStr"/>
      <c r="T73" s="41" t="inlineStr">
        <is>
          <t>кг</t>
        </is>
      </c>
      <c r="U73" s="644" t="n">
        <v>0</v>
      </c>
      <c r="V73" s="645">
        <f>IFERROR(IF(U73="",0,CEILING((U73/$H73),1)*$H73),"")</f>
        <v/>
      </c>
      <c r="W73" s="42">
        <f>IFERROR(IF(V73=0,"",ROUNDUP(V73/H73,0)*0.00937),"")</f>
        <v/>
      </c>
      <c r="X73" s="69" t="inlineStr"/>
      <c r="Y73" s="70" t="inlineStr"/>
      <c r="AC73" s="101" t="inlineStr">
        <is>
          <t>КИ</t>
        </is>
      </c>
    </row>
    <row r="74" ht="27" customHeight="1">
      <c r="A74" s="64" t="inlineStr">
        <is>
          <t>SU002816</t>
        </is>
      </c>
      <c r="B74" s="64" t="inlineStr">
        <is>
          <t>P003228</t>
        </is>
      </c>
      <c r="C74" s="37" t="n">
        <v>4301011443</v>
      </c>
      <c r="D74" s="308" t="n">
        <v>4680115881303</v>
      </c>
      <c r="E74" s="609" t="n"/>
      <c r="F74" s="641" t="n">
        <v>0.45</v>
      </c>
      <c r="G74" s="38" t="n">
        <v>10</v>
      </c>
      <c r="H74" s="641" t="n">
        <v>4.5</v>
      </c>
      <c r="I74" s="641" t="n">
        <v>4.71</v>
      </c>
      <c r="J74" s="38" t="n">
        <v>120</v>
      </c>
      <c r="K74" s="39" t="inlineStr">
        <is>
          <t>СК4</t>
        </is>
      </c>
      <c r="L74" s="38" t="n">
        <v>50</v>
      </c>
      <c r="M74" s="676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N74" s="643" t="n"/>
      <c r="O74" s="643" t="n"/>
      <c r="P74" s="643" t="n"/>
      <c r="Q74" s="609" t="n"/>
      <c r="R74" s="40" t="inlineStr"/>
      <c r="S74" s="40" t="inlineStr"/>
      <c r="T74" s="41" t="inlineStr">
        <is>
          <t>кг</t>
        </is>
      </c>
      <c r="U74" s="644" t="n">
        <v>450</v>
      </c>
      <c r="V74" s="645">
        <f>IFERROR(IF(U74="",0,CEILING((U74/$H74),1)*$H74),"")</f>
        <v/>
      </c>
      <c r="W74" s="42">
        <f>IFERROR(IF(V74=0,"",ROUNDUP(V74/H74,0)*0.00937),"")</f>
        <v/>
      </c>
      <c r="X74" s="69" t="inlineStr"/>
      <c r="Y74" s="70" t="inlineStr"/>
      <c r="AC74" s="102" t="inlineStr">
        <is>
          <t>КИ</t>
        </is>
      </c>
    </row>
    <row r="75" ht="27" customHeight="1">
      <c r="A75" s="64" t="inlineStr">
        <is>
          <t>SU001905</t>
        </is>
      </c>
      <c r="B75" s="64" t="inlineStr">
        <is>
          <t>P001685</t>
        </is>
      </c>
      <c r="C75" s="37" t="n">
        <v>4301011352</v>
      </c>
      <c r="D75" s="308" t="n">
        <v>4607091388466</v>
      </c>
      <c r="E75" s="609" t="n"/>
      <c r="F75" s="641" t="n">
        <v>0.45</v>
      </c>
      <c r="G75" s="38" t="n">
        <v>6</v>
      </c>
      <c r="H75" s="641" t="n">
        <v>2.7</v>
      </c>
      <c r="I75" s="641" t="n">
        <v>2.9</v>
      </c>
      <c r="J75" s="38" t="n">
        <v>156</v>
      </c>
      <c r="K75" s="39" t="inlineStr">
        <is>
          <t>СК3</t>
        </is>
      </c>
      <c r="L75" s="38" t="n">
        <v>45</v>
      </c>
      <c r="M75" s="677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N75" s="643" t="n"/>
      <c r="O75" s="643" t="n"/>
      <c r="P75" s="643" t="n"/>
      <c r="Q75" s="609" t="n"/>
      <c r="R75" s="40" t="inlineStr"/>
      <c r="S75" s="40" t="inlineStr"/>
      <c r="T75" s="41" t="inlineStr">
        <is>
          <t>кг</t>
        </is>
      </c>
      <c r="U75" s="644" t="n">
        <v>0</v>
      </c>
      <c r="V75" s="645">
        <f>IFERROR(IF(U75="",0,CEILING((U75/$H75),1)*$H75),"")</f>
        <v/>
      </c>
      <c r="W75" s="42">
        <f>IFERROR(IF(V75=0,"",ROUNDUP(V75/H75,0)*0.00753),"")</f>
        <v/>
      </c>
      <c r="X75" s="69" t="inlineStr"/>
      <c r="Y75" s="70" t="inlineStr"/>
      <c r="AC75" s="103" t="inlineStr">
        <is>
          <t>КИ</t>
        </is>
      </c>
    </row>
    <row r="76" ht="27" customHeight="1">
      <c r="A76" s="64" t="inlineStr">
        <is>
          <t>SU002733</t>
        </is>
      </c>
      <c r="B76" s="64" t="inlineStr">
        <is>
          <t>P003102</t>
        </is>
      </c>
      <c r="C76" s="37" t="n">
        <v>4301011417</v>
      </c>
      <c r="D76" s="308" t="n">
        <v>4680115880269</v>
      </c>
      <c r="E76" s="609" t="n"/>
      <c r="F76" s="641" t="n">
        <v>0.375</v>
      </c>
      <c r="G76" s="38" t="n">
        <v>10</v>
      </c>
      <c r="H76" s="641" t="n">
        <v>3.75</v>
      </c>
      <c r="I76" s="641" t="n">
        <v>3.99</v>
      </c>
      <c r="J76" s="38" t="n">
        <v>120</v>
      </c>
      <c r="K76" s="39" t="inlineStr">
        <is>
          <t>СК3</t>
        </is>
      </c>
      <c r="L76" s="38" t="n">
        <v>50</v>
      </c>
      <c r="M76" s="678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N76" s="643" t="n"/>
      <c r="O76" s="643" t="n"/>
      <c r="P76" s="643" t="n"/>
      <c r="Q76" s="609" t="n"/>
      <c r="R76" s="40" t="inlineStr"/>
      <c r="S76" s="40" t="inlineStr"/>
      <c r="T76" s="41" t="inlineStr">
        <is>
          <t>кг</t>
        </is>
      </c>
      <c r="U76" s="644" t="n">
        <v>0</v>
      </c>
      <c r="V76" s="645">
        <f>IFERROR(IF(U76="",0,CEILING((U76/$H76),1)*$H76),"")</f>
        <v/>
      </c>
      <c r="W76" s="42">
        <f>IFERROR(IF(V76=0,"",ROUNDUP(V76/H76,0)*0.00937),"")</f>
        <v/>
      </c>
      <c r="X76" s="69" t="inlineStr"/>
      <c r="Y76" s="70" t="inlineStr"/>
      <c r="AC76" s="104" t="inlineStr">
        <is>
          <t>КИ</t>
        </is>
      </c>
    </row>
    <row r="77" ht="16.5" customHeight="1">
      <c r="A77" s="64" t="inlineStr">
        <is>
          <t>SU002734</t>
        </is>
      </c>
      <c r="B77" s="64" t="inlineStr">
        <is>
          <t>P003103</t>
        </is>
      </c>
      <c r="C77" s="37" t="n">
        <v>4301011415</v>
      </c>
      <c r="D77" s="308" t="n">
        <v>4680115880429</v>
      </c>
      <c r="E77" s="609" t="n"/>
      <c r="F77" s="641" t="n">
        <v>0.45</v>
      </c>
      <c r="G77" s="38" t="n">
        <v>10</v>
      </c>
      <c r="H77" s="641" t="n">
        <v>4.5</v>
      </c>
      <c r="I77" s="641" t="n">
        <v>4.74</v>
      </c>
      <c r="J77" s="38" t="n">
        <v>120</v>
      </c>
      <c r="K77" s="39" t="inlineStr">
        <is>
          <t>СК3</t>
        </is>
      </c>
      <c r="L77" s="38" t="n">
        <v>50</v>
      </c>
      <c r="M77" s="679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N77" s="643" t="n"/>
      <c r="O77" s="643" t="n"/>
      <c r="P77" s="643" t="n"/>
      <c r="Q77" s="609" t="n"/>
      <c r="R77" s="40" t="inlineStr"/>
      <c r="S77" s="40" t="inlineStr"/>
      <c r="T77" s="41" t="inlineStr">
        <is>
          <t>кг</t>
        </is>
      </c>
      <c r="U77" s="644" t="n">
        <v>270</v>
      </c>
      <c r="V77" s="645">
        <f>IFERROR(IF(U77="",0,CEILING((U77/$H77),1)*$H77),"")</f>
        <v/>
      </c>
      <c r="W77" s="42">
        <f>IFERROR(IF(V77=0,"",ROUNDUP(V77/H77,0)*0.00937),"")</f>
        <v/>
      </c>
      <c r="X77" s="69" t="inlineStr"/>
      <c r="Y77" s="70" t="inlineStr"/>
      <c r="AC77" s="105" t="inlineStr">
        <is>
          <t>КИ</t>
        </is>
      </c>
    </row>
    <row r="78" ht="16.5" customHeight="1">
      <c r="A78" s="64" t="inlineStr">
        <is>
          <t>SU002827</t>
        </is>
      </c>
      <c r="B78" s="64" t="inlineStr">
        <is>
          <t>P003233</t>
        </is>
      </c>
      <c r="C78" s="37" t="n">
        <v>4301011462</v>
      </c>
      <c r="D78" s="308" t="n">
        <v>4680115881457</v>
      </c>
      <c r="E78" s="609" t="n"/>
      <c r="F78" s="641" t="n">
        <v>0.75</v>
      </c>
      <c r="G78" s="38" t="n">
        <v>6</v>
      </c>
      <c r="H78" s="641" t="n">
        <v>4.5</v>
      </c>
      <c r="I78" s="641" t="n">
        <v>4.74</v>
      </c>
      <c r="J78" s="38" t="n">
        <v>120</v>
      </c>
      <c r="K78" s="39" t="inlineStr">
        <is>
          <t>СК3</t>
        </is>
      </c>
      <c r="L78" s="38" t="n">
        <v>50</v>
      </c>
      <c r="M78" s="680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N78" s="643" t="n"/>
      <c r="O78" s="643" t="n"/>
      <c r="P78" s="643" t="n"/>
      <c r="Q78" s="609" t="n"/>
      <c r="R78" s="40" t="inlineStr"/>
      <c r="S78" s="40" t="inlineStr"/>
      <c r="T78" s="41" t="inlineStr">
        <is>
          <t>кг</t>
        </is>
      </c>
      <c r="U78" s="644" t="n">
        <v>0</v>
      </c>
      <c r="V78" s="645">
        <f>IFERROR(IF(U78="",0,CEILING((U78/$H78),1)*$H78),"")</f>
        <v/>
      </c>
      <c r="W78" s="42">
        <f>IFERROR(IF(V78=0,"",ROUNDUP(V78/H78,0)*0.00937),"")</f>
        <v/>
      </c>
      <c r="X78" s="69" t="inlineStr"/>
      <c r="Y78" s="70" t="inlineStr"/>
      <c r="AC78" s="106" t="inlineStr">
        <is>
          <t>КИ</t>
        </is>
      </c>
    </row>
    <row r="79">
      <c r="A79" s="317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646" t="n"/>
      <c r="M79" s="647" t="inlineStr">
        <is>
          <t>Итого</t>
        </is>
      </c>
      <c r="N79" s="617" t="n"/>
      <c r="O79" s="617" t="n"/>
      <c r="P79" s="617" t="n"/>
      <c r="Q79" s="617" t="n"/>
      <c r="R79" s="617" t="n"/>
      <c r="S79" s="618" t="n"/>
      <c r="T79" s="43" t="inlineStr">
        <is>
          <t>кор</t>
        </is>
      </c>
      <c r="U79" s="648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</f>
        <v/>
      </c>
      <c r="V79" s="648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/>
      </c>
      <c r="W79" s="648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</f>
        <v/>
      </c>
      <c r="X79" s="649" t="n"/>
      <c r="Y79" s="649" t="n"/>
    </row>
    <row r="80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646" t="n"/>
      <c r="M80" s="647" t="inlineStr">
        <is>
          <t>Итого</t>
        </is>
      </c>
      <c r="N80" s="617" t="n"/>
      <c r="O80" s="617" t="n"/>
      <c r="P80" s="617" t="n"/>
      <c r="Q80" s="617" t="n"/>
      <c r="R80" s="617" t="n"/>
      <c r="S80" s="618" t="n"/>
      <c r="T80" s="43" t="inlineStr">
        <is>
          <t>кг</t>
        </is>
      </c>
      <c r="U80" s="648">
        <f>IFERROR(SUM(U63:U78),"0")</f>
        <v/>
      </c>
      <c r="V80" s="648">
        <f>IFERROR(SUM(V63:V78),"0")</f>
        <v/>
      </c>
      <c r="W80" s="43" t="n"/>
      <c r="X80" s="649" t="n"/>
      <c r="Y80" s="649" t="n"/>
    </row>
    <row r="81" ht="14.25" customHeight="1">
      <c r="A81" s="318" t="inlineStr">
        <is>
          <t>Ветчины</t>
        </is>
      </c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318" t="n"/>
      <c r="Y81" s="318" t="n"/>
    </row>
    <row r="82" ht="16.5" customHeight="1">
      <c r="A82" s="64" t="inlineStr">
        <is>
          <t>SU001944</t>
        </is>
      </c>
      <c r="B82" s="64" t="inlineStr">
        <is>
          <t>P001620</t>
        </is>
      </c>
      <c r="C82" s="37" t="n">
        <v>4301020204</v>
      </c>
      <c r="D82" s="308" t="n">
        <v>4607091388442</v>
      </c>
      <c r="E82" s="609" t="n"/>
      <c r="F82" s="641" t="n">
        <v>1.35</v>
      </c>
      <c r="G82" s="38" t="n">
        <v>8</v>
      </c>
      <c r="H82" s="641" t="n">
        <v>10.8</v>
      </c>
      <c r="I82" s="641" t="n">
        <v>11.28</v>
      </c>
      <c r="J82" s="38" t="n">
        <v>56</v>
      </c>
      <c r="K82" s="39" t="inlineStr">
        <is>
          <t>СК1</t>
        </is>
      </c>
      <c r="L82" s="38" t="n">
        <v>45</v>
      </c>
      <c r="M82" s="681">
        <f>HYPERLINK("https://abi.ru/products/Охлажденные/Вязанка/Вязанка/Ветчины/P001620/","Ветчины Вязанка с индейкой Вязанка Весовые Вектор Вязанка")</f>
        <v/>
      </c>
      <c r="N82" s="643" t="n"/>
      <c r="O82" s="643" t="n"/>
      <c r="P82" s="643" t="n"/>
      <c r="Q82" s="609" t="n"/>
      <c r="R82" s="40" t="inlineStr"/>
      <c r="S82" s="40" t="inlineStr"/>
      <c r="T82" s="41" t="inlineStr">
        <is>
          <t>кг</t>
        </is>
      </c>
      <c r="U82" s="644" t="n">
        <v>0</v>
      </c>
      <c r="V82" s="645">
        <f>IFERROR(IF(U82="",0,CEILING((U82/$H82),1)*$H82),"")</f>
        <v/>
      </c>
      <c r="W82" s="42">
        <f>IFERROR(IF(V82=0,"",ROUNDUP(V82/H82,0)*0.02175),"")</f>
        <v/>
      </c>
      <c r="X82" s="69" t="inlineStr"/>
      <c r="Y82" s="70" t="inlineStr"/>
      <c r="AC82" s="107" t="inlineStr">
        <is>
          <t>КИ</t>
        </is>
      </c>
    </row>
    <row r="83" ht="27" customHeight="1">
      <c r="A83" s="64" t="inlineStr">
        <is>
          <t>SU002488</t>
        </is>
      </c>
      <c r="B83" s="64" t="inlineStr">
        <is>
          <t>P002800</t>
        </is>
      </c>
      <c r="C83" s="37" t="n">
        <v>4301020189</v>
      </c>
      <c r="D83" s="308" t="n">
        <v>4607091384789</v>
      </c>
      <c r="E83" s="609" t="n"/>
      <c r="F83" s="641" t="n">
        <v>1</v>
      </c>
      <c r="G83" s="38" t="n">
        <v>6</v>
      </c>
      <c r="H83" s="641" t="n">
        <v>6</v>
      </c>
      <c r="I83" s="641" t="n">
        <v>6.36</v>
      </c>
      <c r="J83" s="38" t="n">
        <v>104</v>
      </c>
      <c r="K83" s="39" t="inlineStr">
        <is>
          <t>СК1</t>
        </is>
      </c>
      <c r="L83" s="38" t="n">
        <v>45</v>
      </c>
      <c r="M83" s="682" t="inlineStr">
        <is>
          <t>Ветчины Запекуша с сочным окороком Вязанка Весовые П/а Вязанка</t>
        </is>
      </c>
      <c r="N83" s="643" t="n"/>
      <c r="O83" s="643" t="n"/>
      <c r="P83" s="643" t="n"/>
      <c r="Q83" s="609" t="n"/>
      <c r="R83" s="40" t="inlineStr"/>
      <c r="S83" s="40" t="inlineStr"/>
      <c r="T83" s="41" t="inlineStr">
        <is>
          <t>кг</t>
        </is>
      </c>
      <c r="U83" s="644" t="n">
        <v>0</v>
      </c>
      <c r="V83" s="645">
        <f>IFERROR(IF(U83="",0,CEILING((U83/$H83),1)*$H83),"")</f>
        <v/>
      </c>
      <c r="W83" s="42">
        <f>IFERROR(IF(V83=0,"",ROUNDUP(V83/H83,0)*0.01196),"")</f>
        <v/>
      </c>
      <c r="X83" s="69" t="inlineStr"/>
      <c r="Y83" s="70" t="inlineStr"/>
      <c r="AC83" s="108" t="inlineStr">
        <is>
          <t>КИ</t>
        </is>
      </c>
    </row>
    <row r="84" ht="16.5" customHeight="1">
      <c r="A84" s="64" t="inlineStr">
        <is>
          <t>SU002833</t>
        </is>
      </c>
      <c r="B84" s="64" t="inlineStr">
        <is>
          <t>P003236</t>
        </is>
      </c>
      <c r="C84" s="37" t="n">
        <v>4301020235</v>
      </c>
      <c r="D84" s="308" t="n">
        <v>4680115881488</v>
      </c>
      <c r="E84" s="609" t="n"/>
      <c r="F84" s="641" t="n">
        <v>1.35</v>
      </c>
      <c r="G84" s="38" t="n">
        <v>8</v>
      </c>
      <c r="H84" s="641" t="n">
        <v>10.8</v>
      </c>
      <c r="I84" s="641" t="n">
        <v>11.28</v>
      </c>
      <c r="J84" s="38" t="n">
        <v>48</v>
      </c>
      <c r="K84" s="39" t="inlineStr">
        <is>
          <t>СК1</t>
        </is>
      </c>
      <c r="L84" s="38" t="n">
        <v>50</v>
      </c>
      <c r="M84" s="683">
        <f>HYPERLINK("https://abi.ru/products/Охлажденные/Вязанка/Вязанка/Ветчины/P003236/","Ветчины Сливушка с индейкой Вязанка вес П/а Вязанка")</f>
        <v/>
      </c>
      <c r="N84" s="643" t="n"/>
      <c r="O84" s="643" t="n"/>
      <c r="P84" s="643" t="n"/>
      <c r="Q84" s="609" t="n"/>
      <c r="R84" s="40" t="inlineStr"/>
      <c r="S84" s="40" t="inlineStr"/>
      <c r="T84" s="41" t="inlineStr">
        <is>
          <t>кг</t>
        </is>
      </c>
      <c r="U84" s="644" t="n">
        <v>0</v>
      </c>
      <c r="V84" s="645">
        <f>IFERROR(IF(U84="",0,CEILING((U84/$H84),1)*$H84),"")</f>
        <v/>
      </c>
      <c r="W84" s="42">
        <f>IFERROR(IF(V84=0,"",ROUNDUP(V84/H84,0)*0.02175),"")</f>
        <v/>
      </c>
      <c r="X84" s="69" t="inlineStr"/>
      <c r="Y84" s="70" t="inlineStr"/>
      <c r="AC84" s="109" t="inlineStr">
        <is>
          <t>КИ</t>
        </is>
      </c>
    </row>
    <row r="85" ht="27" customHeight="1">
      <c r="A85" s="64" t="inlineStr">
        <is>
          <t>SU002313</t>
        </is>
      </c>
      <c r="B85" s="64" t="inlineStr">
        <is>
          <t>P002583</t>
        </is>
      </c>
      <c r="C85" s="37" t="n">
        <v>4301020183</v>
      </c>
      <c r="D85" s="308" t="n">
        <v>4607091384765</v>
      </c>
      <c r="E85" s="609" t="n"/>
      <c r="F85" s="641" t="n">
        <v>0.42</v>
      </c>
      <c r="G85" s="38" t="n">
        <v>6</v>
      </c>
      <c r="H85" s="641" t="n">
        <v>2.52</v>
      </c>
      <c r="I85" s="641" t="n">
        <v>2.72</v>
      </c>
      <c r="J85" s="38" t="n">
        <v>156</v>
      </c>
      <c r="K85" s="39" t="inlineStr">
        <is>
          <t>СК1</t>
        </is>
      </c>
      <c r="L85" s="38" t="n">
        <v>45</v>
      </c>
      <c r="M85" s="684" t="inlineStr">
        <is>
          <t>Ветчины Запекуша с сочным окороком Вязанка Фикс.вес 0,42 п/а Вязанка</t>
        </is>
      </c>
      <c r="N85" s="643" t="n"/>
      <c r="O85" s="643" t="n"/>
      <c r="P85" s="643" t="n"/>
      <c r="Q85" s="609" t="n"/>
      <c r="R85" s="40" t="inlineStr"/>
      <c r="S85" s="40" t="inlineStr"/>
      <c r="T85" s="41" t="inlineStr">
        <is>
          <t>кг</t>
        </is>
      </c>
      <c r="U85" s="644" t="n">
        <v>0</v>
      </c>
      <c r="V85" s="645">
        <f>IFERROR(IF(U85="",0,CEILING((U85/$H85),1)*$H85),"")</f>
        <v/>
      </c>
      <c r="W85" s="42">
        <f>IFERROR(IF(V85=0,"",ROUNDUP(V85/H85,0)*0.00753),"")</f>
        <v/>
      </c>
      <c r="X85" s="69" t="inlineStr"/>
      <c r="Y85" s="70" t="inlineStr"/>
      <c r="AC85" s="110" t="inlineStr">
        <is>
          <t>КИ</t>
        </is>
      </c>
    </row>
    <row r="86" ht="27" customHeight="1">
      <c r="A86" s="64" t="inlineStr">
        <is>
          <t>SU002735</t>
        </is>
      </c>
      <c r="B86" s="64" t="inlineStr">
        <is>
          <t>P003107</t>
        </is>
      </c>
      <c r="C86" s="37" t="n">
        <v>4301020217</v>
      </c>
      <c r="D86" s="308" t="n">
        <v>4680115880658</v>
      </c>
      <c r="E86" s="609" t="n"/>
      <c r="F86" s="641" t="n">
        <v>0.4</v>
      </c>
      <c r="G86" s="38" t="n">
        <v>6</v>
      </c>
      <c r="H86" s="641" t="n">
        <v>2.4</v>
      </c>
      <c r="I86" s="641" t="n">
        <v>2.6</v>
      </c>
      <c r="J86" s="38" t="n">
        <v>156</v>
      </c>
      <c r="K86" s="39" t="inlineStr">
        <is>
          <t>СК1</t>
        </is>
      </c>
      <c r="L86" s="38" t="n">
        <v>50</v>
      </c>
      <c r="M86" s="685">
        <f>HYPERLINK("https://abi.ru/products/Охлажденные/Вязанка/Вязанка/Ветчины/P003107/","Ветчины Сливушка с индейкой Вязанка Фикс.вес 0,4 П/а Вязанка")</f>
        <v/>
      </c>
      <c r="N86" s="643" t="n"/>
      <c r="O86" s="643" t="n"/>
      <c r="P86" s="643" t="n"/>
      <c r="Q86" s="609" t="n"/>
      <c r="R86" s="40" t="inlineStr"/>
      <c r="S86" s="40" t="inlineStr"/>
      <c r="T86" s="41" t="inlineStr">
        <is>
          <t>кг</t>
        </is>
      </c>
      <c r="U86" s="644" t="n">
        <v>0</v>
      </c>
      <c r="V86" s="645">
        <f>IFERROR(IF(U86="",0,CEILING((U86/$H86),1)*$H86),"")</f>
        <v/>
      </c>
      <c r="W86" s="42">
        <f>IFERROR(IF(V86=0,"",ROUNDUP(V86/H86,0)*0.00753),"")</f>
        <v/>
      </c>
      <c r="X86" s="69" t="inlineStr"/>
      <c r="Y86" s="70" t="inlineStr"/>
      <c r="AC86" s="111" t="inlineStr">
        <is>
          <t>КИ</t>
        </is>
      </c>
    </row>
    <row r="87" ht="27" customHeight="1">
      <c r="A87" s="64" t="inlineStr">
        <is>
          <t>SU000082</t>
        </is>
      </c>
      <c r="B87" s="64" t="inlineStr">
        <is>
          <t>P003164</t>
        </is>
      </c>
      <c r="C87" s="37" t="n">
        <v>4301020223</v>
      </c>
      <c r="D87" s="308" t="n">
        <v>4607091381962</v>
      </c>
      <c r="E87" s="609" t="n"/>
      <c r="F87" s="641" t="n">
        <v>0.5</v>
      </c>
      <c r="G87" s="38" t="n">
        <v>6</v>
      </c>
      <c r="H87" s="641" t="n">
        <v>3</v>
      </c>
      <c r="I87" s="641" t="n">
        <v>3.2</v>
      </c>
      <c r="J87" s="38" t="n">
        <v>156</v>
      </c>
      <c r="K87" s="39" t="inlineStr">
        <is>
          <t>СК1</t>
        </is>
      </c>
      <c r="L87" s="38" t="n">
        <v>50</v>
      </c>
      <c r="M87" s="686">
        <f>HYPERLINK("https://abi.ru/products/Охлажденные/Вязанка/Вязанка/Ветчины/P003164/","Ветчины Столичная Вязанка Фикс.вес 0,5 Вектор Вязанка")</f>
        <v/>
      </c>
      <c r="N87" s="643" t="n"/>
      <c r="O87" s="643" t="n"/>
      <c r="P87" s="643" t="n"/>
      <c r="Q87" s="609" t="n"/>
      <c r="R87" s="40" t="inlineStr"/>
      <c r="S87" s="40" t="inlineStr"/>
      <c r="T87" s="41" t="inlineStr">
        <is>
          <t>кг</t>
        </is>
      </c>
      <c r="U87" s="644" t="n">
        <v>0</v>
      </c>
      <c r="V87" s="645">
        <f>IFERROR(IF(U87="",0,CEILING((U87/$H87),1)*$H87),"")</f>
        <v/>
      </c>
      <c r="W87" s="42">
        <f>IFERROR(IF(V87=0,"",ROUNDUP(V87/H87,0)*0.00753),"")</f>
        <v/>
      </c>
      <c r="X87" s="69" t="inlineStr"/>
      <c r="Y87" s="70" t="inlineStr"/>
      <c r="AC87" s="112" t="inlineStr">
        <is>
          <t>КИ</t>
        </is>
      </c>
    </row>
    <row r="88">
      <c r="A88" s="317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646" t="n"/>
      <c r="M88" s="647" t="inlineStr">
        <is>
          <t>Итого</t>
        </is>
      </c>
      <c r="N88" s="617" t="n"/>
      <c r="O88" s="617" t="n"/>
      <c r="P88" s="617" t="n"/>
      <c r="Q88" s="617" t="n"/>
      <c r="R88" s="617" t="n"/>
      <c r="S88" s="618" t="n"/>
      <c r="T88" s="43" t="inlineStr">
        <is>
          <t>кор</t>
        </is>
      </c>
      <c r="U88" s="648">
        <f>IFERROR(U82/H82,"0")+IFERROR(U83/H83,"0")+IFERROR(U84/H84,"0")+IFERROR(U85/H85,"0")+IFERROR(U86/H86,"0")+IFERROR(U87/H87,"0")</f>
        <v/>
      </c>
      <c r="V88" s="648">
        <f>IFERROR(V82/H82,"0")+IFERROR(V83/H83,"0")+IFERROR(V84/H84,"0")+IFERROR(V85/H85,"0")+IFERROR(V86/H86,"0")+IFERROR(V87/H87,"0")</f>
        <v/>
      </c>
      <c r="W88" s="648">
        <f>IFERROR(IF(W82="",0,W82),"0")+IFERROR(IF(W83="",0,W83),"0")+IFERROR(IF(W84="",0,W84),"0")+IFERROR(IF(W85="",0,W85),"0")+IFERROR(IF(W86="",0,W86),"0")+IFERROR(IF(W87="",0,W87),"0")</f>
        <v/>
      </c>
      <c r="X88" s="649" t="n"/>
      <c r="Y88" s="649" t="n"/>
    </row>
    <row r="89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646" t="n"/>
      <c r="M89" s="647" t="inlineStr">
        <is>
          <t>Итого</t>
        </is>
      </c>
      <c r="N89" s="617" t="n"/>
      <c r="O89" s="617" t="n"/>
      <c r="P89" s="617" t="n"/>
      <c r="Q89" s="617" t="n"/>
      <c r="R89" s="617" t="n"/>
      <c r="S89" s="618" t="n"/>
      <c r="T89" s="43" t="inlineStr">
        <is>
          <t>кг</t>
        </is>
      </c>
      <c r="U89" s="648">
        <f>IFERROR(SUM(U82:U87),"0")</f>
        <v/>
      </c>
      <c r="V89" s="648">
        <f>IFERROR(SUM(V82:V87),"0")</f>
        <v/>
      </c>
      <c r="W89" s="43" t="n"/>
      <c r="X89" s="649" t="n"/>
      <c r="Y89" s="649" t="n"/>
    </row>
    <row r="90" ht="14.25" customHeight="1">
      <c r="A90" s="318" t="inlineStr">
        <is>
          <t>Копченые колбасы</t>
        </is>
      </c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318" t="n"/>
      <c r="Y90" s="318" t="n"/>
    </row>
    <row r="91" ht="16.5" customHeight="1">
      <c r="A91" s="64" t="inlineStr">
        <is>
          <t>SU000064</t>
        </is>
      </c>
      <c r="B91" s="64" t="inlineStr">
        <is>
          <t>P001841</t>
        </is>
      </c>
      <c r="C91" s="37" t="n">
        <v>4301030895</v>
      </c>
      <c r="D91" s="308" t="n">
        <v>4607091387667</v>
      </c>
      <c r="E91" s="609" t="n"/>
      <c r="F91" s="641" t="n">
        <v>0.9</v>
      </c>
      <c r="G91" s="38" t="n">
        <v>10</v>
      </c>
      <c r="H91" s="641" t="n">
        <v>9</v>
      </c>
      <c r="I91" s="641" t="n">
        <v>9.630000000000001</v>
      </c>
      <c r="J91" s="38" t="n">
        <v>56</v>
      </c>
      <c r="K91" s="39" t="inlineStr">
        <is>
          <t>СК1</t>
        </is>
      </c>
      <c r="L91" s="38" t="n">
        <v>40</v>
      </c>
      <c r="M91" s="687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N91" s="643" t="n"/>
      <c r="O91" s="643" t="n"/>
      <c r="P91" s="643" t="n"/>
      <c r="Q91" s="609" t="n"/>
      <c r="R91" s="40" t="inlineStr"/>
      <c r="S91" s="40" t="inlineStr"/>
      <c r="T91" s="41" t="inlineStr">
        <is>
          <t>кг</t>
        </is>
      </c>
      <c r="U91" s="644" t="n">
        <v>0</v>
      </c>
      <c r="V91" s="645">
        <f>IFERROR(IF(U91="",0,CEILING((U91/$H91),1)*$H91),"")</f>
        <v/>
      </c>
      <c r="W91" s="42">
        <f>IFERROR(IF(V91=0,"",ROUNDUP(V91/H91,0)*0.02175),"")</f>
        <v/>
      </c>
      <c r="X91" s="69" t="inlineStr"/>
      <c r="Y91" s="70" t="inlineStr"/>
      <c r="AC91" s="113" t="inlineStr">
        <is>
          <t>КИ</t>
        </is>
      </c>
    </row>
    <row r="92" ht="27" customHeight="1">
      <c r="A92" s="64" t="inlineStr">
        <is>
          <t>SU000664</t>
        </is>
      </c>
      <c r="B92" s="64" t="inlineStr">
        <is>
          <t>P002177</t>
        </is>
      </c>
      <c r="C92" s="37" t="n">
        <v>4301030961</v>
      </c>
      <c r="D92" s="308" t="n">
        <v>4607091387636</v>
      </c>
      <c r="E92" s="609" t="n"/>
      <c r="F92" s="641" t="n">
        <v>0.7</v>
      </c>
      <c r="G92" s="38" t="n">
        <v>6</v>
      </c>
      <c r="H92" s="641" t="n">
        <v>4.2</v>
      </c>
      <c r="I92" s="641" t="n">
        <v>4.5</v>
      </c>
      <c r="J92" s="38" t="n">
        <v>120</v>
      </c>
      <c r="K92" s="39" t="inlineStr">
        <is>
          <t>СК2</t>
        </is>
      </c>
      <c r="L92" s="38" t="n">
        <v>40</v>
      </c>
      <c r="M92" s="688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N92" s="643" t="n"/>
      <c r="O92" s="643" t="n"/>
      <c r="P92" s="643" t="n"/>
      <c r="Q92" s="609" t="n"/>
      <c r="R92" s="40" t="inlineStr"/>
      <c r="S92" s="40" t="inlineStr"/>
      <c r="T92" s="41" t="inlineStr">
        <is>
          <t>кг</t>
        </is>
      </c>
      <c r="U92" s="644" t="n">
        <v>0</v>
      </c>
      <c r="V92" s="645">
        <f>IFERROR(IF(U92="",0,CEILING((U92/$H92),1)*$H92),"")</f>
        <v/>
      </c>
      <c r="W92" s="42">
        <f>IFERROR(IF(V92=0,"",ROUNDUP(V92/H92,0)*0.00937),"")</f>
        <v/>
      </c>
      <c r="X92" s="69" t="inlineStr"/>
      <c r="Y92" s="70" t="inlineStr"/>
      <c r="AC92" s="114" t="inlineStr">
        <is>
          <t>КИ</t>
        </is>
      </c>
    </row>
    <row r="93" ht="27" customHeight="1">
      <c r="A93" s="64" t="inlineStr">
        <is>
          <t>SU002308</t>
        </is>
      </c>
      <c r="B93" s="64" t="inlineStr">
        <is>
          <t>P002572</t>
        </is>
      </c>
      <c r="C93" s="37" t="n">
        <v>4301031078</v>
      </c>
      <c r="D93" s="308" t="n">
        <v>4607091384727</v>
      </c>
      <c r="E93" s="609" t="n"/>
      <c r="F93" s="641" t="n">
        <v>0.8</v>
      </c>
      <c r="G93" s="38" t="n">
        <v>6</v>
      </c>
      <c r="H93" s="641" t="n">
        <v>4.8</v>
      </c>
      <c r="I93" s="641" t="n">
        <v>5.16</v>
      </c>
      <c r="J93" s="38" t="n">
        <v>104</v>
      </c>
      <c r="K93" s="39" t="inlineStr">
        <is>
          <t>СК2</t>
        </is>
      </c>
      <c r="L93" s="38" t="n">
        <v>45</v>
      </c>
      <c r="M93" s="689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N93" s="643" t="n"/>
      <c r="O93" s="643" t="n"/>
      <c r="P93" s="643" t="n"/>
      <c r="Q93" s="609" t="n"/>
      <c r="R93" s="40" t="inlineStr"/>
      <c r="S93" s="40" t="inlineStr"/>
      <c r="T93" s="41" t="inlineStr">
        <is>
          <t>кг</t>
        </is>
      </c>
      <c r="U93" s="644" t="n">
        <v>0</v>
      </c>
      <c r="V93" s="645">
        <f>IFERROR(IF(U93="",0,CEILING((U93/$H93),1)*$H93),"")</f>
        <v/>
      </c>
      <c r="W93" s="42">
        <f>IFERROR(IF(V93=0,"",ROUNDUP(V93/H93,0)*0.01196),"")</f>
        <v/>
      </c>
      <c r="X93" s="69" t="inlineStr"/>
      <c r="Y93" s="70" t="inlineStr"/>
      <c r="AC93" s="115" t="inlineStr">
        <is>
          <t>КИ</t>
        </is>
      </c>
    </row>
    <row r="94" ht="27" customHeight="1">
      <c r="A94" s="64" t="inlineStr">
        <is>
          <t>SU002310</t>
        </is>
      </c>
      <c r="B94" s="64" t="inlineStr">
        <is>
          <t>P002574</t>
        </is>
      </c>
      <c r="C94" s="37" t="n">
        <v>4301031080</v>
      </c>
      <c r="D94" s="308" t="n">
        <v>4607091386745</v>
      </c>
      <c r="E94" s="609" t="n"/>
      <c r="F94" s="641" t="n">
        <v>0.8</v>
      </c>
      <c r="G94" s="38" t="n">
        <v>6</v>
      </c>
      <c r="H94" s="641" t="n">
        <v>4.8</v>
      </c>
      <c r="I94" s="641" t="n">
        <v>5.16</v>
      </c>
      <c r="J94" s="38" t="n">
        <v>104</v>
      </c>
      <c r="K94" s="39" t="inlineStr">
        <is>
          <t>СК2</t>
        </is>
      </c>
      <c r="L94" s="38" t="n">
        <v>45</v>
      </c>
      <c r="M94" s="690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N94" s="643" t="n"/>
      <c r="O94" s="643" t="n"/>
      <c r="P94" s="643" t="n"/>
      <c r="Q94" s="609" t="n"/>
      <c r="R94" s="40" t="inlineStr"/>
      <c r="S94" s="40" t="inlineStr"/>
      <c r="T94" s="41" t="inlineStr">
        <is>
          <t>кг</t>
        </is>
      </c>
      <c r="U94" s="644" t="n">
        <v>0</v>
      </c>
      <c r="V94" s="645">
        <f>IFERROR(IF(U94="",0,CEILING((U94/$H94),1)*$H94),"")</f>
        <v/>
      </c>
      <c r="W94" s="42">
        <f>IFERROR(IF(V94=0,"",ROUNDUP(V94/H94,0)*0.01196),"")</f>
        <v/>
      </c>
      <c r="X94" s="69" t="inlineStr"/>
      <c r="Y94" s="70" t="inlineStr"/>
      <c r="AC94" s="116" t="inlineStr">
        <is>
          <t>КИ</t>
        </is>
      </c>
    </row>
    <row r="95" ht="16.5" customHeight="1">
      <c r="A95" s="64" t="inlineStr">
        <is>
          <t>SU000097</t>
        </is>
      </c>
      <c r="B95" s="64" t="inlineStr">
        <is>
          <t>P002179</t>
        </is>
      </c>
      <c r="C95" s="37" t="n">
        <v>4301030963</v>
      </c>
      <c r="D95" s="308" t="n">
        <v>4607091382426</v>
      </c>
      <c r="E95" s="609" t="n"/>
      <c r="F95" s="641" t="n">
        <v>0.9</v>
      </c>
      <c r="G95" s="38" t="n">
        <v>10</v>
      </c>
      <c r="H95" s="641" t="n">
        <v>9</v>
      </c>
      <c r="I95" s="641" t="n">
        <v>9.630000000000001</v>
      </c>
      <c r="J95" s="38" t="n">
        <v>56</v>
      </c>
      <c r="K95" s="39" t="inlineStr">
        <is>
          <t>СК2</t>
        </is>
      </c>
      <c r="L95" s="38" t="n">
        <v>40</v>
      </c>
      <c r="M95" s="691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N95" s="643" t="n"/>
      <c r="O95" s="643" t="n"/>
      <c r="P95" s="643" t="n"/>
      <c r="Q95" s="609" t="n"/>
      <c r="R95" s="40" t="inlineStr"/>
      <c r="S95" s="40" t="inlineStr"/>
      <c r="T95" s="41" t="inlineStr">
        <is>
          <t>кг</t>
        </is>
      </c>
      <c r="U95" s="644" t="n">
        <v>0</v>
      </c>
      <c r="V95" s="645">
        <f>IFERROR(IF(U95="",0,CEILING((U95/$H95),1)*$H95),"")</f>
        <v/>
      </c>
      <c r="W95" s="42">
        <f>IFERROR(IF(V95=0,"",ROUNDUP(V95/H95,0)*0.02175),"")</f>
        <v/>
      </c>
      <c r="X95" s="69" t="inlineStr"/>
      <c r="Y95" s="70" t="inlineStr"/>
      <c r="AC95" s="117" t="inlineStr">
        <is>
          <t>КИ</t>
        </is>
      </c>
    </row>
    <row r="96" ht="27" customHeight="1">
      <c r="A96" s="64" t="inlineStr">
        <is>
          <t>SU000665</t>
        </is>
      </c>
      <c r="B96" s="64" t="inlineStr">
        <is>
          <t>P002178</t>
        </is>
      </c>
      <c r="C96" s="37" t="n">
        <v>4301030962</v>
      </c>
      <c r="D96" s="308" t="n">
        <v>4607091386547</v>
      </c>
      <c r="E96" s="609" t="n"/>
      <c r="F96" s="641" t="n">
        <v>0.35</v>
      </c>
      <c r="G96" s="38" t="n">
        <v>8</v>
      </c>
      <c r="H96" s="641" t="n">
        <v>2.8</v>
      </c>
      <c r="I96" s="641" t="n">
        <v>2.94</v>
      </c>
      <c r="J96" s="38" t="n">
        <v>234</v>
      </c>
      <c r="K96" s="39" t="inlineStr">
        <is>
          <t>СК2</t>
        </is>
      </c>
      <c r="L96" s="38" t="n">
        <v>40</v>
      </c>
      <c r="M96" s="692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N96" s="643" t="n"/>
      <c r="O96" s="643" t="n"/>
      <c r="P96" s="643" t="n"/>
      <c r="Q96" s="609" t="n"/>
      <c r="R96" s="40" t="inlineStr"/>
      <c r="S96" s="40" t="inlineStr"/>
      <c r="T96" s="41" t="inlineStr">
        <is>
          <t>кг</t>
        </is>
      </c>
      <c r="U96" s="644" t="n">
        <v>0</v>
      </c>
      <c r="V96" s="645">
        <f>IFERROR(IF(U96="",0,CEILING((U96/$H96),1)*$H96),"")</f>
        <v/>
      </c>
      <c r="W96" s="42">
        <f>IFERROR(IF(V96=0,"",ROUNDUP(V96/H96,0)*0.00502),"")</f>
        <v/>
      </c>
      <c r="X96" s="69" t="inlineStr"/>
      <c r="Y96" s="70" t="inlineStr"/>
      <c r="AC96" s="118" t="inlineStr">
        <is>
          <t>КИ</t>
        </is>
      </c>
    </row>
    <row r="97" ht="27" customHeight="1">
      <c r="A97" s="64" t="inlineStr">
        <is>
          <t>SU002307</t>
        </is>
      </c>
      <c r="B97" s="64" t="inlineStr">
        <is>
          <t>P002571</t>
        </is>
      </c>
      <c r="C97" s="37" t="n">
        <v>4301031077</v>
      </c>
      <c r="D97" s="308" t="n">
        <v>4607091384703</v>
      </c>
      <c r="E97" s="609" t="n"/>
      <c r="F97" s="641" t="n">
        <v>0.35</v>
      </c>
      <c r="G97" s="38" t="n">
        <v>6</v>
      </c>
      <c r="H97" s="641" t="n">
        <v>2.1</v>
      </c>
      <c r="I97" s="641" t="n">
        <v>2.2</v>
      </c>
      <c r="J97" s="38" t="n">
        <v>234</v>
      </c>
      <c r="K97" s="39" t="inlineStr">
        <is>
          <t>СК2</t>
        </is>
      </c>
      <c r="L97" s="38" t="n">
        <v>45</v>
      </c>
      <c r="M97" s="693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/>
      </c>
      <c r="N97" s="643" t="n"/>
      <c r="O97" s="643" t="n"/>
      <c r="P97" s="643" t="n"/>
      <c r="Q97" s="609" t="n"/>
      <c r="R97" s="40" t="inlineStr"/>
      <c r="S97" s="40" t="inlineStr"/>
      <c r="T97" s="41" t="inlineStr">
        <is>
          <t>кг</t>
        </is>
      </c>
      <c r="U97" s="644" t="n">
        <v>0</v>
      </c>
      <c r="V97" s="645">
        <f>IFERROR(IF(U97="",0,CEILING((U97/$H97),1)*$H97),"")</f>
        <v/>
      </c>
      <c r="W97" s="42">
        <f>IFERROR(IF(V97=0,"",ROUNDUP(V97/H97,0)*0.00502),"")</f>
        <v/>
      </c>
      <c r="X97" s="69" t="inlineStr"/>
      <c r="Y97" s="70" t="inlineStr"/>
      <c r="AC97" s="119" t="inlineStr">
        <is>
          <t>КИ</t>
        </is>
      </c>
    </row>
    <row r="98" ht="27" customHeight="1">
      <c r="A98" s="64" t="inlineStr">
        <is>
          <t>SU002309</t>
        </is>
      </c>
      <c r="B98" s="64" t="inlineStr">
        <is>
          <t>P002573</t>
        </is>
      </c>
      <c r="C98" s="37" t="n">
        <v>4301031079</v>
      </c>
      <c r="D98" s="308" t="n">
        <v>4607091384734</v>
      </c>
      <c r="E98" s="609" t="n"/>
      <c r="F98" s="641" t="n">
        <v>0.35</v>
      </c>
      <c r="G98" s="38" t="n">
        <v>6</v>
      </c>
      <c r="H98" s="641" t="n">
        <v>2.1</v>
      </c>
      <c r="I98" s="641" t="n">
        <v>2.2</v>
      </c>
      <c r="J98" s="38" t="n">
        <v>234</v>
      </c>
      <c r="K98" s="39" t="inlineStr">
        <is>
          <t>СК2</t>
        </is>
      </c>
      <c r="L98" s="38" t="n">
        <v>45</v>
      </c>
      <c r="M98" s="694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N98" s="643" t="n"/>
      <c r="O98" s="643" t="n"/>
      <c r="P98" s="643" t="n"/>
      <c r="Q98" s="609" t="n"/>
      <c r="R98" s="40" t="inlineStr"/>
      <c r="S98" s="40" t="inlineStr"/>
      <c r="T98" s="41" t="inlineStr">
        <is>
          <t>кг</t>
        </is>
      </c>
      <c r="U98" s="644" t="n">
        <v>0</v>
      </c>
      <c r="V98" s="645">
        <f>IFERROR(IF(U98="",0,CEILING((U98/$H98),1)*$H98),"")</f>
        <v/>
      </c>
      <c r="W98" s="42">
        <f>IFERROR(IF(V98=0,"",ROUNDUP(V98/H98,0)*0.00502),"")</f>
        <v/>
      </c>
      <c r="X98" s="69" t="inlineStr"/>
      <c r="Y98" s="70" t="inlineStr"/>
      <c r="AC98" s="120" t="inlineStr">
        <is>
          <t>КИ</t>
        </is>
      </c>
    </row>
    <row r="99" ht="27" customHeight="1">
      <c r="A99" s="64" t="inlineStr">
        <is>
          <t>SU001605</t>
        </is>
      </c>
      <c r="B99" s="64" t="inlineStr">
        <is>
          <t>P002180</t>
        </is>
      </c>
      <c r="C99" s="37" t="n">
        <v>4301030964</v>
      </c>
      <c r="D99" s="308" t="n">
        <v>4607091382464</v>
      </c>
      <c r="E99" s="609" t="n"/>
      <c r="F99" s="641" t="n">
        <v>0.35</v>
      </c>
      <c r="G99" s="38" t="n">
        <v>8</v>
      </c>
      <c r="H99" s="641" t="n">
        <v>2.8</v>
      </c>
      <c r="I99" s="641" t="n">
        <v>2.964</v>
      </c>
      <c r="J99" s="38" t="n">
        <v>234</v>
      </c>
      <c r="K99" s="39" t="inlineStr">
        <is>
          <t>СК2</t>
        </is>
      </c>
      <c r="L99" s="38" t="n">
        <v>40</v>
      </c>
      <c r="M99" s="695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N99" s="643" t="n"/>
      <c r="O99" s="643" t="n"/>
      <c r="P99" s="643" t="n"/>
      <c r="Q99" s="609" t="n"/>
      <c r="R99" s="40" t="inlineStr"/>
      <c r="S99" s="40" t="inlineStr"/>
      <c r="T99" s="41" t="inlineStr">
        <is>
          <t>кг</t>
        </is>
      </c>
      <c r="U99" s="644" t="n">
        <v>0</v>
      </c>
      <c r="V99" s="645">
        <f>IFERROR(IF(U99="",0,CEILING((U99/$H99),1)*$H99),"")</f>
        <v/>
      </c>
      <c r="W99" s="42">
        <f>IFERROR(IF(V99=0,"",ROUNDUP(V99/H99,0)*0.00502),"")</f>
        <v/>
      </c>
      <c r="X99" s="69" t="inlineStr"/>
      <c r="Y99" s="70" t="inlineStr"/>
      <c r="AC99" s="121" t="inlineStr">
        <is>
          <t>КИ</t>
        </is>
      </c>
    </row>
    <row r="100">
      <c r="A100" s="317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646" t="n"/>
      <c r="M100" s="647" t="inlineStr">
        <is>
          <t>Итого</t>
        </is>
      </c>
      <c r="N100" s="617" t="n"/>
      <c r="O100" s="617" t="n"/>
      <c r="P100" s="617" t="n"/>
      <c r="Q100" s="617" t="n"/>
      <c r="R100" s="617" t="n"/>
      <c r="S100" s="618" t="n"/>
      <c r="T100" s="43" t="inlineStr">
        <is>
          <t>кор</t>
        </is>
      </c>
      <c r="U100" s="648">
        <f>IFERROR(U91/H91,"0")+IFERROR(U92/H92,"0")+IFERROR(U93/H93,"0")+IFERROR(U94/H94,"0")+IFERROR(U95/H95,"0")+IFERROR(U96/H96,"0")+IFERROR(U97/H97,"0")+IFERROR(U98/H98,"0")+IFERROR(U99/H99,"0")</f>
        <v/>
      </c>
      <c r="V100" s="648">
        <f>IFERROR(V91/H91,"0")+IFERROR(V92/H92,"0")+IFERROR(V93/H93,"0")+IFERROR(V94/H94,"0")+IFERROR(V95/H95,"0")+IFERROR(V96/H96,"0")+IFERROR(V97/H97,"0")+IFERROR(V98/H98,"0")+IFERROR(V99/H99,"0")</f>
        <v/>
      </c>
      <c r="W100" s="648">
        <f>IFERROR(IF(W91="",0,W91),"0")+IFERROR(IF(W92="",0,W92),"0")+IFERROR(IF(W93="",0,W93),"0")+IFERROR(IF(W94="",0,W94),"0")+IFERROR(IF(W95="",0,W95),"0")+IFERROR(IF(W96="",0,W96),"0")+IFERROR(IF(W97="",0,W97),"0")+IFERROR(IF(W98="",0,W98),"0")+IFERROR(IF(W99="",0,W99),"0")</f>
        <v/>
      </c>
      <c r="X100" s="649" t="n"/>
      <c r="Y100" s="649" t="n"/>
    </row>
    <row r="101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646" t="n"/>
      <c r="M101" s="647" t="inlineStr">
        <is>
          <t>Итого</t>
        </is>
      </c>
      <c r="N101" s="617" t="n"/>
      <c r="O101" s="617" t="n"/>
      <c r="P101" s="617" t="n"/>
      <c r="Q101" s="617" t="n"/>
      <c r="R101" s="617" t="n"/>
      <c r="S101" s="618" t="n"/>
      <c r="T101" s="43" t="inlineStr">
        <is>
          <t>кг</t>
        </is>
      </c>
      <c r="U101" s="648">
        <f>IFERROR(SUM(U91:U99),"0")</f>
        <v/>
      </c>
      <c r="V101" s="648">
        <f>IFERROR(SUM(V91:V99),"0")</f>
        <v/>
      </c>
      <c r="W101" s="43" t="n"/>
      <c r="X101" s="649" t="n"/>
      <c r="Y101" s="649" t="n"/>
    </row>
    <row r="102" ht="14.25" customHeight="1">
      <c r="A102" s="318" t="inlineStr">
        <is>
          <t>Сосиски</t>
        </is>
      </c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318" t="n"/>
      <c r="Y102" s="318" t="n"/>
    </row>
    <row r="103" ht="27" customHeight="1">
      <c r="A103" s="64" t="inlineStr">
        <is>
          <t>SU001523</t>
        </is>
      </c>
      <c r="B103" s="64" t="inlineStr">
        <is>
          <t>P003328</t>
        </is>
      </c>
      <c r="C103" s="37" t="n">
        <v>4301051437</v>
      </c>
      <c r="D103" s="308" t="n">
        <v>4607091386967</v>
      </c>
      <c r="E103" s="609" t="n"/>
      <c r="F103" s="641" t="n">
        <v>1.35</v>
      </c>
      <c r="G103" s="38" t="n">
        <v>6</v>
      </c>
      <c r="H103" s="641" t="n">
        <v>8.1</v>
      </c>
      <c r="I103" s="641" t="n">
        <v>8.664</v>
      </c>
      <c r="J103" s="38" t="n">
        <v>56</v>
      </c>
      <c r="K103" s="39" t="inlineStr">
        <is>
          <t>СК3</t>
        </is>
      </c>
      <c r="L103" s="38" t="n">
        <v>45</v>
      </c>
      <c r="M103" s="696" t="inlineStr">
        <is>
          <t>Сосиски Молокуши (Вязанка Молочные) Вязанка Весовые П/а мгс Вязанка</t>
        </is>
      </c>
      <c r="N103" s="643" t="n"/>
      <c r="O103" s="643" t="n"/>
      <c r="P103" s="643" t="n"/>
      <c r="Q103" s="609" t="n"/>
      <c r="R103" s="40" t="inlineStr"/>
      <c r="S103" s="40" t="inlineStr"/>
      <c r="T103" s="41" t="inlineStr">
        <is>
          <t>кг</t>
        </is>
      </c>
      <c r="U103" s="644" t="n">
        <v>120</v>
      </c>
      <c r="V103" s="645">
        <f>IFERROR(IF(U103="",0,CEILING((U103/$H103),1)*$H103),"")</f>
        <v/>
      </c>
      <c r="W103" s="42">
        <f>IFERROR(IF(V103=0,"",ROUNDUP(V103/H103,0)*0.02175),"")</f>
        <v/>
      </c>
      <c r="X103" s="69" t="inlineStr"/>
      <c r="Y103" s="70" t="inlineStr"/>
      <c r="AC103" s="122" t="inlineStr">
        <is>
          <t>КИ</t>
        </is>
      </c>
    </row>
    <row r="104" ht="16.5" customHeight="1">
      <c r="A104" s="64" t="inlineStr">
        <is>
          <t>SU001351</t>
        </is>
      </c>
      <c r="B104" s="64" t="inlineStr">
        <is>
          <t>P003025</t>
        </is>
      </c>
      <c r="C104" s="37" t="n">
        <v>4301051311</v>
      </c>
      <c r="D104" s="308" t="n">
        <v>4607091385304</v>
      </c>
      <c r="E104" s="609" t="n"/>
      <c r="F104" s="641" t="n">
        <v>1.35</v>
      </c>
      <c r="G104" s="38" t="n">
        <v>6</v>
      </c>
      <c r="H104" s="641" t="n">
        <v>8.1</v>
      </c>
      <c r="I104" s="641" t="n">
        <v>8.664</v>
      </c>
      <c r="J104" s="38" t="n">
        <v>56</v>
      </c>
      <c r="K104" s="39" t="inlineStr">
        <is>
          <t>СК2</t>
        </is>
      </c>
      <c r="L104" s="38" t="n">
        <v>40</v>
      </c>
      <c r="M104" s="697">
        <f>HYPERLINK("https://abi.ru/products/Охлажденные/Вязанка/Вязанка/Сосиски/P003025/","Сосиски Рубленые Вязанка Весовые п/а мгс Вязанка")</f>
        <v/>
      </c>
      <c r="N104" s="643" t="n"/>
      <c r="O104" s="643" t="n"/>
      <c r="P104" s="643" t="n"/>
      <c r="Q104" s="609" t="n"/>
      <c r="R104" s="40" t="inlineStr"/>
      <c r="S104" s="40" t="inlineStr"/>
      <c r="T104" s="41" t="inlineStr">
        <is>
          <t>кг</t>
        </is>
      </c>
      <c r="U104" s="644" t="n">
        <v>0</v>
      </c>
      <c r="V104" s="645">
        <f>IFERROR(IF(U104="",0,CEILING((U104/$H104),1)*$H104),"")</f>
        <v/>
      </c>
      <c r="W104" s="42">
        <f>IFERROR(IF(V104=0,"",ROUNDUP(V104/H104,0)*0.02175),"")</f>
        <v/>
      </c>
      <c r="X104" s="69" t="inlineStr"/>
      <c r="Y104" s="70" t="inlineStr"/>
      <c r="AC104" s="123" t="inlineStr">
        <is>
          <t>КИ</t>
        </is>
      </c>
    </row>
    <row r="105" ht="16.5" customHeight="1">
      <c r="A105" s="64" t="inlineStr">
        <is>
          <t>SU001527</t>
        </is>
      </c>
      <c r="B105" s="64" t="inlineStr">
        <is>
          <t>P002217</t>
        </is>
      </c>
      <c r="C105" s="37" t="n">
        <v>4301051306</v>
      </c>
      <c r="D105" s="308" t="n">
        <v>4607091386264</v>
      </c>
      <c r="E105" s="609" t="n"/>
      <c r="F105" s="641" t="n">
        <v>0.5</v>
      </c>
      <c r="G105" s="38" t="n">
        <v>6</v>
      </c>
      <c r="H105" s="641" t="n">
        <v>3</v>
      </c>
      <c r="I105" s="641" t="n">
        <v>3.278</v>
      </c>
      <c r="J105" s="38" t="n">
        <v>156</v>
      </c>
      <c r="K105" s="39" t="inlineStr">
        <is>
          <t>СК2</t>
        </is>
      </c>
      <c r="L105" s="38" t="n">
        <v>31</v>
      </c>
      <c r="M105" s="698">
        <f>HYPERLINK("https://abi.ru/products/Охлажденные/Вязанка/Вязанка/Сосиски/P002217/","Сосиски Венские Вязанка Фикс.вес 0,5 NDX мгс Вязанка")</f>
        <v/>
      </c>
      <c r="N105" s="643" t="n"/>
      <c r="O105" s="643" t="n"/>
      <c r="P105" s="643" t="n"/>
      <c r="Q105" s="609" t="n"/>
      <c r="R105" s="40" t="inlineStr"/>
      <c r="S105" s="40" t="inlineStr"/>
      <c r="T105" s="41" t="inlineStr">
        <is>
          <t>кг</t>
        </is>
      </c>
      <c r="U105" s="644" t="n">
        <v>0</v>
      </c>
      <c r="V105" s="645">
        <f>IFERROR(IF(U105="",0,CEILING((U105/$H105),1)*$H105),"")</f>
        <v/>
      </c>
      <c r="W105" s="42">
        <f>IFERROR(IF(V105=0,"",ROUNDUP(V105/H105,0)*0.00753),"")</f>
        <v/>
      </c>
      <c r="X105" s="69" t="inlineStr"/>
      <c r="Y105" s="70" t="inlineStr"/>
      <c r="AC105" s="124" t="inlineStr">
        <is>
          <t>КИ</t>
        </is>
      </c>
    </row>
    <row r="106" ht="27" customHeight="1">
      <c r="A106" s="64" t="inlineStr">
        <is>
          <t>SU001718</t>
        </is>
      </c>
      <c r="B106" s="64" t="inlineStr">
        <is>
          <t>P003327</t>
        </is>
      </c>
      <c r="C106" s="37" t="n">
        <v>4301051436</v>
      </c>
      <c r="D106" s="308" t="n">
        <v>4607091385731</v>
      </c>
      <c r="E106" s="609" t="n"/>
      <c r="F106" s="641" t="n">
        <v>0.45</v>
      </c>
      <c r="G106" s="38" t="n">
        <v>6</v>
      </c>
      <c r="H106" s="641" t="n">
        <v>2.7</v>
      </c>
      <c r="I106" s="641" t="n">
        <v>2.972</v>
      </c>
      <c r="J106" s="38" t="n">
        <v>156</v>
      </c>
      <c r="K106" s="39" t="inlineStr">
        <is>
          <t>СК3</t>
        </is>
      </c>
      <c r="L106" s="38" t="n">
        <v>45</v>
      </c>
      <c r="M106" s="699" t="inlineStr">
        <is>
          <t>Сосиски Молокуши (Вязанка Молочные) Вязанка Фикс.вес 0,45 П/а мгс Вязанка</t>
        </is>
      </c>
      <c r="N106" s="643" t="n"/>
      <c r="O106" s="643" t="n"/>
      <c r="P106" s="643" t="n"/>
      <c r="Q106" s="609" t="n"/>
      <c r="R106" s="40" t="inlineStr"/>
      <c r="S106" s="40" t="inlineStr"/>
      <c r="T106" s="41" t="inlineStr">
        <is>
          <t>кг</t>
        </is>
      </c>
      <c r="U106" s="644" t="n">
        <v>315</v>
      </c>
      <c r="V106" s="645">
        <f>IFERROR(IF(U106="",0,CEILING((U106/$H106),1)*$H106),"")</f>
        <v/>
      </c>
      <c r="W106" s="42">
        <f>IFERROR(IF(V106=0,"",ROUNDUP(V106/H106,0)*0.00753),"")</f>
        <v/>
      </c>
      <c r="X106" s="69" t="inlineStr"/>
      <c r="Y106" s="70" t="inlineStr"/>
      <c r="AC106" s="125" t="inlineStr">
        <is>
          <t>КИ</t>
        </is>
      </c>
    </row>
    <row r="107" ht="27" customHeight="1">
      <c r="A107" s="64" t="inlineStr">
        <is>
          <t>SU002658</t>
        </is>
      </c>
      <c r="B107" s="64" t="inlineStr">
        <is>
          <t>P003326</t>
        </is>
      </c>
      <c r="C107" s="37" t="n">
        <v>4301051439</v>
      </c>
      <c r="D107" s="308" t="n">
        <v>4680115880214</v>
      </c>
      <c r="E107" s="609" t="n"/>
      <c r="F107" s="641" t="n">
        <v>0.45</v>
      </c>
      <c r="G107" s="38" t="n">
        <v>6</v>
      </c>
      <c r="H107" s="641" t="n">
        <v>2.7</v>
      </c>
      <c r="I107" s="641" t="n">
        <v>2.988</v>
      </c>
      <c r="J107" s="38" t="n">
        <v>120</v>
      </c>
      <c r="K107" s="39" t="inlineStr">
        <is>
          <t>СК3</t>
        </is>
      </c>
      <c r="L107" s="38" t="n">
        <v>45</v>
      </c>
      <c r="M107" s="700" t="inlineStr">
        <is>
          <t>Сосиски Молокуши миникушай Вязанка Ф/в 0,45 амилюкс мгс Вязанка</t>
        </is>
      </c>
      <c r="N107" s="643" t="n"/>
      <c r="O107" s="643" t="n"/>
      <c r="P107" s="643" t="n"/>
      <c r="Q107" s="609" t="n"/>
      <c r="R107" s="40" t="inlineStr"/>
      <c r="S107" s="40" t="inlineStr"/>
      <c r="T107" s="41" t="inlineStr">
        <is>
          <t>кг</t>
        </is>
      </c>
      <c r="U107" s="644" t="n">
        <v>0</v>
      </c>
      <c r="V107" s="645">
        <f>IFERROR(IF(U107="",0,CEILING((U107/$H107),1)*$H107),"")</f>
        <v/>
      </c>
      <c r="W107" s="42">
        <f>IFERROR(IF(V107=0,"",ROUNDUP(V107/H107,0)*0.00937),"")</f>
        <v/>
      </c>
      <c r="X107" s="69" t="inlineStr"/>
      <c r="Y107" s="70" t="inlineStr"/>
      <c r="AC107" s="126" t="inlineStr">
        <is>
          <t>КИ</t>
        </is>
      </c>
    </row>
    <row r="108" ht="27" customHeight="1">
      <c r="A108" s="64" t="inlineStr">
        <is>
          <t>SU002769</t>
        </is>
      </c>
      <c r="B108" s="64" t="inlineStr">
        <is>
          <t>P003324</t>
        </is>
      </c>
      <c r="C108" s="37" t="n">
        <v>4301051438</v>
      </c>
      <c r="D108" s="308" t="n">
        <v>4680115880894</v>
      </c>
      <c r="E108" s="609" t="n"/>
      <c r="F108" s="641" t="n">
        <v>0.33</v>
      </c>
      <c r="G108" s="38" t="n">
        <v>6</v>
      </c>
      <c r="H108" s="641" t="n">
        <v>1.98</v>
      </c>
      <c r="I108" s="641" t="n">
        <v>2.258</v>
      </c>
      <c r="J108" s="38" t="n">
        <v>156</v>
      </c>
      <c r="K108" s="39" t="inlineStr">
        <is>
          <t>СК3</t>
        </is>
      </c>
      <c r="L108" s="38" t="n">
        <v>45</v>
      </c>
      <c r="M108" s="701" t="inlineStr">
        <is>
          <t>Сосиски Молокуши Миникушай Вязанка фикс.вес 0,33 п/а Вязанка</t>
        </is>
      </c>
      <c r="N108" s="643" t="n"/>
      <c r="O108" s="643" t="n"/>
      <c r="P108" s="643" t="n"/>
      <c r="Q108" s="609" t="n"/>
      <c r="R108" s="40" t="inlineStr"/>
      <c r="S108" s="40" t="inlineStr"/>
      <c r="T108" s="41" t="inlineStr">
        <is>
          <t>кг</t>
        </is>
      </c>
      <c r="U108" s="644" t="n">
        <v>0</v>
      </c>
      <c r="V108" s="645">
        <f>IFERROR(IF(U108="",0,CEILING((U108/$H108),1)*$H108),"")</f>
        <v/>
      </c>
      <c r="W108" s="42">
        <f>IFERROR(IF(V108=0,"",ROUNDUP(V108/H108,0)*0.00753),"")</f>
        <v/>
      </c>
      <c r="X108" s="69" t="inlineStr"/>
      <c r="Y108" s="70" t="inlineStr"/>
      <c r="AC108" s="127" t="inlineStr">
        <is>
          <t>КИ</t>
        </is>
      </c>
    </row>
    <row r="109" ht="27" customHeight="1">
      <c r="A109" s="64" t="inlineStr">
        <is>
          <t>SU001354</t>
        </is>
      </c>
      <c r="B109" s="64" t="inlineStr">
        <is>
          <t>P003030</t>
        </is>
      </c>
      <c r="C109" s="37" t="n">
        <v>4301051313</v>
      </c>
      <c r="D109" s="308" t="n">
        <v>4607091385427</v>
      </c>
      <c r="E109" s="609" t="n"/>
      <c r="F109" s="641" t="n">
        <v>0.5</v>
      </c>
      <c r="G109" s="38" t="n">
        <v>6</v>
      </c>
      <c r="H109" s="641" t="n">
        <v>3</v>
      </c>
      <c r="I109" s="641" t="n">
        <v>3.272</v>
      </c>
      <c r="J109" s="38" t="n">
        <v>156</v>
      </c>
      <c r="K109" s="39" t="inlineStr">
        <is>
          <t>СК2</t>
        </is>
      </c>
      <c r="L109" s="38" t="n">
        <v>40</v>
      </c>
      <c r="M109" s="702">
        <f>HYPERLINK("https://abi.ru/products/Охлажденные/Вязанка/Вязанка/Сосиски/P003030/","Сосиски Рубленые Вязанка Фикс.вес 0,5 п/а мгс Вязанка")</f>
        <v/>
      </c>
      <c r="N109" s="643" t="n"/>
      <c r="O109" s="643" t="n"/>
      <c r="P109" s="643" t="n"/>
      <c r="Q109" s="609" t="n"/>
      <c r="R109" s="40" t="inlineStr"/>
      <c r="S109" s="40" t="inlineStr"/>
      <c r="T109" s="41" t="inlineStr">
        <is>
          <t>кг</t>
        </is>
      </c>
      <c r="U109" s="644" t="n">
        <v>50</v>
      </c>
      <c r="V109" s="645">
        <f>IFERROR(IF(U109="",0,CEILING((U109/$H109),1)*$H109),"")</f>
        <v/>
      </c>
      <c r="W109" s="42">
        <f>IFERROR(IF(V109=0,"",ROUNDUP(V109/H109,0)*0.00753),"")</f>
        <v/>
      </c>
      <c r="X109" s="69" t="inlineStr"/>
      <c r="Y109" s="70" t="inlineStr"/>
      <c r="AC109" s="128" t="inlineStr">
        <is>
          <t>КИ</t>
        </is>
      </c>
    </row>
    <row r="110">
      <c r="A110" s="317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646" t="n"/>
      <c r="M110" s="647" t="inlineStr">
        <is>
          <t>Итого</t>
        </is>
      </c>
      <c r="N110" s="617" t="n"/>
      <c r="O110" s="617" t="n"/>
      <c r="P110" s="617" t="n"/>
      <c r="Q110" s="617" t="n"/>
      <c r="R110" s="617" t="n"/>
      <c r="S110" s="618" t="n"/>
      <c r="T110" s="43" t="inlineStr">
        <is>
          <t>кор</t>
        </is>
      </c>
      <c r="U110" s="648">
        <f>IFERROR(U103/H103,"0")+IFERROR(U104/H104,"0")+IFERROR(U105/H105,"0")+IFERROR(U106/H106,"0")+IFERROR(U107/H107,"0")+IFERROR(U108/H108,"0")+IFERROR(U109/H109,"0")</f>
        <v/>
      </c>
      <c r="V110" s="648">
        <f>IFERROR(V103/H103,"0")+IFERROR(V104/H104,"0")+IFERROR(V105/H105,"0")+IFERROR(V106/H106,"0")+IFERROR(V107/H107,"0")+IFERROR(V108/H108,"0")+IFERROR(V109/H109,"0")</f>
        <v/>
      </c>
      <c r="W110" s="648">
        <f>IFERROR(IF(W103="",0,W103),"0")+IFERROR(IF(W104="",0,W104),"0")+IFERROR(IF(W105="",0,W105),"0")+IFERROR(IF(W106="",0,W106),"0")+IFERROR(IF(W107="",0,W107),"0")+IFERROR(IF(W108="",0,W108),"0")+IFERROR(IF(W109="",0,W109),"0")</f>
        <v/>
      </c>
      <c r="X110" s="649" t="n"/>
      <c r="Y110" s="649" t="n"/>
    </row>
    <row r="111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646" t="n"/>
      <c r="M111" s="647" t="inlineStr">
        <is>
          <t>Итого</t>
        </is>
      </c>
      <c r="N111" s="617" t="n"/>
      <c r="O111" s="617" t="n"/>
      <c r="P111" s="617" t="n"/>
      <c r="Q111" s="617" t="n"/>
      <c r="R111" s="617" t="n"/>
      <c r="S111" s="618" t="n"/>
      <c r="T111" s="43" t="inlineStr">
        <is>
          <t>кг</t>
        </is>
      </c>
      <c r="U111" s="648">
        <f>IFERROR(SUM(U103:U109),"0")</f>
        <v/>
      </c>
      <c r="V111" s="648">
        <f>IFERROR(SUM(V103:V109),"0")</f>
        <v/>
      </c>
      <c r="W111" s="43" t="n"/>
      <c r="X111" s="649" t="n"/>
      <c r="Y111" s="649" t="n"/>
    </row>
    <row r="112" ht="14.25" customHeight="1">
      <c r="A112" s="318" t="inlineStr">
        <is>
          <t>Сардельки</t>
        </is>
      </c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318" t="n"/>
      <c r="Y112" s="318" t="n"/>
    </row>
    <row r="113" ht="27" customHeight="1">
      <c r="A113" s="64" t="inlineStr">
        <is>
          <t>SU002071</t>
        </is>
      </c>
      <c r="B113" s="64" t="inlineStr">
        <is>
          <t>P002233</t>
        </is>
      </c>
      <c r="C113" s="37" t="n">
        <v>4301060296</v>
      </c>
      <c r="D113" s="308" t="n">
        <v>4607091383065</v>
      </c>
      <c r="E113" s="609" t="n"/>
      <c r="F113" s="641" t="n">
        <v>0.83</v>
      </c>
      <c r="G113" s="38" t="n">
        <v>4</v>
      </c>
      <c r="H113" s="641" t="n">
        <v>3.32</v>
      </c>
      <c r="I113" s="641" t="n">
        <v>3.582</v>
      </c>
      <c r="J113" s="38" t="n">
        <v>120</v>
      </c>
      <c r="K113" s="39" t="inlineStr">
        <is>
          <t>СК2</t>
        </is>
      </c>
      <c r="L113" s="38" t="n">
        <v>30</v>
      </c>
      <c r="M113" s="703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N113" s="643" t="n"/>
      <c r="O113" s="643" t="n"/>
      <c r="P113" s="643" t="n"/>
      <c r="Q113" s="609" t="n"/>
      <c r="R113" s="40" t="inlineStr"/>
      <c r="S113" s="40" t="inlineStr"/>
      <c r="T113" s="41" t="inlineStr">
        <is>
          <t>кг</t>
        </is>
      </c>
      <c r="U113" s="644" t="n">
        <v>0</v>
      </c>
      <c r="V113" s="645">
        <f>IFERROR(IF(U113="",0,CEILING((U113/$H113),1)*$H113),"")</f>
        <v/>
      </c>
      <c r="W113" s="42">
        <f>IFERROR(IF(V113=0,"",ROUNDUP(V113/H113,0)*0.00937),"")</f>
        <v/>
      </c>
      <c r="X113" s="69" t="inlineStr"/>
      <c r="Y113" s="70" t="inlineStr"/>
      <c r="AC113" s="129" t="inlineStr">
        <is>
          <t>КИ</t>
        </is>
      </c>
    </row>
    <row r="114" ht="27" customHeight="1">
      <c r="A114" s="64" t="inlineStr">
        <is>
          <t>SU001831</t>
        </is>
      </c>
      <c r="B114" s="64" t="inlineStr">
        <is>
          <t>P002042</t>
        </is>
      </c>
      <c r="C114" s="37" t="n">
        <v>4301060282</v>
      </c>
      <c r="D114" s="308" t="n">
        <v>4607091380699</v>
      </c>
      <c r="E114" s="609" t="n"/>
      <c r="F114" s="641" t="n">
        <v>1.3</v>
      </c>
      <c r="G114" s="38" t="n">
        <v>6</v>
      </c>
      <c r="H114" s="641" t="n">
        <v>7.8</v>
      </c>
      <c r="I114" s="641" t="n">
        <v>8.364000000000001</v>
      </c>
      <c r="J114" s="38" t="n">
        <v>56</v>
      </c>
      <c r="K114" s="39" t="inlineStr">
        <is>
          <t>СК2</t>
        </is>
      </c>
      <c r="L114" s="38" t="n">
        <v>30</v>
      </c>
      <c r="M114" s="704">
        <f>HYPERLINK("https://abi.ru/products/Охлажденные/Вязанка/Вязанка/Сардельки/P002042/","Сардельки Стародворские Вязанка Весовые NDX мгс Вязанка")</f>
        <v/>
      </c>
      <c r="N114" s="643" t="n"/>
      <c r="O114" s="643" t="n"/>
      <c r="P114" s="643" t="n"/>
      <c r="Q114" s="609" t="n"/>
      <c r="R114" s="40" t="inlineStr"/>
      <c r="S114" s="40" t="inlineStr"/>
      <c r="T114" s="41" t="inlineStr">
        <is>
          <t>кг</t>
        </is>
      </c>
      <c r="U114" s="644" t="n">
        <v>120</v>
      </c>
      <c r="V114" s="645">
        <f>IFERROR(IF(U114="",0,CEILING((U114/$H114),1)*$H114),"")</f>
        <v/>
      </c>
      <c r="W114" s="42">
        <f>IFERROR(IF(V114=0,"",ROUNDUP(V114/H114,0)*0.02175),"")</f>
        <v/>
      </c>
      <c r="X114" s="69" t="inlineStr"/>
      <c r="Y114" s="70" t="inlineStr"/>
      <c r="AC114" s="130" t="inlineStr">
        <is>
          <t>КИ</t>
        </is>
      </c>
    </row>
    <row r="115" ht="16.5" customHeight="1">
      <c r="A115" s="64" t="inlineStr">
        <is>
          <t>SU002367</t>
        </is>
      </c>
      <c r="B115" s="64" t="inlineStr">
        <is>
          <t>P002644</t>
        </is>
      </c>
      <c r="C115" s="37" t="n">
        <v>4301060309</v>
      </c>
      <c r="D115" s="308" t="n">
        <v>4680115880238</v>
      </c>
      <c r="E115" s="609" t="n"/>
      <c r="F115" s="641" t="n">
        <v>0.33</v>
      </c>
      <c r="G115" s="38" t="n">
        <v>6</v>
      </c>
      <c r="H115" s="641" t="n">
        <v>1.98</v>
      </c>
      <c r="I115" s="641" t="n">
        <v>2.258</v>
      </c>
      <c r="J115" s="38" t="n">
        <v>156</v>
      </c>
      <c r="K115" s="39" t="inlineStr">
        <is>
          <t>СК2</t>
        </is>
      </c>
      <c r="L115" s="38" t="n">
        <v>40</v>
      </c>
      <c r="M115" s="705" t="inlineStr">
        <is>
          <t>Сардельки Сливушки #минидельки ТМ Вязанка айпил мгс ф/в 0,33 кг</t>
        </is>
      </c>
      <c r="N115" s="643" t="n"/>
      <c r="O115" s="643" t="n"/>
      <c r="P115" s="643" t="n"/>
      <c r="Q115" s="609" t="n"/>
      <c r="R115" s="40" t="inlineStr"/>
      <c r="S115" s="40" t="inlineStr"/>
      <c r="T115" s="41" t="inlineStr">
        <is>
          <t>кг</t>
        </is>
      </c>
      <c r="U115" s="644" t="n">
        <v>0</v>
      </c>
      <c r="V115" s="645">
        <f>IFERROR(IF(U115="",0,CEILING((U115/$H115),1)*$H115),"")</f>
        <v/>
      </c>
      <c r="W115" s="42">
        <f>IFERROR(IF(V115=0,"",ROUNDUP(V115/H115,0)*0.00753),"")</f>
        <v/>
      </c>
      <c r="X115" s="69" t="inlineStr"/>
      <c r="Y115" s="70" t="inlineStr"/>
      <c r="AC115" s="131" t="inlineStr">
        <is>
          <t>КИ</t>
        </is>
      </c>
    </row>
    <row r="116" ht="27" customHeight="1">
      <c r="A116" s="64" t="inlineStr">
        <is>
          <t>SU001500</t>
        </is>
      </c>
      <c r="B116" s="64" t="inlineStr">
        <is>
          <t>P002045</t>
        </is>
      </c>
      <c r="C116" s="37" t="n">
        <v>4301060304</v>
      </c>
      <c r="D116" s="308" t="n">
        <v>4607091385922</v>
      </c>
      <c r="E116" s="609" t="n"/>
      <c r="F116" s="641" t="n">
        <v>0.47</v>
      </c>
      <c r="G116" s="38" t="n">
        <v>6</v>
      </c>
      <c r="H116" s="641" t="n">
        <v>2.82</v>
      </c>
      <c r="I116" s="641" t="n">
        <v>3.098</v>
      </c>
      <c r="J116" s="38" t="n">
        <v>156</v>
      </c>
      <c r="K116" s="39" t="inlineStr">
        <is>
          <t>СК2</t>
        </is>
      </c>
      <c r="L116" s="38" t="n">
        <v>30</v>
      </c>
      <c r="M116" s="706">
        <f>HYPERLINK("https://abi.ru/products/Охлажденные/Вязанка/Вязанка/Сардельки/P002045/","Сардельки Стародворские Вязанка Фикс.вес 0,47 NDX мгс Вязанка")</f>
        <v/>
      </c>
      <c r="N116" s="643" t="n"/>
      <c r="O116" s="643" t="n"/>
      <c r="P116" s="643" t="n"/>
      <c r="Q116" s="609" t="n"/>
      <c r="R116" s="40" t="inlineStr"/>
      <c r="S116" s="40" t="inlineStr"/>
      <c r="T116" s="41" t="inlineStr">
        <is>
          <t>кг</t>
        </is>
      </c>
      <c r="U116" s="644" t="n">
        <v>0</v>
      </c>
      <c r="V116" s="645">
        <f>IFERROR(IF(U116="",0,CEILING((U116/$H116),1)*$H116),"")</f>
        <v/>
      </c>
      <c r="W116" s="42">
        <f>IFERROR(IF(V116=0,"",ROUNDUP(V116/H116,0)*0.00753),"")</f>
        <v/>
      </c>
      <c r="X116" s="69" t="inlineStr"/>
      <c r="Y116" s="70" t="inlineStr"/>
      <c r="AC116" s="132" t="inlineStr">
        <is>
          <t>КИ</t>
        </is>
      </c>
    </row>
    <row r="117">
      <c r="A117" s="317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646" t="n"/>
      <c r="M117" s="647" t="inlineStr">
        <is>
          <t>Итого</t>
        </is>
      </c>
      <c r="N117" s="617" t="n"/>
      <c r="O117" s="617" t="n"/>
      <c r="P117" s="617" t="n"/>
      <c r="Q117" s="617" t="n"/>
      <c r="R117" s="617" t="n"/>
      <c r="S117" s="618" t="n"/>
      <c r="T117" s="43" t="inlineStr">
        <is>
          <t>кор</t>
        </is>
      </c>
      <c r="U117" s="648">
        <f>IFERROR(U113/H113,"0")+IFERROR(U114/H114,"0")+IFERROR(U115/H115,"0")+IFERROR(U116/H116,"0")</f>
        <v/>
      </c>
      <c r="V117" s="648">
        <f>IFERROR(V113/H113,"0")+IFERROR(V114/H114,"0")+IFERROR(V115/H115,"0")+IFERROR(V116/H116,"0")</f>
        <v/>
      </c>
      <c r="W117" s="648">
        <f>IFERROR(IF(W113="",0,W113),"0")+IFERROR(IF(W114="",0,W114),"0")+IFERROR(IF(W115="",0,W115),"0")+IFERROR(IF(W116="",0,W116),"0")</f>
        <v/>
      </c>
      <c r="X117" s="649" t="n"/>
      <c r="Y117" s="649" t="n"/>
    </row>
    <row r="11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646" t="n"/>
      <c r="M118" s="647" t="inlineStr">
        <is>
          <t>Итого</t>
        </is>
      </c>
      <c r="N118" s="617" t="n"/>
      <c r="O118" s="617" t="n"/>
      <c r="P118" s="617" t="n"/>
      <c r="Q118" s="617" t="n"/>
      <c r="R118" s="617" t="n"/>
      <c r="S118" s="618" t="n"/>
      <c r="T118" s="43" t="inlineStr">
        <is>
          <t>кг</t>
        </is>
      </c>
      <c r="U118" s="648">
        <f>IFERROR(SUM(U113:U116),"0")</f>
        <v/>
      </c>
      <c r="V118" s="648">
        <f>IFERROR(SUM(V113:V116),"0")</f>
        <v/>
      </c>
      <c r="W118" s="43" t="n"/>
      <c r="X118" s="649" t="n"/>
      <c r="Y118" s="649" t="n"/>
    </row>
    <row r="119" ht="16.5" customHeight="1">
      <c r="A119" s="324" t="inlineStr">
        <is>
          <t>Сливушки</t>
        </is>
      </c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324" t="n"/>
      <c r="Y119" s="324" t="n"/>
    </row>
    <row r="120" ht="14.25" customHeight="1">
      <c r="A120" s="318" t="inlineStr">
        <is>
          <t>Сосиски</t>
        </is>
      </c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318" t="n"/>
      <c r="Y120" s="318" t="n"/>
    </row>
    <row r="121" ht="27" customHeight="1">
      <c r="A121" s="64" t="inlineStr">
        <is>
          <t>SU001721</t>
        </is>
      </c>
      <c r="B121" s="64" t="inlineStr">
        <is>
          <t>P003161</t>
        </is>
      </c>
      <c r="C121" s="37" t="n">
        <v>4301051360</v>
      </c>
      <c r="D121" s="308" t="n">
        <v>4607091385168</v>
      </c>
      <c r="E121" s="609" t="n"/>
      <c r="F121" s="641" t="n">
        <v>1.35</v>
      </c>
      <c r="G121" s="38" t="n">
        <v>6</v>
      </c>
      <c r="H121" s="641" t="n">
        <v>8.1</v>
      </c>
      <c r="I121" s="641" t="n">
        <v>8.657999999999999</v>
      </c>
      <c r="J121" s="38" t="n">
        <v>56</v>
      </c>
      <c r="K121" s="39" t="inlineStr">
        <is>
          <t>СК3</t>
        </is>
      </c>
      <c r="L121" s="38" t="n">
        <v>45</v>
      </c>
      <c r="M121" s="707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N121" s="643" t="n"/>
      <c r="O121" s="643" t="n"/>
      <c r="P121" s="643" t="n"/>
      <c r="Q121" s="609" t="n"/>
      <c r="R121" s="40" t="inlineStr"/>
      <c r="S121" s="40" t="inlineStr"/>
      <c r="T121" s="41" t="inlineStr">
        <is>
          <t>кг</t>
        </is>
      </c>
      <c r="U121" s="644" t="n">
        <v>1000</v>
      </c>
      <c r="V121" s="645">
        <f>IFERROR(IF(U121="",0,CEILING((U121/$H121),1)*$H121),"")</f>
        <v/>
      </c>
      <c r="W121" s="42">
        <f>IFERROR(IF(V121=0,"",ROUNDUP(V121/H121,0)*0.02175),"")</f>
        <v/>
      </c>
      <c r="X121" s="69" t="inlineStr"/>
      <c r="Y121" s="70" t="inlineStr"/>
      <c r="AC121" s="133" t="inlineStr">
        <is>
          <t>КИ</t>
        </is>
      </c>
    </row>
    <row r="122" ht="16.5" customHeight="1">
      <c r="A122" s="64" t="inlineStr">
        <is>
          <t>SU002139</t>
        </is>
      </c>
      <c r="B122" s="64" t="inlineStr">
        <is>
          <t>P003162</t>
        </is>
      </c>
      <c r="C122" s="37" t="n">
        <v>4301051362</v>
      </c>
      <c r="D122" s="308" t="n">
        <v>4607091383256</v>
      </c>
      <c r="E122" s="609" t="n"/>
      <c r="F122" s="641" t="n">
        <v>0.33</v>
      </c>
      <c r="G122" s="38" t="n">
        <v>6</v>
      </c>
      <c r="H122" s="641" t="n">
        <v>1.98</v>
      </c>
      <c r="I122" s="641" t="n">
        <v>2.246</v>
      </c>
      <c r="J122" s="38" t="n">
        <v>156</v>
      </c>
      <c r="K122" s="39" t="inlineStr">
        <is>
          <t>СК3</t>
        </is>
      </c>
      <c r="L122" s="38" t="n">
        <v>45</v>
      </c>
      <c r="M122" s="708">
        <f>HYPERLINK("https://abi.ru/products/Охлажденные/Вязанка/Сливушки/Сосиски/P003162/","Сосиски Сливочные Сливушки Фикс.вес 0,33 П/а мгс Вязанка")</f>
        <v/>
      </c>
      <c r="N122" s="643" t="n"/>
      <c r="O122" s="643" t="n"/>
      <c r="P122" s="643" t="n"/>
      <c r="Q122" s="609" t="n"/>
      <c r="R122" s="40" t="inlineStr"/>
      <c r="S122" s="40" t="inlineStr"/>
      <c r="T122" s="41" t="inlineStr">
        <is>
          <t>кг</t>
        </is>
      </c>
      <c r="U122" s="644" t="n">
        <v>0</v>
      </c>
      <c r="V122" s="645">
        <f>IFERROR(IF(U122="",0,CEILING((U122/$H122),1)*$H122),"")</f>
        <v/>
      </c>
      <c r="W122" s="42">
        <f>IFERROR(IF(V122=0,"",ROUNDUP(V122/H122,0)*0.00753),"")</f>
        <v/>
      </c>
      <c r="X122" s="69" t="inlineStr"/>
      <c r="Y122" s="70" t="inlineStr"/>
      <c r="AC122" s="134" t="inlineStr">
        <is>
          <t>КИ</t>
        </is>
      </c>
    </row>
    <row r="123" ht="16.5" customHeight="1">
      <c r="A123" s="64" t="inlineStr">
        <is>
          <t>SU001720</t>
        </is>
      </c>
      <c r="B123" s="64" t="inlineStr">
        <is>
          <t>P003160</t>
        </is>
      </c>
      <c r="C123" s="37" t="n">
        <v>4301051358</v>
      </c>
      <c r="D123" s="308" t="n">
        <v>4607091385748</v>
      </c>
      <c r="E123" s="609" t="n"/>
      <c r="F123" s="641" t="n">
        <v>0.45</v>
      </c>
      <c r="G123" s="38" t="n">
        <v>6</v>
      </c>
      <c r="H123" s="641" t="n">
        <v>2.7</v>
      </c>
      <c r="I123" s="641" t="n">
        <v>2.972</v>
      </c>
      <c r="J123" s="38" t="n">
        <v>156</v>
      </c>
      <c r="K123" s="39" t="inlineStr">
        <is>
          <t>СК3</t>
        </is>
      </c>
      <c r="L123" s="38" t="n">
        <v>45</v>
      </c>
      <c r="M123" s="709">
        <f>HYPERLINK("https://abi.ru/products/Охлажденные/Вязанка/Сливушки/Сосиски/P003160/","Сосиски Сливочные Сливушки Фикс.вес 0,45 П/а мгс Вязанка")</f>
        <v/>
      </c>
      <c r="N123" s="643" t="n"/>
      <c r="O123" s="643" t="n"/>
      <c r="P123" s="643" t="n"/>
      <c r="Q123" s="609" t="n"/>
      <c r="R123" s="40" t="inlineStr"/>
      <c r="S123" s="40" t="inlineStr"/>
      <c r="T123" s="41" t="inlineStr">
        <is>
          <t>кг</t>
        </is>
      </c>
      <c r="U123" s="644" t="n">
        <v>540</v>
      </c>
      <c r="V123" s="645">
        <f>IFERROR(IF(U123="",0,CEILING((U123/$H123),1)*$H123),"")</f>
        <v/>
      </c>
      <c r="W123" s="42">
        <f>IFERROR(IF(V123=0,"",ROUNDUP(V123/H123,0)*0.00753),"")</f>
        <v/>
      </c>
      <c r="X123" s="69" t="inlineStr"/>
      <c r="Y123" s="70" t="inlineStr"/>
      <c r="AC123" s="135" t="inlineStr">
        <is>
          <t>КИ</t>
        </is>
      </c>
    </row>
    <row r="124" ht="16.5" customHeight="1">
      <c r="A124" s="64" t="inlineStr">
        <is>
          <t>SU002438</t>
        </is>
      </c>
      <c r="B124" s="64" t="inlineStr">
        <is>
          <t>P003163</t>
        </is>
      </c>
      <c r="C124" s="37" t="n">
        <v>4301051364</v>
      </c>
      <c r="D124" s="308" t="n">
        <v>4607091384581</v>
      </c>
      <c r="E124" s="609" t="n"/>
      <c r="F124" s="641" t="n">
        <v>0.67</v>
      </c>
      <c r="G124" s="38" t="n">
        <v>4</v>
      </c>
      <c r="H124" s="641" t="n">
        <v>2.68</v>
      </c>
      <c r="I124" s="641" t="n">
        <v>2.942</v>
      </c>
      <c r="J124" s="38" t="n">
        <v>120</v>
      </c>
      <c r="K124" s="39" t="inlineStr">
        <is>
          <t>СК3</t>
        </is>
      </c>
      <c r="L124" s="38" t="n">
        <v>45</v>
      </c>
      <c r="M124" s="710">
        <f>HYPERLINK("https://abi.ru/products/Охлажденные/Вязанка/Сливушки/Сосиски/P003163/","Сосиски Сливочные Сливушки Фикс.вес 0,67 П/а мгс Вязанка")</f>
        <v/>
      </c>
      <c r="N124" s="643" t="n"/>
      <c r="O124" s="643" t="n"/>
      <c r="P124" s="643" t="n"/>
      <c r="Q124" s="609" t="n"/>
      <c r="R124" s="40" t="inlineStr"/>
      <c r="S124" s="40" t="inlineStr"/>
      <c r="T124" s="41" t="inlineStr">
        <is>
          <t>кг</t>
        </is>
      </c>
      <c r="U124" s="644" t="n">
        <v>0</v>
      </c>
      <c r="V124" s="645">
        <f>IFERROR(IF(U124="",0,CEILING((U124/$H124),1)*$H124),"")</f>
        <v/>
      </c>
      <c r="W124" s="42">
        <f>IFERROR(IF(V124=0,"",ROUNDUP(V124/H124,0)*0.00937),"")</f>
        <v/>
      </c>
      <c r="X124" s="69" t="inlineStr"/>
      <c r="Y124" s="70" t="inlineStr"/>
      <c r="AC124" s="136" t="inlineStr">
        <is>
          <t>КИ</t>
        </is>
      </c>
    </row>
    <row r="125">
      <c r="A125" s="317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646" t="n"/>
      <c r="M125" s="647" t="inlineStr">
        <is>
          <t>Итого</t>
        </is>
      </c>
      <c r="N125" s="617" t="n"/>
      <c r="O125" s="617" t="n"/>
      <c r="P125" s="617" t="n"/>
      <c r="Q125" s="617" t="n"/>
      <c r="R125" s="617" t="n"/>
      <c r="S125" s="618" t="n"/>
      <c r="T125" s="43" t="inlineStr">
        <is>
          <t>кор</t>
        </is>
      </c>
      <c r="U125" s="648">
        <f>IFERROR(U121/H121,"0")+IFERROR(U122/H122,"0")+IFERROR(U123/H123,"0")+IFERROR(U124/H124,"0")</f>
        <v/>
      </c>
      <c r="V125" s="648">
        <f>IFERROR(V121/H121,"0")+IFERROR(V122/H122,"0")+IFERROR(V123/H123,"0")+IFERROR(V124/H124,"0")</f>
        <v/>
      </c>
      <c r="W125" s="648">
        <f>IFERROR(IF(W121="",0,W121),"0")+IFERROR(IF(W122="",0,W122),"0")+IFERROR(IF(W123="",0,W123),"0")+IFERROR(IF(W124="",0,W124),"0")</f>
        <v/>
      </c>
      <c r="X125" s="649" t="n"/>
      <c r="Y125" s="649" t="n"/>
    </row>
    <row r="126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646" t="n"/>
      <c r="M126" s="647" t="inlineStr">
        <is>
          <t>Итого</t>
        </is>
      </c>
      <c r="N126" s="617" t="n"/>
      <c r="O126" s="617" t="n"/>
      <c r="P126" s="617" t="n"/>
      <c r="Q126" s="617" t="n"/>
      <c r="R126" s="617" t="n"/>
      <c r="S126" s="618" t="n"/>
      <c r="T126" s="43" t="inlineStr">
        <is>
          <t>кг</t>
        </is>
      </c>
      <c r="U126" s="648">
        <f>IFERROR(SUM(U121:U124),"0")</f>
        <v/>
      </c>
      <c r="V126" s="648">
        <f>IFERROR(SUM(V121:V124),"0")</f>
        <v/>
      </c>
      <c r="W126" s="43" t="n"/>
      <c r="X126" s="649" t="n"/>
      <c r="Y126" s="649" t="n"/>
    </row>
    <row r="127" ht="27.75" customHeight="1">
      <c r="A127" s="323" t="inlineStr">
        <is>
          <t>Стародворье</t>
        </is>
      </c>
      <c r="B127" s="640" t="n"/>
      <c r="C127" s="640" t="n"/>
      <c r="D127" s="640" t="n"/>
      <c r="E127" s="640" t="n"/>
      <c r="F127" s="640" t="n"/>
      <c r="G127" s="640" t="n"/>
      <c r="H127" s="640" t="n"/>
      <c r="I127" s="640" t="n"/>
      <c r="J127" s="640" t="n"/>
      <c r="K127" s="640" t="n"/>
      <c r="L127" s="640" t="n"/>
      <c r="M127" s="640" t="n"/>
      <c r="N127" s="640" t="n"/>
      <c r="O127" s="640" t="n"/>
      <c r="P127" s="640" t="n"/>
      <c r="Q127" s="640" t="n"/>
      <c r="R127" s="640" t="n"/>
      <c r="S127" s="640" t="n"/>
      <c r="T127" s="640" t="n"/>
      <c r="U127" s="640" t="n"/>
      <c r="V127" s="640" t="n"/>
      <c r="W127" s="640" t="n"/>
      <c r="X127" s="55" t="n"/>
      <c r="Y127" s="55" t="n"/>
    </row>
    <row r="128" ht="16.5" customHeight="1">
      <c r="A128" s="324" t="inlineStr">
        <is>
          <t>Золоченная в печи</t>
        </is>
      </c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324" t="n"/>
      <c r="Y128" s="324" t="n"/>
    </row>
    <row r="129" ht="14.25" customHeight="1">
      <c r="A129" s="318" t="inlineStr">
        <is>
          <t>Вареные колбасы</t>
        </is>
      </c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318" t="n"/>
      <c r="Y129" s="318" t="n"/>
    </row>
    <row r="130" ht="27" customHeight="1">
      <c r="A130" s="64" t="inlineStr">
        <is>
          <t>SU002201</t>
        </is>
      </c>
      <c r="B130" s="64" t="inlineStr">
        <is>
          <t>P002567</t>
        </is>
      </c>
      <c r="C130" s="37" t="n">
        <v>4301011223</v>
      </c>
      <c r="D130" s="308" t="n">
        <v>4607091383423</v>
      </c>
      <c r="E130" s="609" t="n"/>
      <c r="F130" s="641" t="n">
        <v>1.35</v>
      </c>
      <c r="G130" s="38" t="n">
        <v>8</v>
      </c>
      <c r="H130" s="641" t="n">
        <v>10.8</v>
      </c>
      <c r="I130" s="641" t="n">
        <v>11.376</v>
      </c>
      <c r="J130" s="38" t="n">
        <v>56</v>
      </c>
      <c r="K130" s="39" t="inlineStr">
        <is>
          <t>СК3</t>
        </is>
      </c>
      <c r="L130" s="38" t="n">
        <v>35</v>
      </c>
      <c r="M130" s="711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N130" s="643" t="n"/>
      <c r="O130" s="643" t="n"/>
      <c r="P130" s="643" t="n"/>
      <c r="Q130" s="609" t="n"/>
      <c r="R130" s="40" t="inlineStr"/>
      <c r="S130" s="40" t="inlineStr"/>
      <c r="T130" s="41" t="inlineStr">
        <is>
          <t>кг</t>
        </is>
      </c>
      <c r="U130" s="644" t="n">
        <v>0</v>
      </c>
      <c r="V130" s="645">
        <f>IFERROR(IF(U130="",0,CEILING((U130/$H130),1)*$H130),"")</f>
        <v/>
      </c>
      <c r="W130" s="42">
        <f>IFERROR(IF(V130=0,"",ROUNDUP(V130/H130,0)*0.02175),"")</f>
        <v/>
      </c>
      <c r="X130" s="69" t="inlineStr"/>
      <c r="Y130" s="70" t="inlineStr"/>
      <c r="AC130" s="137" t="inlineStr">
        <is>
          <t>КИ</t>
        </is>
      </c>
    </row>
    <row r="131" ht="27" customHeight="1">
      <c r="A131" s="64" t="inlineStr">
        <is>
          <t>SU002203</t>
        </is>
      </c>
      <c r="B131" s="64" t="inlineStr">
        <is>
          <t>P002568</t>
        </is>
      </c>
      <c r="C131" s="37" t="n">
        <v>4301011338</v>
      </c>
      <c r="D131" s="308" t="n">
        <v>4607091381405</v>
      </c>
      <c r="E131" s="609" t="n"/>
      <c r="F131" s="641" t="n">
        <v>1.35</v>
      </c>
      <c r="G131" s="38" t="n">
        <v>8</v>
      </c>
      <c r="H131" s="641" t="n">
        <v>10.8</v>
      </c>
      <c r="I131" s="641" t="n">
        <v>11.376</v>
      </c>
      <c r="J131" s="38" t="n">
        <v>56</v>
      </c>
      <c r="K131" s="39" t="inlineStr">
        <is>
          <t>СК2</t>
        </is>
      </c>
      <c r="L131" s="38" t="n">
        <v>35</v>
      </c>
      <c r="M131" s="712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N131" s="643" t="n"/>
      <c r="O131" s="643" t="n"/>
      <c r="P131" s="643" t="n"/>
      <c r="Q131" s="609" t="n"/>
      <c r="R131" s="40" t="inlineStr"/>
      <c r="S131" s="40" t="inlineStr"/>
      <c r="T131" s="41" t="inlineStr">
        <is>
          <t>кг</t>
        </is>
      </c>
      <c r="U131" s="644" t="n">
        <v>0</v>
      </c>
      <c r="V131" s="645">
        <f>IFERROR(IF(U131="",0,CEILING((U131/$H131),1)*$H131),"")</f>
        <v/>
      </c>
      <c r="W131" s="42">
        <f>IFERROR(IF(V131=0,"",ROUNDUP(V131/H131,0)*0.02175),"")</f>
        <v/>
      </c>
      <c r="X131" s="69" t="inlineStr"/>
      <c r="Y131" s="70" t="inlineStr"/>
      <c r="AC131" s="138" t="inlineStr">
        <is>
          <t>КИ</t>
        </is>
      </c>
    </row>
    <row r="132" ht="27" customHeight="1">
      <c r="A132" s="64" t="inlineStr">
        <is>
          <t>SU002216</t>
        </is>
      </c>
      <c r="B132" s="64" t="inlineStr">
        <is>
          <t>P002400</t>
        </is>
      </c>
      <c r="C132" s="37" t="n">
        <v>4301011333</v>
      </c>
      <c r="D132" s="308" t="n">
        <v>4607091386516</v>
      </c>
      <c r="E132" s="609" t="n"/>
      <c r="F132" s="641" t="n">
        <v>1.4</v>
      </c>
      <c r="G132" s="38" t="n">
        <v>8</v>
      </c>
      <c r="H132" s="641" t="n">
        <v>11.2</v>
      </c>
      <c r="I132" s="641" t="n">
        <v>11.776</v>
      </c>
      <c r="J132" s="38" t="n">
        <v>56</v>
      </c>
      <c r="K132" s="39" t="inlineStr">
        <is>
          <t>СК2</t>
        </is>
      </c>
      <c r="L132" s="38" t="n">
        <v>30</v>
      </c>
      <c r="M132" s="713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N132" s="643" t="n"/>
      <c r="O132" s="643" t="n"/>
      <c r="P132" s="643" t="n"/>
      <c r="Q132" s="609" t="n"/>
      <c r="R132" s="40" t="inlineStr"/>
      <c r="S132" s="40" t="inlineStr"/>
      <c r="T132" s="41" t="inlineStr">
        <is>
          <t>кг</t>
        </is>
      </c>
      <c r="U132" s="644" t="n">
        <v>0</v>
      </c>
      <c r="V132" s="645">
        <f>IFERROR(IF(U132="",0,CEILING((U132/$H132),1)*$H132),"")</f>
        <v/>
      </c>
      <c r="W132" s="42">
        <f>IFERROR(IF(V132=0,"",ROUNDUP(V132/H132,0)*0.02175),"")</f>
        <v/>
      </c>
      <c r="X132" s="69" t="inlineStr"/>
      <c r="Y132" s="70" t="inlineStr"/>
      <c r="AC132" s="139" t="inlineStr">
        <is>
          <t>КИ</t>
        </is>
      </c>
    </row>
    <row r="133">
      <c r="A133" s="317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646" t="n"/>
      <c r="M133" s="647" t="inlineStr">
        <is>
          <t>Итого</t>
        </is>
      </c>
      <c r="N133" s="617" t="n"/>
      <c r="O133" s="617" t="n"/>
      <c r="P133" s="617" t="n"/>
      <c r="Q133" s="617" t="n"/>
      <c r="R133" s="617" t="n"/>
      <c r="S133" s="618" t="n"/>
      <c r="T133" s="43" t="inlineStr">
        <is>
          <t>кор</t>
        </is>
      </c>
      <c r="U133" s="648">
        <f>IFERROR(U130/H130,"0")+IFERROR(U131/H131,"0")+IFERROR(U132/H132,"0")</f>
        <v/>
      </c>
      <c r="V133" s="648">
        <f>IFERROR(V130/H130,"0")+IFERROR(V131/H131,"0")+IFERROR(V132/H132,"0")</f>
        <v/>
      </c>
      <c r="W133" s="648">
        <f>IFERROR(IF(W130="",0,W130),"0")+IFERROR(IF(W131="",0,W131),"0")+IFERROR(IF(W132="",0,W132),"0")</f>
        <v/>
      </c>
      <c r="X133" s="649" t="n"/>
      <c r="Y133" s="649" t="n"/>
    </row>
    <row r="134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646" t="n"/>
      <c r="M134" s="647" t="inlineStr">
        <is>
          <t>Итого</t>
        </is>
      </c>
      <c r="N134" s="617" t="n"/>
      <c r="O134" s="617" t="n"/>
      <c r="P134" s="617" t="n"/>
      <c r="Q134" s="617" t="n"/>
      <c r="R134" s="617" t="n"/>
      <c r="S134" s="618" t="n"/>
      <c r="T134" s="43" t="inlineStr">
        <is>
          <t>кг</t>
        </is>
      </c>
      <c r="U134" s="648">
        <f>IFERROR(SUM(U130:U132),"0")</f>
        <v/>
      </c>
      <c r="V134" s="648">
        <f>IFERROR(SUM(V130:V132),"0")</f>
        <v/>
      </c>
      <c r="W134" s="43" t="n"/>
      <c r="X134" s="649" t="n"/>
      <c r="Y134" s="649" t="n"/>
    </row>
    <row r="135" ht="16.5" customHeight="1">
      <c r="A135" s="324" t="inlineStr">
        <is>
          <t>Бордо</t>
        </is>
      </c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324" t="n"/>
      <c r="Y135" s="324" t="n"/>
    </row>
    <row r="136" ht="14.25" customHeight="1">
      <c r="A136" s="318" t="inlineStr">
        <is>
          <t>Вареные колбасы</t>
        </is>
      </c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318" t="n"/>
      <c r="Y136" s="318" t="n"/>
    </row>
    <row r="137" ht="16.5" customHeight="1">
      <c r="A137" s="64" t="inlineStr">
        <is>
          <t>SU002824</t>
        </is>
      </c>
      <c r="B137" s="64" t="inlineStr">
        <is>
          <t>P003231</t>
        </is>
      </c>
      <c r="C137" s="37" t="n">
        <v>4301011450</v>
      </c>
      <c r="D137" s="308" t="n">
        <v>4680115881402</v>
      </c>
      <c r="E137" s="609" t="n"/>
      <c r="F137" s="641" t="n">
        <v>1.35</v>
      </c>
      <c r="G137" s="38" t="n">
        <v>8</v>
      </c>
      <c r="H137" s="641" t="n">
        <v>10.8</v>
      </c>
      <c r="I137" s="641" t="n">
        <v>11.28</v>
      </c>
      <c r="J137" s="38" t="n">
        <v>56</v>
      </c>
      <c r="K137" s="39" t="inlineStr">
        <is>
          <t>СК1</t>
        </is>
      </c>
      <c r="L137" s="38" t="n">
        <v>55</v>
      </c>
      <c r="M137" s="714" t="inlineStr">
        <is>
          <t>Вареные колбасы "Сочинка" Весовой п/а ТМ "Стародворье"</t>
        </is>
      </c>
      <c r="N137" s="643" t="n"/>
      <c r="O137" s="643" t="n"/>
      <c r="P137" s="643" t="n"/>
      <c r="Q137" s="609" t="n"/>
      <c r="R137" s="40" t="inlineStr"/>
      <c r="S137" s="40" t="inlineStr"/>
      <c r="T137" s="41" t="inlineStr">
        <is>
          <t>кг</t>
        </is>
      </c>
      <c r="U137" s="644" t="n">
        <v>0</v>
      </c>
      <c r="V137" s="645">
        <f>IFERROR(IF(U137="",0,CEILING((U137/$H137),1)*$H137),"")</f>
        <v/>
      </c>
      <c r="W137" s="42">
        <f>IFERROR(IF(V137=0,"",ROUNDUP(V137/H137,0)*0.02175),"")</f>
        <v/>
      </c>
      <c r="X137" s="69" t="inlineStr"/>
      <c r="Y137" s="70" t="inlineStr">
        <is>
          <t>Новинка</t>
        </is>
      </c>
      <c r="AC137" s="140" t="inlineStr">
        <is>
          <t>КИ</t>
        </is>
      </c>
    </row>
    <row r="138" ht="27" customHeight="1">
      <c r="A138" s="64" t="inlineStr">
        <is>
          <t>SU000057</t>
        </is>
      </c>
      <c r="B138" s="64" t="inlineStr">
        <is>
          <t>P002047</t>
        </is>
      </c>
      <c r="C138" s="37" t="n">
        <v>4301011346</v>
      </c>
      <c r="D138" s="308" t="n">
        <v>4607091387445</v>
      </c>
      <c r="E138" s="609" t="n"/>
      <c r="F138" s="641" t="n">
        <v>0.9</v>
      </c>
      <c r="G138" s="38" t="n">
        <v>10</v>
      </c>
      <c r="H138" s="641" t="n">
        <v>9</v>
      </c>
      <c r="I138" s="641" t="n">
        <v>9.630000000000001</v>
      </c>
      <c r="J138" s="38" t="n">
        <v>56</v>
      </c>
      <c r="K138" s="39" t="inlineStr">
        <is>
          <t>СК1</t>
        </is>
      </c>
      <c r="L138" s="38" t="n">
        <v>31</v>
      </c>
      <c r="M138" s="715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N138" s="643" t="n"/>
      <c r="O138" s="643" t="n"/>
      <c r="P138" s="643" t="n"/>
      <c r="Q138" s="609" t="n"/>
      <c r="R138" s="40" t="inlineStr"/>
      <c r="S138" s="40" t="inlineStr"/>
      <c r="T138" s="41" t="inlineStr">
        <is>
          <t>кг</t>
        </is>
      </c>
      <c r="U138" s="644" t="n">
        <v>0</v>
      </c>
      <c r="V138" s="645">
        <f>IFERROR(IF(U138="",0,CEILING((U138/$H138),1)*$H138),"")</f>
        <v/>
      </c>
      <c r="W138" s="42">
        <f>IFERROR(IF(V138=0,"",ROUNDUP(V138/H138,0)*0.02175),"")</f>
        <v/>
      </c>
      <c r="X138" s="69" t="inlineStr"/>
      <c r="Y138" s="70" t="inlineStr"/>
      <c r="AC138" s="141" t="inlineStr">
        <is>
          <t>КИ</t>
        </is>
      </c>
    </row>
    <row r="139" ht="27" customHeight="1">
      <c r="A139" s="64" t="inlineStr">
        <is>
          <t>SU001777</t>
        </is>
      </c>
      <c r="B139" s="64" t="inlineStr">
        <is>
          <t>P002226</t>
        </is>
      </c>
      <c r="C139" s="37" t="n">
        <v>4301011362</v>
      </c>
      <c r="D139" s="308" t="n">
        <v>4607091386004</v>
      </c>
      <c r="E139" s="609" t="n"/>
      <c r="F139" s="641" t="n">
        <v>1.35</v>
      </c>
      <c r="G139" s="38" t="n">
        <v>8</v>
      </c>
      <c r="H139" s="641" t="n">
        <v>10.8</v>
      </c>
      <c r="I139" s="641" t="n">
        <v>11.28</v>
      </c>
      <c r="J139" s="38" t="n">
        <v>48</v>
      </c>
      <c r="K139" s="39" t="inlineStr">
        <is>
          <t>ВЗ</t>
        </is>
      </c>
      <c r="L139" s="38" t="n">
        <v>55</v>
      </c>
      <c r="M139" s="716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N139" s="643" t="n"/>
      <c r="O139" s="643" t="n"/>
      <c r="P139" s="643" t="n"/>
      <c r="Q139" s="609" t="n"/>
      <c r="R139" s="40" t="inlineStr"/>
      <c r="S139" s="40" t="inlineStr"/>
      <c r="T139" s="41" t="inlineStr">
        <is>
          <t>кг</t>
        </is>
      </c>
      <c r="U139" s="644" t="n">
        <v>0</v>
      </c>
      <c r="V139" s="645">
        <f>IFERROR(IF(U139="",0,CEILING((U139/$H139),1)*$H139),"")</f>
        <v/>
      </c>
      <c r="W139" s="42">
        <f>IFERROR(IF(V139=0,"",ROUNDUP(V139/H139,0)*0.02039),"")</f>
        <v/>
      </c>
      <c r="X139" s="69" t="inlineStr"/>
      <c r="Y139" s="70" t="inlineStr"/>
      <c r="AC139" s="142" t="inlineStr">
        <is>
          <t>КИ</t>
        </is>
      </c>
    </row>
    <row r="140" ht="27" customHeight="1">
      <c r="A140" s="64" t="inlineStr">
        <is>
          <t>SU001777</t>
        </is>
      </c>
      <c r="B140" s="64" t="inlineStr">
        <is>
          <t>P001777</t>
        </is>
      </c>
      <c r="C140" s="37" t="n">
        <v>4301011308</v>
      </c>
      <c r="D140" s="308" t="n">
        <v>4607091386004</v>
      </c>
      <c r="E140" s="609" t="n"/>
      <c r="F140" s="641" t="n">
        <v>1.35</v>
      </c>
      <c r="G140" s="38" t="n">
        <v>8</v>
      </c>
      <c r="H140" s="641" t="n">
        <v>10.8</v>
      </c>
      <c r="I140" s="641" t="n">
        <v>11.28</v>
      </c>
      <c r="J140" s="38" t="n">
        <v>56</v>
      </c>
      <c r="K140" s="39" t="inlineStr">
        <is>
          <t>СК1</t>
        </is>
      </c>
      <c r="L140" s="38" t="n">
        <v>55</v>
      </c>
      <c r="M140" s="717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N140" s="643" t="n"/>
      <c r="O140" s="643" t="n"/>
      <c r="P140" s="643" t="n"/>
      <c r="Q140" s="609" t="n"/>
      <c r="R140" s="40" t="inlineStr"/>
      <c r="S140" s="40" t="inlineStr"/>
      <c r="T140" s="41" t="inlineStr">
        <is>
          <t>кг</t>
        </is>
      </c>
      <c r="U140" s="644" t="n">
        <v>0</v>
      </c>
      <c r="V140" s="645">
        <f>IFERROR(IF(U140="",0,CEILING((U140/$H140),1)*$H140),"")</f>
        <v/>
      </c>
      <c r="W140" s="42">
        <f>IFERROR(IF(V140=0,"",ROUNDUP(V140/H140,0)*0.02175),"")</f>
        <v/>
      </c>
      <c r="X140" s="69" t="inlineStr"/>
      <c r="Y140" s="70" t="inlineStr"/>
      <c r="AC140" s="143" t="inlineStr">
        <is>
          <t>КИ</t>
        </is>
      </c>
    </row>
    <row r="141" ht="27" customHeight="1">
      <c r="A141" s="64" t="inlineStr">
        <is>
          <t>SU000058</t>
        </is>
      </c>
      <c r="B141" s="64" t="inlineStr">
        <is>
          <t>P002048</t>
        </is>
      </c>
      <c r="C141" s="37" t="n">
        <v>4301011347</v>
      </c>
      <c r="D141" s="308" t="n">
        <v>4607091386073</v>
      </c>
      <c r="E141" s="609" t="n"/>
      <c r="F141" s="641" t="n">
        <v>0.9</v>
      </c>
      <c r="G141" s="38" t="n">
        <v>10</v>
      </c>
      <c r="H141" s="641" t="n">
        <v>9</v>
      </c>
      <c r="I141" s="641" t="n">
        <v>9.630000000000001</v>
      </c>
      <c r="J141" s="38" t="n">
        <v>56</v>
      </c>
      <c r="K141" s="39" t="inlineStr">
        <is>
          <t>СК1</t>
        </is>
      </c>
      <c r="L141" s="38" t="n">
        <v>31</v>
      </c>
      <c r="M141" s="718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N141" s="643" t="n"/>
      <c r="O141" s="643" t="n"/>
      <c r="P141" s="643" t="n"/>
      <c r="Q141" s="609" t="n"/>
      <c r="R141" s="40" t="inlineStr"/>
      <c r="S141" s="40" t="inlineStr"/>
      <c r="T141" s="41" t="inlineStr">
        <is>
          <t>кг</t>
        </is>
      </c>
      <c r="U141" s="644" t="n">
        <v>0</v>
      </c>
      <c r="V141" s="645">
        <f>IFERROR(IF(U141="",0,CEILING((U141/$H141),1)*$H141),"")</f>
        <v/>
      </c>
      <c r="W141" s="42">
        <f>IFERROR(IF(V141=0,"",ROUNDUP(V141/H141,0)*0.02175),"")</f>
        <v/>
      </c>
      <c r="X141" s="69" t="inlineStr"/>
      <c r="Y141" s="70" t="inlineStr"/>
      <c r="AC141" s="144" t="inlineStr">
        <is>
          <t>КИ</t>
        </is>
      </c>
    </row>
    <row r="142" ht="27" customHeight="1">
      <c r="A142" s="64" t="inlineStr">
        <is>
          <t>SU001780</t>
        </is>
      </c>
      <c r="B142" s="64" t="inlineStr">
        <is>
          <t>P003075</t>
        </is>
      </c>
      <c r="C142" s="37" t="n">
        <v>4301011395</v>
      </c>
      <c r="D142" s="308" t="n">
        <v>4607091387322</v>
      </c>
      <c r="E142" s="609" t="n"/>
      <c r="F142" s="641" t="n">
        <v>1.35</v>
      </c>
      <c r="G142" s="38" t="n">
        <v>8</v>
      </c>
      <c r="H142" s="641" t="n">
        <v>10.8</v>
      </c>
      <c r="I142" s="641" t="n">
        <v>11.28</v>
      </c>
      <c r="J142" s="38" t="n">
        <v>48</v>
      </c>
      <c r="K142" s="39" t="inlineStr">
        <is>
          <t>ВЗ</t>
        </is>
      </c>
      <c r="L142" s="38" t="n">
        <v>55</v>
      </c>
      <c r="M142" s="719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N142" s="643" t="n"/>
      <c r="O142" s="643" t="n"/>
      <c r="P142" s="643" t="n"/>
      <c r="Q142" s="609" t="n"/>
      <c r="R142" s="40" t="inlineStr"/>
      <c r="S142" s="40" t="inlineStr"/>
      <c r="T142" s="41" t="inlineStr">
        <is>
          <t>кг</t>
        </is>
      </c>
      <c r="U142" s="644" t="n">
        <v>0</v>
      </c>
      <c r="V142" s="645">
        <f>IFERROR(IF(U142="",0,CEILING((U142/$H142),1)*$H142),"")</f>
        <v/>
      </c>
      <c r="W142" s="42">
        <f>IFERROR(IF(V142=0,"",ROUNDUP(V142/H142,0)*0.02039),"")</f>
        <v/>
      </c>
      <c r="X142" s="69" t="inlineStr"/>
      <c r="Y142" s="70" t="inlineStr"/>
      <c r="AC142" s="145" t="inlineStr">
        <is>
          <t>КИ</t>
        </is>
      </c>
    </row>
    <row r="143" ht="27" customHeight="1">
      <c r="A143" s="64" t="inlineStr">
        <is>
          <t>SU001780</t>
        </is>
      </c>
      <c r="B143" s="64" t="inlineStr">
        <is>
          <t>P001780</t>
        </is>
      </c>
      <c r="C143" s="37" t="n">
        <v>4301010928</v>
      </c>
      <c r="D143" s="308" t="n">
        <v>4607091387322</v>
      </c>
      <c r="E143" s="609" t="n"/>
      <c r="F143" s="641" t="n">
        <v>1.35</v>
      </c>
      <c r="G143" s="38" t="n">
        <v>8</v>
      </c>
      <c r="H143" s="641" t="n">
        <v>10.8</v>
      </c>
      <c r="I143" s="641" t="n">
        <v>11.28</v>
      </c>
      <c r="J143" s="38" t="n">
        <v>56</v>
      </c>
      <c r="K143" s="39" t="inlineStr">
        <is>
          <t>СК1</t>
        </is>
      </c>
      <c r="L143" s="38" t="n">
        <v>55</v>
      </c>
      <c r="M143" s="720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N143" s="643" t="n"/>
      <c r="O143" s="643" t="n"/>
      <c r="P143" s="643" t="n"/>
      <c r="Q143" s="609" t="n"/>
      <c r="R143" s="40" t="inlineStr"/>
      <c r="S143" s="40" t="inlineStr"/>
      <c r="T143" s="41" t="inlineStr">
        <is>
          <t>кг</t>
        </is>
      </c>
      <c r="U143" s="644" t="n">
        <v>0</v>
      </c>
      <c r="V143" s="645">
        <f>IFERROR(IF(U143="",0,CEILING((U143/$H143),1)*$H143),"")</f>
        <v/>
      </c>
      <c r="W143" s="42">
        <f>IFERROR(IF(V143=0,"",ROUNDUP(V143/H143,0)*0.02175),"")</f>
        <v/>
      </c>
      <c r="X143" s="69" t="inlineStr"/>
      <c r="Y143" s="70" t="inlineStr"/>
      <c r="AC143" s="146" t="inlineStr">
        <is>
          <t>КИ</t>
        </is>
      </c>
    </row>
    <row r="144" ht="27" customHeight="1">
      <c r="A144" s="64" t="inlineStr">
        <is>
          <t>SU001778</t>
        </is>
      </c>
      <c r="B144" s="64" t="inlineStr">
        <is>
          <t>P001778</t>
        </is>
      </c>
      <c r="C144" s="37" t="n">
        <v>4301011311</v>
      </c>
      <c r="D144" s="308" t="n">
        <v>4607091387377</v>
      </c>
      <c r="E144" s="609" t="n"/>
      <c r="F144" s="641" t="n">
        <v>1.35</v>
      </c>
      <c r="G144" s="38" t="n">
        <v>8</v>
      </c>
      <c r="H144" s="641" t="n">
        <v>10.8</v>
      </c>
      <c r="I144" s="641" t="n">
        <v>11.28</v>
      </c>
      <c r="J144" s="38" t="n">
        <v>56</v>
      </c>
      <c r="K144" s="39" t="inlineStr">
        <is>
          <t>СК1</t>
        </is>
      </c>
      <c r="L144" s="38" t="n">
        <v>55</v>
      </c>
      <c r="M144" s="721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N144" s="643" t="n"/>
      <c r="O144" s="643" t="n"/>
      <c r="P144" s="643" t="n"/>
      <c r="Q144" s="609" t="n"/>
      <c r="R144" s="40" t="inlineStr"/>
      <c r="S144" s="40" t="inlineStr"/>
      <c r="T144" s="41" t="inlineStr">
        <is>
          <t>кг</t>
        </is>
      </c>
      <c r="U144" s="644" t="n">
        <v>0</v>
      </c>
      <c r="V144" s="645">
        <f>IFERROR(IF(U144="",0,CEILING((U144/$H144),1)*$H144),"")</f>
        <v/>
      </c>
      <c r="W144" s="42">
        <f>IFERROR(IF(V144=0,"",ROUNDUP(V144/H144,0)*0.02175),"")</f>
        <v/>
      </c>
      <c r="X144" s="69" t="inlineStr"/>
      <c r="Y144" s="70" t="inlineStr"/>
      <c r="AC144" s="147" t="inlineStr">
        <is>
          <t>КИ</t>
        </is>
      </c>
    </row>
    <row r="145" ht="27" customHeight="1">
      <c r="A145" s="64" t="inlineStr">
        <is>
          <t>SU000043</t>
        </is>
      </c>
      <c r="B145" s="64" t="inlineStr">
        <is>
          <t>P001807</t>
        </is>
      </c>
      <c r="C145" s="37" t="n">
        <v>4301010945</v>
      </c>
      <c r="D145" s="308" t="n">
        <v>4607091387353</v>
      </c>
      <c r="E145" s="609" t="n"/>
      <c r="F145" s="641" t="n">
        <v>1.35</v>
      </c>
      <c r="G145" s="38" t="n">
        <v>8</v>
      </c>
      <c r="H145" s="641" t="n">
        <v>10.8</v>
      </c>
      <c r="I145" s="641" t="n">
        <v>11.28</v>
      </c>
      <c r="J145" s="38" t="n">
        <v>56</v>
      </c>
      <c r="K145" s="39" t="inlineStr">
        <is>
          <t>СК1</t>
        </is>
      </c>
      <c r="L145" s="38" t="n">
        <v>55</v>
      </c>
      <c r="M145" s="722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N145" s="643" t="n"/>
      <c r="O145" s="643" t="n"/>
      <c r="P145" s="643" t="n"/>
      <c r="Q145" s="609" t="n"/>
      <c r="R145" s="40" t="inlineStr"/>
      <c r="S145" s="40" t="inlineStr"/>
      <c r="T145" s="41" t="inlineStr">
        <is>
          <t>кг</t>
        </is>
      </c>
      <c r="U145" s="644" t="n">
        <v>0</v>
      </c>
      <c r="V145" s="645">
        <f>IFERROR(IF(U145="",0,CEILING((U145/$H145),1)*$H145),"")</f>
        <v/>
      </c>
      <c r="W145" s="42">
        <f>IFERROR(IF(V145=0,"",ROUNDUP(V145/H145,0)*0.02175),"")</f>
        <v/>
      </c>
      <c r="X145" s="69" t="inlineStr"/>
      <c r="Y145" s="70" t="inlineStr"/>
      <c r="AC145" s="148" t="inlineStr">
        <is>
          <t>КИ</t>
        </is>
      </c>
    </row>
    <row r="146" ht="27" customHeight="1">
      <c r="A146" s="64" t="inlineStr">
        <is>
          <t>SU001800</t>
        </is>
      </c>
      <c r="B146" s="64" t="inlineStr">
        <is>
          <t>P001800</t>
        </is>
      </c>
      <c r="C146" s="37" t="n">
        <v>4301011328</v>
      </c>
      <c r="D146" s="308" t="n">
        <v>4607091386011</v>
      </c>
      <c r="E146" s="609" t="n"/>
      <c r="F146" s="641" t="n">
        <v>0.5</v>
      </c>
      <c r="G146" s="38" t="n">
        <v>10</v>
      </c>
      <c r="H146" s="641" t="n">
        <v>5</v>
      </c>
      <c r="I146" s="641" t="n">
        <v>5.21</v>
      </c>
      <c r="J146" s="38" t="n">
        <v>120</v>
      </c>
      <c r="K146" s="39" t="inlineStr">
        <is>
          <t>СК2</t>
        </is>
      </c>
      <c r="L146" s="38" t="n">
        <v>55</v>
      </c>
      <c r="M146" s="723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N146" s="643" t="n"/>
      <c r="O146" s="643" t="n"/>
      <c r="P146" s="643" t="n"/>
      <c r="Q146" s="609" t="n"/>
      <c r="R146" s="40" t="inlineStr"/>
      <c r="S146" s="40" t="inlineStr"/>
      <c r="T146" s="41" t="inlineStr">
        <is>
          <t>кг</t>
        </is>
      </c>
      <c r="U146" s="644" t="n">
        <v>0</v>
      </c>
      <c r="V146" s="645">
        <f>IFERROR(IF(U146="",0,CEILING((U146/$H146),1)*$H146),"")</f>
        <v/>
      </c>
      <c r="W146" s="42">
        <f>IFERROR(IF(V146=0,"",ROUNDUP(V146/H146,0)*0.00937),"")</f>
        <v/>
      </c>
      <c r="X146" s="69" t="inlineStr"/>
      <c r="Y146" s="70" t="inlineStr"/>
      <c r="AC146" s="149" t="inlineStr">
        <is>
          <t>КИ</t>
        </is>
      </c>
    </row>
    <row r="147" ht="27" customHeight="1">
      <c r="A147" s="64" t="inlineStr">
        <is>
          <t>SU001805</t>
        </is>
      </c>
      <c r="B147" s="64" t="inlineStr">
        <is>
          <t>P001805</t>
        </is>
      </c>
      <c r="C147" s="37" t="n">
        <v>4301011329</v>
      </c>
      <c r="D147" s="308" t="n">
        <v>4607091387308</v>
      </c>
      <c r="E147" s="609" t="n"/>
      <c r="F147" s="641" t="n">
        <v>0.5</v>
      </c>
      <c r="G147" s="38" t="n">
        <v>10</v>
      </c>
      <c r="H147" s="641" t="n">
        <v>5</v>
      </c>
      <c r="I147" s="641" t="n">
        <v>5.21</v>
      </c>
      <c r="J147" s="38" t="n">
        <v>120</v>
      </c>
      <c r="K147" s="39" t="inlineStr">
        <is>
          <t>СК2</t>
        </is>
      </c>
      <c r="L147" s="38" t="n">
        <v>55</v>
      </c>
      <c r="M147" s="724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N147" s="643" t="n"/>
      <c r="O147" s="643" t="n"/>
      <c r="P147" s="643" t="n"/>
      <c r="Q147" s="609" t="n"/>
      <c r="R147" s="40" t="inlineStr"/>
      <c r="S147" s="40" t="inlineStr"/>
      <c r="T147" s="41" t="inlineStr">
        <is>
          <t>кг</t>
        </is>
      </c>
      <c r="U147" s="644" t="n">
        <v>0</v>
      </c>
      <c r="V147" s="645">
        <f>IFERROR(IF(U147="",0,CEILING((U147/$H147),1)*$H147),"")</f>
        <v/>
      </c>
      <c r="W147" s="42">
        <f>IFERROR(IF(V147=0,"",ROUNDUP(V147/H147,0)*0.00937),"")</f>
        <v/>
      </c>
      <c r="X147" s="69" t="inlineStr"/>
      <c r="Y147" s="70" t="inlineStr"/>
      <c r="AC147" s="150" t="inlineStr">
        <is>
          <t>КИ</t>
        </is>
      </c>
    </row>
    <row r="148" ht="27" customHeight="1">
      <c r="A148" s="64" t="inlineStr">
        <is>
          <t>SU001829</t>
        </is>
      </c>
      <c r="B148" s="64" t="inlineStr">
        <is>
          <t>P001829</t>
        </is>
      </c>
      <c r="C148" s="37" t="n">
        <v>4301011049</v>
      </c>
      <c r="D148" s="308" t="n">
        <v>4607091387339</v>
      </c>
      <c r="E148" s="609" t="n"/>
      <c r="F148" s="641" t="n">
        <v>0.5</v>
      </c>
      <c r="G148" s="38" t="n">
        <v>10</v>
      </c>
      <c r="H148" s="641" t="n">
        <v>5</v>
      </c>
      <c r="I148" s="641" t="n">
        <v>5.24</v>
      </c>
      <c r="J148" s="38" t="n">
        <v>120</v>
      </c>
      <c r="K148" s="39" t="inlineStr">
        <is>
          <t>СК1</t>
        </is>
      </c>
      <c r="L148" s="38" t="n">
        <v>55</v>
      </c>
      <c r="M148" s="725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N148" s="643" t="n"/>
      <c r="O148" s="643" t="n"/>
      <c r="P148" s="643" t="n"/>
      <c r="Q148" s="609" t="n"/>
      <c r="R148" s="40" t="inlineStr"/>
      <c r="S148" s="40" t="inlineStr"/>
      <c r="T148" s="41" t="inlineStr">
        <is>
          <t>кг</t>
        </is>
      </c>
      <c r="U148" s="644" t="n">
        <v>0</v>
      </c>
      <c r="V148" s="645">
        <f>IFERROR(IF(U148="",0,CEILING((U148/$H148),1)*$H148),"")</f>
        <v/>
      </c>
      <c r="W148" s="42">
        <f>IFERROR(IF(V148=0,"",ROUNDUP(V148/H148,0)*0.00937),"")</f>
        <v/>
      </c>
      <c r="X148" s="69" t="inlineStr"/>
      <c r="Y148" s="70" t="inlineStr"/>
      <c r="AC148" s="151" t="inlineStr">
        <is>
          <t>КИ</t>
        </is>
      </c>
    </row>
    <row r="149" ht="27" customHeight="1">
      <c r="A149" s="64" t="inlineStr">
        <is>
          <t>SU002894</t>
        </is>
      </c>
      <c r="B149" s="64" t="inlineStr">
        <is>
          <t>P003314</t>
        </is>
      </c>
      <c r="C149" s="37" t="n">
        <v>4301011573</v>
      </c>
      <c r="D149" s="308" t="n">
        <v>4680115881938</v>
      </c>
      <c r="E149" s="609" t="n"/>
      <c r="F149" s="641" t="n">
        <v>0.4</v>
      </c>
      <c r="G149" s="38" t="n">
        <v>10</v>
      </c>
      <c r="H149" s="641" t="n">
        <v>4</v>
      </c>
      <c r="I149" s="641" t="n">
        <v>4.24</v>
      </c>
      <c r="J149" s="38" t="n">
        <v>120</v>
      </c>
      <c r="K149" s="39" t="inlineStr">
        <is>
          <t>СК1</t>
        </is>
      </c>
      <c r="L149" s="38" t="n">
        <v>90</v>
      </c>
      <c r="M149" s="726" t="inlineStr">
        <is>
          <t>Вареные колбасы пастеризованная "Стародворская без шпика" Фикс.вес 0,4 п/а ТМ " Стародворье"</t>
        </is>
      </c>
      <c r="N149" s="643" t="n"/>
      <c r="O149" s="643" t="n"/>
      <c r="P149" s="643" t="n"/>
      <c r="Q149" s="609" t="n"/>
      <c r="R149" s="40" t="inlineStr"/>
      <c r="S149" s="40" t="inlineStr"/>
      <c r="T149" s="41" t="inlineStr">
        <is>
          <t>кг</t>
        </is>
      </c>
      <c r="U149" s="644" t="n">
        <v>0</v>
      </c>
      <c r="V149" s="645">
        <f>IFERROR(IF(U149="",0,CEILING((U149/$H149),1)*$H149),"")</f>
        <v/>
      </c>
      <c r="W149" s="42">
        <f>IFERROR(IF(V149=0,"",ROUNDUP(V149/H149,0)*0.00937),"")</f>
        <v/>
      </c>
      <c r="X149" s="69" t="inlineStr"/>
      <c r="Y149" s="70" t="inlineStr"/>
      <c r="AC149" s="152" t="inlineStr">
        <is>
          <t>КИ</t>
        </is>
      </c>
    </row>
    <row r="150" ht="27" customHeight="1">
      <c r="A150" s="64" t="inlineStr">
        <is>
          <t>SU002823</t>
        </is>
      </c>
      <c r="B150" s="64" t="inlineStr">
        <is>
          <t>P003230</t>
        </is>
      </c>
      <c r="C150" s="37" t="n">
        <v>4301011454</v>
      </c>
      <c r="D150" s="308" t="n">
        <v>4680115881396</v>
      </c>
      <c r="E150" s="609" t="n"/>
      <c r="F150" s="641" t="n">
        <v>0.45</v>
      </c>
      <c r="G150" s="38" t="n">
        <v>6</v>
      </c>
      <c r="H150" s="641" t="n">
        <v>2.7</v>
      </c>
      <c r="I150" s="641" t="n">
        <v>2.9</v>
      </c>
      <c r="J150" s="38" t="n">
        <v>156</v>
      </c>
      <c r="K150" s="39" t="inlineStr">
        <is>
          <t>СК2</t>
        </is>
      </c>
      <c r="L150" s="38" t="n">
        <v>55</v>
      </c>
      <c r="M150" s="727" t="inlineStr">
        <is>
          <t>Вареные колбасы Сочинка с сочным окороком ТМ Стародворье ф/в 0,45 кг</t>
        </is>
      </c>
      <c r="N150" s="643" t="n"/>
      <c r="O150" s="643" t="n"/>
      <c r="P150" s="643" t="n"/>
      <c r="Q150" s="609" t="n"/>
      <c r="R150" s="40" t="inlineStr"/>
      <c r="S150" s="40" t="inlineStr"/>
      <c r="T150" s="41" t="inlineStr">
        <is>
          <t>кг</t>
        </is>
      </c>
      <c r="U150" s="644" t="n">
        <v>0</v>
      </c>
      <c r="V150" s="645">
        <f>IFERROR(IF(U150="",0,CEILING((U150/$H150),1)*$H150),"")</f>
        <v/>
      </c>
      <c r="W150" s="42">
        <f>IFERROR(IF(V150=0,"",ROUNDUP(V150/H150,0)*0.00753),"")</f>
        <v/>
      </c>
      <c r="X150" s="69" t="inlineStr"/>
      <c r="Y150" s="70" t="inlineStr"/>
      <c r="AC150" s="153" t="inlineStr">
        <is>
          <t>КИ</t>
        </is>
      </c>
    </row>
    <row r="151" ht="27" customHeight="1">
      <c r="A151" s="64" t="inlineStr">
        <is>
          <t>SU000078</t>
        </is>
      </c>
      <c r="B151" s="64" t="inlineStr">
        <is>
          <t>P001806</t>
        </is>
      </c>
      <c r="C151" s="37" t="n">
        <v>4301010944</v>
      </c>
      <c r="D151" s="308" t="n">
        <v>4607091387346</v>
      </c>
      <c r="E151" s="609" t="n"/>
      <c r="F151" s="641" t="n">
        <v>0.4</v>
      </c>
      <c r="G151" s="38" t="n">
        <v>10</v>
      </c>
      <c r="H151" s="641" t="n">
        <v>4</v>
      </c>
      <c r="I151" s="641" t="n">
        <v>4.24</v>
      </c>
      <c r="J151" s="38" t="n">
        <v>120</v>
      </c>
      <c r="K151" s="39" t="inlineStr">
        <is>
          <t>СК1</t>
        </is>
      </c>
      <c r="L151" s="38" t="n">
        <v>55</v>
      </c>
      <c r="M151" s="728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N151" s="643" t="n"/>
      <c r="O151" s="643" t="n"/>
      <c r="P151" s="643" t="n"/>
      <c r="Q151" s="609" t="n"/>
      <c r="R151" s="40" t="inlineStr"/>
      <c r="S151" s="40" t="inlineStr"/>
      <c r="T151" s="41" t="inlineStr">
        <is>
          <t>кг</t>
        </is>
      </c>
      <c r="U151" s="644" t="n">
        <v>0</v>
      </c>
      <c r="V151" s="645">
        <f>IFERROR(IF(U151="",0,CEILING((U151/$H151),1)*$H151),"")</f>
        <v/>
      </c>
      <c r="W151" s="42">
        <f>IFERROR(IF(V151=0,"",ROUNDUP(V151/H151,0)*0.00937),"")</f>
        <v/>
      </c>
      <c r="X151" s="69" t="inlineStr"/>
      <c r="Y151" s="70" t="inlineStr"/>
      <c r="AC151" s="154" t="inlineStr">
        <is>
          <t>КИ</t>
        </is>
      </c>
    </row>
    <row r="152" ht="27" customHeight="1">
      <c r="A152" s="64" t="inlineStr">
        <is>
          <t>SU002616</t>
        </is>
      </c>
      <c r="B152" s="64" t="inlineStr">
        <is>
          <t>P002950</t>
        </is>
      </c>
      <c r="C152" s="37" t="n">
        <v>4301011353</v>
      </c>
      <c r="D152" s="308" t="n">
        <v>4607091389807</v>
      </c>
      <c r="E152" s="609" t="n"/>
      <c r="F152" s="641" t="n">
        <v>0.4</v>
      </c>
      <c r="G152" s="38" t="n">
        <v>10</v>
      </c>
      <c r="H152" s="641" t="n">
        <v>4</v>
      </c>
      <c r="I152" s="641" t="n">
        <v>4.24</v>
      </c>
      <c r="J152" s="38" t="n">
        <v>120</v>
      </c>
      <c r="K152" s="39" t="inlineStr">
        <is>
          <t>СК1</t>
        </is>
      </c>
      <c r="L152" s="38" t="n">
        <v>55</v>
      </c>
      <c r="M152" s="729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N152" s="643" t="n"/>
      <c r="O152" s="643" t="n"/>
      <c r="P152" s="643" t="n"/>
      <c r="Q152" s="609" t="n"/>
      <c r="R152" s="40" t="inlineStr"/>
      <c r="S152" s="40" t="inlineStr"/>
      <c r="T152" s="41" t="inlineStr">
        <is>
          <t>кг</t>
        </is>
      </c>
      <c r="U152" s="644" t="n">
        <v>0</v>
      </c>
      <c r="V152" s="645">
        <f>IFERROR(IF(U152="",0,CEILING((U152/$H152),1)*$H152),"")</f>
        <v/>
      </c>
      <c r="W152" s="42">
        <f>IFERROR(IF(V152=0,"",ROUNDUP(V152/H152,0)*0.00937),"")</f>
        <v/>
      </c>
      <c r="X152" s="69" t="inlineStr"/>
      <c r="Y152" s="70" t="inlineStr"/>
      <c r="AC152" s="155" t="inlineStr">
        <is>
          <t>КИ</t>
        </is>
      </c>
    </row>
    <row r="153">
      <c r="A153" s="317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646" t="n"/>
      <c r="M153" s="647" t="inlineStr">
        <is>
          <t>Итого</t>
        </is>
      </c>
      <c r="N153" s="617" t="n"/>
      <c r="O153" s="617" t="n"/>
      <c r="P153" s="617" t="n"/>
      <c r="Q153" s="617" t="n"/>
      <c r="R153" s="617" t="n"/>
      <c r="S153" s="618" t="n"/>
      <c r="T153" s="43" t="inlineStr">
        <is>
          <t>кор</t>
        </is>
      </c>
      <c r="U153" s="648">
        <f>IFERROR(U137/H137,"0")+IFERROR(U138/H138,"0")+IFERROR(U139/H139,"0")+IFERROR(U140/H140,"0")+IFERROR(U141/H141,"0")+IFERROR(U142/H142,"0")+IFERROR(U143/H143,"0")+IFERROR(U144/H144,"0")+IFERROR(U145/H145,"0")+IFERROR(U146/H146,"0")+IFERROR(U147/H147,"0")+IFERROR(U148/H148,"0")+IFERROR(U149/H149,"0")+IFERROR(U150/H150,"0")+IFERROR(U151/H151,"0")+IFERROR(U152/H152,"0")</f>
        <v/>
      </c>
      <c r="V153" s="648">
        <f>IFERROR(V137/H137,"0")+IFERROR(V138/H138,"0")+IFERROR(V139/H139,"0")+IFERROR(V140/H140,"0")+IFERROR(V141/H141,"0")+IFERROR(V142/H142,"0")+IFERROR(V143/H143,"0")+IFERROR(V144/H144,"0")+IFERROR(V145/H145,"0")+IFERROR(V146/H146,"0")+IFERROR(V147/H147,"0")+IFERROR(V148/H148,"0")+IFERROR(V149/H149,"0")+IFERROR(V150/H150,"0")+IFERROR(V151/H151,"0")+IFERROR(V152/H152,"0")</f>
        <v/>
      </c>
      <c r="W153" s="648">
        <f>IFERROR(IF(W137="",0,W137),"0")+IFERROR(IF(W138="",0,W138),"0")+IFERROR(IF(W139="",0,W139),"0")+IFERROR(IF(W140="",0,W140),"0")+IFERROR(IF(W141="",0,W141),"0")+IFERROR(IF(W142="",0,W142),"0")+IFERROR(IF(W143="",0,W143),"0")+IFERROR(IF(W144="",0,W144),"0")+IFERROR(IF(W145="",0,W145),"0")+IFERROR(IF(W146="",0,W146),"0")+IFERROR(IF(W147="",0,W147),"0")+IFERROR(IF(W148="",0,W148),"0")+IFERROR(IF(W149="",0,W149),"0")+IFERROR(IF(W150="",0,W150),"0")+IFERROR(IF(W151="",0,W151),"0")+IFERROR(IF(W152="",0,W152),"0")</f>
        <v/>
      </c>
      <c r="X153" s="649" t="n"/>
      <c r="Y153" s="649" t="n"/>
    </row>
    <row r="154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646" t="n"/>
      <c r="M154" s="647" t="inlineStr">
        <is>
          <t>Итого</t>
        </is>
      </c>
      <c r="N154" s="617" t="n"/>
      <c r="O154" s="617" t="n"/>
      <c r="P154" s="617" t="n"/>
      <c r="Q154" s="617" t="n"/>
      <c r="R154" s="617" t="n"/>
      <c r="S154" s="618" t="n"/>
      <c r="T154" s="43" t="inlineStr">
        <is>
          <t>кг</t>
        </is>
      </c>
      <c r="U154" s="648">
        <f>IFERROR(SUM(U137:U152),"0")</f>
        <v/>
      </c>
      <c r="V154" s="648">
        <f>IFERROR(SUM(V137:V152),"0")</f>
        <v/>
      </c>
      <c r="W154" s="43" t="n"/>
      <c r="X154" s="649" t="n"/>
      <c r="Y154" s="649" t="n"/>
    </row>
    <row r="155" ht="14.25" customHeight="1">
      <c r="A155" s="318" t="inlineStr">
        <is>
          <t>Ветчины</t>
        </is>
      </c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318" t="n"/>
      <c r="Y155" s="318" t="n"/>
    </row>
    <row r="156" ht="27" customHeight="1">
      <c r="A156" s="64" t="inlineStr">
        <is>
          <t>SU002788</t>
        </is>
      </c>
      <c r="B156" s="64" t="inlineStr">
        <is>
          <t>P003190</t>
        </is>
      </c>
      <c r="C156" s="37" t="n">
        <v>4301020254</v>
      </c>
      <c r="D156" s="308" t="n">
        <v>4680115881914</v>
      </c>
      <c r="E156" s="609" t="n"/>
      <c r="F156" s="641" t="n">
        <v>0.4</v>
      </c>
      <c r="G156" s="38" t="n">
        <v>10</v>
      </c>
      <c r="H156" s="641" t="n">
        <v>4</v>
      </c>
      <c r="I156" s="641" t="n">
        <v>4.24</v>
      </c>
      <c r="J156" s="38" t="n">
        <v>120</v>
      </c>
      <c r="K156" s="39" t="inlineStr">
        <is>
          <t>СК1</t>
        </is>
      </c>
      <c r="L156" s="38" t="n">
        <v>90</v>
      </c>
      <c r="M156" s="730" t="inlineStr">
        <is>
          <t>Ветчины пастеризованная "Нежная с филе" Фикс.вес 0,4 п/а ТМ "Особый рецепт"</t>
        </is>
      </c>
      <c r="N156" s="643" t="n"/>
      <c r="O156" s="643" t="n"/>
      <c r="P156" s="643" t="n"/>
      <c r="Q156" s="609" t="n"/>
      <c r="R156" s="40" t="inlineStr"/>
      <c r="S156" s="40" t="inlineStr"/>
      <c r="T156" s="41" t="inlineStr">
        <is>
          <t>кг</t>
        </is>
      </c>
      <c r="U156" s="644" t="n">
        <v>0</v>
      </c>
      <c r="V156" s="645">
        <f>IFERROR(IF(U156="",0,CEILING((U156/$H156),1)*$H156),"")</f>
        <v/>
      </c>
      <c r="W156" s="42">
        <f>IFERROR(IF(V156=0,"",ROUNDUP(V156/H156,0)*0.00937),"")</f>
        <v/>
      </c>
      <c r="X156" s="69" t="inlineStr"/>
      <c r="Y156" s="70" t="inlineStr"/>
      <c r="AC156" s="156" t="inlineStr">
        <is>
          <t>КИ</t>
        </is>
      </c>
    </row>
    <row r="157" ht="16.5" customHeight="1">
      <c r="A157" s="64" t="inlineStr">
        <is>
          <t>SU002757</t>
        </is>
      </c>
      <c r="B157" s="64" t="inlineStr">
        <is>
          <t>P003128</t>
        </is>
      </c>
      <c r="C157" s="37" t="n">
        <v>4301020220</v>
      </c>
      <c r="D157" s="308" t="n">
        <v>4680115880764</v>
      </c>
      <c r="E157" s="609" t="n"/>
      <c r="F157" s="641" t="n">
        <v>0.35</v>
      </c>
      <c r="G157" s="38" t="n">
        <v>6</v>
      </c>
      <c r="H157" s="641" t="n">
        <v>2.1</v>
      </c>
      <c r="I157" s="641" t="n">
        <v>2.3</v>
      </c>
      <c r="J157" s="38" t="n">
        <v>156</v>
      </c>
      <c r="K157" s="39" t="inlineStr">
        <is>
          <t>СК1</t>
        </is>
      </c>
      <c r="L157" s="38" t="n">
        <v>50</v>
      </c>
      <c r="M157" s="731" t="inlineStr">
        <is>
          <t>Ветчина Сочинка с сочным окороком ТМ Стародворье полиамид ф/в 0,35 кг</t>
        </is>
      </c>
      <c r="N157" s="643" t="n"/>
      <c r="O157" s="643" t="n"/>
      <c r="P157" s="643" t="n"/>
      <c r="Q157" s="609" t="n"/>
      <c r="R157" s="40" t="inlineStr"/>
      <c r="S157" s="40" t="inlineStr"/>
      <c r="T157" s="41" t="inlineStr">
        <is>
          <t>кг</t>
        </is>
      </c>
      <c r="U157" s="644" t="n">
        <v>0</v>
      </c>
      <c r="V157" s="645">
        <f>IFERROR(IF(U157="",0,CEILING((U157/$H157),1)*$H157),"")</f>
        <v/>
      </c>
      <c r="W157" s="42">
        <f>IFERROR(IF(V157=0,"",ROUNDUP(V157/H157,0)*0.00753),"")</f>
        <v/>
      </c>
      <c r="X157" s="69" t="inlineStr"/>
      <c r="Y157" s="70" t="inlineStr"/>
      <c r="AC157" s="157" t="inlineStr">
        <is>
          <t>КИ</t>
        </is>
      </c>
    </row>
    <row r="158">
      <c r="A158" s="317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646" t="n"/>
      <c r="M158" s="647" t="inlineStr">
        <is>
          <t>Итого</t>
        </is>
      </c>
      <c r="N158" s="617" t="n"/>
      <c r="O158" s="617" t="n"/>
      <c r="P158" s="617" t="n"/>
      <c r="Q158" s="617" t="n"/>
      <c r="R158" s="617" t="n"/>
      <c r="S158" s="618" t="n"/>
      <c r="T158" s="43" t="inlineStr">
        <is>
          <t>кор</t>
        </is>
      </c>
      <c r="U158" s="648">
        <f>IFERROR(U156/H156,"0")+IFERROR(U157/H157,"0")</f>
        <v/>
      </c>
      <c r="V158" s="648">
        <f>IFERROR(V156/H156,"0")+IFERROR(V157/H157,"0")</f>
        <v/>
      </c>
      <c r="W158" s="648">
        <f>IFERROR(IF(W156="",0,W156),"0")+IFERROR(IF(W157="",0,W157),"0")</f>
        <v/>
      </c>
      <c r="X158" s="649" t="n"/>
      <c r="Y158" s="649" t="n"/>
    </row>
    <row r="159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646" t="n"/>
      <c r="M159" s="647" t="inlineStr">
        <is>
          <t>Итого</t>
        </is>
      </c>
      <c r="N159" s="617" t="n"/>
      <c r="O159" s="617" t="n"/>
      <c r="P159" s="617" t="n"/>
      <c r="Q159" s="617" t="n"/>
      <c r="R159" s="617" t="n"/>
      <c r="S159" s="618" t="n"/>
      <c r="T159" s="43" t="inlineStr">
        <is>
          <t>кг</t>
        </is>
      </c>
      <c r="U159" s="648">
        <f>IFERROR(SUM(U156:U157),"0")</f>
        <v/>
      </c>
      <c r="V159" s="648">
        <f>IFERROR(SUM(V156:V157),"0")</f>
        <v/>
      </c>
      <c r="W159" s="43" t="n"/>
      <c r="X159" s="649" t="n"/>
      <c r="Y159" s="649" t="n"/>
    </row>
    <row r="160" ht="14.25" customHeight="1">
      <c r="A160" s="318" t="inlineStr">
        <is>
          <t>Копченые колбасы</t>
        </is>
      </c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318" t="n"/>
      <c r="Y160" s="318" t="n"/>
    </row>
    <row r="161" ht="27" customHeight="1">
      <c r="A161" s="64" t="inlineStr">
        <is>
          <t>SU001820</t>
        </is>
      </c>
      <c r="B161" s="64" t="inlineStr">
        <is>
          <t>P001820</t>
        </is>
      </c>
      <c r="C161" s="37" t="n">
        <v>4301030878</v>
      </c>
      <c r="D161" s="308" t="n">
        <v>4607091387193</v>
      </c>
      <c r="E161" s="609" t="n"/>
      <c r="F161" s="641" t="n">
        <v>0.7</v>
      </c>
      <c r="G161" s="38" t="n">
        <v>6</v>
      </c>
      <c r="H161" s="641" t="n">
        <v>4.2</v>
      </c>
      <c r="I161" s="641" t="n">
        <v>4.46</v>
      </c>
      <c r="J161" s="38" t="n">
        <v>156</v>
      </c>
      <c r="K161" s="39" t="inlineStr">
        <is>
          <t>СК2</t>
        </is>
      </c>
      <c r="L161" s="38" t="n">
        <v>35</v>
      </c>
      <c r="M161" s="732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N161" s="643" t="n"/>
      <c r="O161" s="643" t="n"/>
      <c r="P161" s="643" t="n"/>
      <c r="Q161" s="609" t="n"/>
      <c r="R161" s="40" t="inlineStr"/>
      <c r="S161" s="40" t="inlineStr"/>
      <c r="T161" s="41" t="inlineStr">
        <is>
          <t>кг</t>
        </is>
      </c>
      <c r="U161" s="644" t="n">
        <v>10</v>
      </c>
      <c r="V161" s="645">
        <f>IFERROR(IF(U161="",0,CEILING((U161/$H161),1)*$H161),"")</f>
        <v/>
      </c>
      <c r="W161" s="42">
        <f>IFERROR(IF(V161=0,"",ROUNDUP(V161/H161,0)*0.00753),"")</f>
        <v/>
      </c>
      <c r="X161" s="69" t="inlineStr"/>
      <c r="Y161" s="70" t="inlineStr"/>
      <c r="AC161" s="158" t="inlineStr">
        <is>
          <t>КИ</t>
        </is>
      </c>
    </row>
    <row r="162" ht="27" customHeight="1">
      <c r="A162" s="64" t="inlineStr">
        <is>
          <t>SU001822</t>
        </is>
      </c>
      <c r="B162" s="64" t="inlineStr">
        <is>
          <t>P003013</t>
        </is>
      </c>
      <c r="C162" s="37" t="n">
        <v>4301031153</v>
      </c>
      <c r="D162" s="308" t="n">
        <v>4607091387230</v>
      </c>
      <c r="E162" s="609" t="n"/>
      <c r="F162" s="641" t="n">
        <v>0.7</v>
      </c>
      <c r="G162" s="38" t="n">
        <v>6</v>
      </c>
      <c r="H162" s="641" t="n">
        <v>4.2</v>
      </c>
      <c r="I162" s="641" t="n">
        <v>4.46</v>
      </c>
      <c r="J162" s="38" t="n">
        <v>156</v>
      </c>
      <c r="K162" s="39" t="inlineStr">
        <is>
          <t>СК2</t>
        </is>
      </c>
      <c r="L162" s="38" t="n">
        <v>40</v>
      </c>
      <c r="M162" s="733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N162" s="643" t="n"/>
      <c r="O162" s="643" t="n"/>
      <c r="P162" s="643" t="n"/>
      <c r="Q162" s="609" t="n"/>
      <c r="R162" s="40" t="inlineStr"/>
      <c r="S162" s="40" t="inlineStr"/>
      <c r="T162" s="41" t="inlineStr">
        <is>
          <t>кг</t>
        </is>
      </c>
      <c r="U162" s="644" t="n">
        <v>0</v>
      </c>
      <c r="V162" s="645">
        <f>IFERROR(IF(U162="",0,CEILING((U162/$H162),1)*$H162),"")</f>
        <v/>
      </c>
      <c r="W162" s="42">
        <f>IFERROR(IF(V162=0,"",ROUNDUP(V162/H162,0)*0.00753),"")</f>
        <v/>
      </c>
      <c r="X162" s="69" t="inlineStr"/>
      <c r="Y162" s="70" t="inlineStr"/>
      <c r="AC162" s="159" t="inlineStr">
        <is>
          <t>КИ</t>
        </is>
      </c>
    </row>
    <row r="163" ht="27" customHeight="1">
      <c r="A163" s="64" t="inlineStr">
        <is>
          <t>SU002756</t>
        </is>
      </c>
      <c r="B163" s="64" t="inlineStr">
        <is>
          <t>P003179</t>
        </is>
      </c>
      <c r="C163" s="37" t="n">
        <v>4301031191</v>
      </c>
      <c r="D163" s="308" t="n">
        <v>4680115880993</v>
      </c>
      <c r="E163" s="609" t="n"/>
      <c r="F163" s="641" t="n">
        <v>0.7</v>
      </c>
      <c r="G163" s="38" t="n">
        <v>6</v>
      </c>
      <c r="H163" s="641" t="n">
        <v>4.2</v>
      </c>
      <c r="I163" s="641" t="n">
        <v>4.46</v>
      </c>
      <c r="J163" s="38" t="n">
        <v>156</v>
      </c>
      <c r="K163" s="39" t="inlineStr">
        <is>
          <t>СК2</t>
        </is>
      </c>
      <c r="L163" s="38" t="n">
        <v>40</v>
      </c>
      <c r="M163" s="734">
        <f>HYPERLINK("https://abi.ru/products/Охлажденные/Стародворье/Бордо/Копченые колбасы/P003179/","Колбаса Мясорубская ТМ Стародворье с рубленой грудинкой в оболочке фиброуз в вакуумной упаковке")</f>
        <v/>
      </c>
      <c r="N163" s="643" t="n"/>
      <c r="O163" s="643" t="n"/>
      <c r="P163" s="643" t="n"/>
      <c r="Q163" s="609" t="n"/>
      <c r="R163" s="40" t="inlineStr"/>
      <c r="S163" s="40" t="inlineStr"/>
      <c r="T163" s="41" t="inlineStr">
        <is>
          <t>кг</t>
        </is>
      </c>
      <c r="U163" s="644" t="n">
        <v>100</v>
      </c>
      <c r="V163" s="645">
        <f>IFERROR(IF(U163="",0,CEILING((U163/$H163),1)*$H163),"")</f>
        <v/>
      </c>
      <c r="W163" s="42">
        <f>IFERROR(IF(V163=0,"",ROUNDUP(V163/H163,0)*0.00753),"")</f>
        <v/>
      </c>
      <c r="X163" s="69" t="inlineStr"/>
      <c r="Y163" s="70" t="inlineStr"/>
      <c r="AC163" s="160" t="inlineStr">
        <is>
          <t>КИ</t>
        </is>
      </c>
    </row>
    <row r="164" ht="27" customHeight="1">
      <c r="A164" s="64" t="inlineStr">
        <is>
          <t>SU002876</t>
        </is>
      </c>
      <c r="B164" s="64" t="inlineStr">
        <is>
          <t>P003276</t>
        </is>
      </c>
      <c r="C164" s="37" t="n">
        <v>4301031204</v>
      </c>
      <c r="D164" s="308" t="n">
        <v>4680115881761</v>
      </c>
      <c r="E164" s="609" t="n"/>
      <c r="F164" s="641" t="n">
        <v>0.7</v>
      </c>
      <c r="G164" s="38" t="n">
        <v>6</v>
      </c>
      <c r="H164" s="641" t="n">
        <v>4.2</v>
      </c>
      <c r="I164" s="641" t="n">
        <v>4.46</v>
      </c>
      <c r="J164" s="38" t="n">
        <v>156</v>
      </c>
      <c r="K164" s="39" t="inlineStr">
        <is>
          <t>СК2</t>
        </is>
      </c>
      <c r="L164" s="38" t="n">
        <v>40</v>
      </c>
      <c r="M164" s="735" t="inlineStr">
        <is>
          <t>Копченые колбасы Салями Мясорубская с рубленым шпиком Бордо Весовой фиброуз Стародворье</t>
        </is>
      </c>
      <c r="N164" s="643" t="n"/>
      <c r="O164" s="643" t="n"/>
      <c r="P164" s="643" t="n"/>
      <c r="Q164" s="609" t="n"/>
      <c r="R164" s="40" t="inlineStr"/>
      <c r="S164" s="40" t="inlineStr"/>
      <c r="T164" s="41" t="inlineStr">
        <is>
          <t>кг</t>
        </is>
      </c>
      <c r="U164" s="644" t="n">
        <v>0</v>
      </c>
      <c r="V164" s="645">
        <f>IFERROR(IF(U164="",0,CEILING((U164/$H164),1)*$H164),"")</f>
        <v/>
      </c>
      <c r="W164" s="42">
        <f>IFERROR(IF(V164=0,"",ROUNDUP(V164/H164,0)*0.00753),"")</f>
        <v/>
      </c>
      <c r="X164" s="69" t="inlineStr"/>
      <c r="Y164" s="70" t="inlineStr"/>
      <c r="AC164" s="161" t="inlineStr">
        <is>
          <t>КИ</t>
        </is>
      </c>
    </row>
    <row r="165" ht="27" customHeight="1">
      <c r="A165" s="64" t="inlineStr">
        <is>
          <t>SU002847</t>
        </is>
      </c>
      <c r="B165" s="64" t="inlineStr">
        <is>
          <t>P003259</t>
        </is>
      </c>
      <c r="C165" s="37" t="n">
        <v>4301031201</v>
      </c>
      <c r="D165" s="308" t="n">
        <v>4680115881563</v>
      </c>
      <c r="E165" s="609" t="n"/>
      <c r="F165" s="641" t="n">
        <v>0.7</v>
      </c>
      <c r="G165" s="38" t="n">
        <v>6</v>
      </c>
      <c r="H165" s="641" t="n">
        <v>4.2</v>
      </c>
      <c r="I165" s="641" t="n">
        <v>4.4</v>
      </c>
      <c r="J165" s="38" t="n">
        <v>156</v>
      </c>
      <c r="K165" s="39" t="inlineStr">
        <is>
          <t>СК2</t>
        </is>
      </c>
      <c r="L165" s="38" t="n">
        <v>40</v>
      </c>
      <c r="M165" s="736">
        <f>HYPERLINK("https://abi.ru/products/Охлажденные/Стародворье/Бордо/Копченые колбасы/P003259/","В/к колбасы Сервелат Мясорубский с мелкорубленным окороком Бордо Весовой фиброуз Стародворье")</f>
        <v/>
      </c>
      <c r="N165" s="643" t="n"/>
      <c r="O165" s="643" t="n"/>
      <c r="P165" s="643" t="n"/>
      <c r="Q165" s="609" t="n"/>
      <c r="R165" s="40" t="inlineStr"/>
      <c r="S165" s="40" t="inlineStr"/>
      <c r="T165" s="41" t="inlineStr">
        <is>
          <t>кг</t>
        </is>
      </c>
      <c r="U165" s="644" t="n">
        <v>0</v>
      </c>
      <c r="V165" s="645">
        <f>IFERROR(IF(U165="",0,CEILING((U165/$H165),1)*$H165),"")</f>
        <v/>
      </c>
      <c r="W165" s="42">
        <f>IFERROR(IF(V165=0,"",ROUNDUP(V165/H165,0)*0.00753),"")</f>
        <v/>
      </c>
      <c r="X165" s="69" t="inlineStr"/>
      <c r="Y165" s="70" t="inlineStr"/>
      <c r="AC165" s="162" t="inlineStr">
        <is>
          <t>КИ</t>
        </is>
      </c>
    </row>
    <row r="166" ht="27" customHeight="1">
      <c r="A166" s="64" t="inlineStr">
        <is>
          <t>SU002941</t>
        </is>
      </c>
      <c r="B166" s="64" t="inlineStr">
        <is>
          <t>P003387</t>
        </is>
      </c>
      <c r="C166" s="37" t="n">
        <v>4301031224</v>
      </c>
      <c r="D166" s="308" t="n">
        <v>4680115882683</v>
      </c>
      <c r="E166" s="609" t="n"/>
      <c r="F166" s="641" t="n">
        <v>0.9</v>
      </c>
      <c r="G166" s="38" t="n">
        <v>6</v>
      </c>
      <c r="H166" s="641" t="n">
        <v>5.4</v>
      </c>
      <c r="I166" s="641" t="n">
        <v>5.61</v>
      </c>
      <c r="J166" s="38" t="n">
        <v>120</v>
      </c>
      <c r="K166" s="39" t="inlineStr">
        <is>
          <t>СК2</t>
        </is>
      </c>
      <c r="L166" s="38" t="n">
        <v>40</v>
      </c>
      <c r="M166" s="737" t="inlineStr">
        <is>
          <t>В/к колбасы "Сочинка по-европейски с сочной грудинкой" Весовой фиброуз ТМ "Стародворье"</t>
        </is>
      </c>
      <c r="N166" s="643" t="n"/>
      <c r="O166" s="643" t="n"/>
      <c r="P166" s="643" t="n"/>
      <c r="Q166" s="609" t="n"/>
      <c r="R166" s="40" t="inlineStr"/>
      <c r="S166" s="40" t="inlineStr"/>
      <c r="T166" s="41" t="inlineStr">
        <is>
          <t>кг</t>
        </is>
      </c>
      <c r="U166" s="644" t="n">
        <v>30</v>
      </c>
      <c r="V166" s="645">
        <f>IFERROR(IF(U166="",0,CEILING((U166/$H166),1)*$H166),"")</f>
        <v/>
      </c>
      <c r="W166" s="42">
        <f>IFERROR(IF(V166=0,"",ROUNDUP(V166/H166,0)*0.00937),"")</f>
        <v/>
      </c>
      <c r="X166" s="69" t="inlineStr"/>
      <c r="Y166" s="70" t="inlineStr"/>
      <c r="AC166" s="163" t="inlineStr">
        <is>
          <t>КИ</t>
        </is>
      </c>
    </row>
    <row r="167" ht="27" customHeight="1">
      <c r="A167" s="64" t="inlineStr">
        <is>
          <t>SU002943</t>
        </is>
      </c>
      <c r="B167" s="64" t="inlineStr">
        <is>
          <t>P003401</t>
        </is>
      </c>
      <c r="C167" s="37" t="n">
        <v>4301031230</v>
      </c>
      <c r="D167" s="308" t="n">
        <v>4680115882690</v>
      </c>
      <c r="E167" s="609" t="n"/>
      <c r="F167" s="641" t="n">
        <v>0.9</v>
      </c>
      <c r="G167" s="38" t="n">
        <v>6</v>
      </c>
      <c r="H167" s="641" t="n">
        <v>5.4</v>
      </c>
      <c r="I167" s="641" t="n">
        <v>5.61</v>
      </c>
      <c r="J167" s="38" t="n">
        <v>120</v>
      </c>
      <c r="K167" s="39" t="inlineStr">
        <is>
          <t>СК2</t>
        </is>
      </c>
      <c r="L167" s="38" t="n">
        <v>40</v>
      </c>
      <c r="M167" s="738" t="inlineStr">
        <is>
          <t>В/к колбасы "Сочинка по-фински с сочным окороком" Весовой фиброуз ТМ "Стародворье"</t>
        </is>
      </c>
      <c r="N167" s="643" t="n"/>
      <c r="O167" s="643" t="n"/>
      <c r="P167" s="643" t="n"/>
      <c r="Q167" s="609" t="n"/>
      <c r="R167" s="40" t="inlineStr"/>
      <c r="S167" s="40" t="inlineStr"/>
      <c r="T167" s="41" t="inlineStr">
        <is>
          <t>кг</t>
        </is>
      </c>
      <c r="U167" s="644" t="n">
        <v>30</v>
      </c>
      <c r="V167" s="645">
        <f>IFERROR(IF(U167="",0,CEILING((U167/$H167),1)*$H167),"")</f>
        <v/>
      </c>
      <c r="W167" s="42">
        <f>IFERROR(IF(V167=0,"",ROUNDUP(V167/H167,0)*0.00937),"")</f>
        <v/>
      </c>
      <c r="X167" s="69" t="inlineStr"/>
      <c r="Y167" s="70" t="inlineStr"/>
      <c r="AC167" s="164" t="inlineStr">
        <is>
          <t>КИ</t>
        </is>
      </c>
    </row>
    <row r="168" ht="27" customHeight="1">
      <c r="A168" s="64" t="inlineStr">
        <is>
          <t>SU002945</t>
        </is>
      </c>
      <c r="B168" s="64" t="inlineStr">
        <is>
          <t>P003383</t>
        </is>
      </c>
      <c r="C168" s="37" t="n">
        <v>4301031220</v>
      </c>
      <c r="D168" s="308" t="n">
        <v>4680115882669</v>
      </c>
      <c r="E168" s="609" t="n"/>
      <c r="F168" s="641" t="n">
        <v>0.9</v>
      </c>
      <c r="G168" s="38" t="n">
        <v>6</v>
      </c>
      <c r="H168" s="641" t="n">
        <v>5.4</v>
      </c>
      <c r="I168" s="641" t="n">
        <v>5.61</v>
      </c>
      <c r="J168" s="38" t="n">
        <v>120</v>
      </c>
      <c r="K168" s="39" t="inlineStr">
        <is>
          <t>СК2</t>
        </is>
      </c>
      <c r="L168" s="38" t="n">
        <v>40</v>
      </c>
      <c r="M168" s="739" t="inlineStr">
        <is>
          <t>П/к колбасы "Сочинка зернистая с сочной грудинкой" Весовой фиброуз ТМ "Стародворье"</t>
        </is>
      </c>
      <c r="N168" s="643" t="n"/>
      <c r="O168" s="643" t="n"/>
      <c r="P168" s="643" t="n"/>
      <c r="Q168" s="609" t="n"/>
      <c r="R168" s="40" t="inlineStr"/>
      <c r="S168" s="40" t="inlineStr"/>
      <c r="T168" s="41" t="inlineStr">
        <is>
          <t>кг</t>
        </is>
      </c>
      <c r="U168" s="644" t="n">
        <v>30</v>
      </c>
      <c r="V168" s="645">
        <f>IFERROR(IF(U168="",0,CEILING((U168/$H168),1)*$H168),"")</f>
        <v/>
      </c>
      <c r="W168" s="42">
        <f>IFERROR(IF(V168=0,"",ROUNDUP(V168/H168,0)*0.00937),"")</f>
        <v/>
      </c>
      <c r="X168" s="69" t="inlineStr"/>
      <c r="Y168" s="70" t="inlineStr"/>
      <c r="AC168" s="165" t="inlineStr">
        <is>
          <t>КИ</t>
        </is>
      </c>
    </row>
    <row r="169" ht="27" customHeight="1">
      <c r="A169" s="64" t="inlineStr">
        <is>
          <t>SU002947</t>
        </is>
      </c>
      <c r="B169" s="64" t="inlineStr">
        <is>
          <t>P003384</t>
        </is>
      </c>
      <c r="C169" s="37" t="n">
        <v>4301031221</v>
      </c>
      <c r="D169" s="308" t="n">
        <v>4680115882676</v>
      </c>
      <c r="E169" s="609" t="n"/>
      <c r="F169" s="641" t="n">
        <v>0.9</v>
      </c>
      <c r="G169" s="38" t="n">
        <v>6</v>
      </c>
      <c r="H169" s="641" t="n">
        <v>5.4</v>
      </c>
      <c r="I169" s="641" t="n">
        <v>5.61</v>
      </c>
      <c r="J169" s="38" t="n">
        <v>120</v>
      </c>
      <c r="K169" s="39" t="inlineStr">
        <is>
          <t>СК2</t>
        </is>
      </c>
      <c r="L169" s="38" t="n">
        <v>40</v>
      </c>
      <c r="M169" s="740" t="inlineStr">
        <is>
          <t>П/к колбасы "Сочинка рубленая с сочным окороком" Весовой фиброуз ТМ "Стародворье"</t>
        </is>
      </c>
      <c r="N169" s="643" t="n"/>
      <c r="O169" s="643" t="n"/>
      <c r="P169" s="643" t="n"/>
      <c r="Q169" s="609" t="n"/>
      <c r="R169" s="40" t="inlineStr"/>
      <c r="S169" s="40" t="inlineStr"/>
      <c r="T169" s="41" t="inlineStr">
        <is>
          <t>кг</t>
        </is>
      </c>
      <c r="U169" s="644" t="n">
        <v>10</v>
      </c>
      <c r="V169" s="645">
        <f>IFERROR(IF(U169="",0,CEILING((U169/$H169),1)*$H169),"")</f>
        <v/>
      </c>
      <c r="W169" s="42">
        <f>IFERROR(IF(V169=0,"",ROUNDUP(V169/H169,0)*0.00937),"")</f>
        <v/>
      </c>
      <c r="X169" s="69" t="inlineStr"/>
      <c r="Y169" s="70" t="inlineStr"/>
      <c r="AC169" s="166" t="inlineStr">
        <is>
          <t>КИ</t>
        </is>
      </c>
    </row>
    <row r="170" ht="27" customHeight="1">
      <c r="A170" s="64" t="inlineStr">
        <is>
          <t>SU002579</t>
        </is>
      </c>
      <c r="B170" s="64" t="inlineStr">
        <is>
          <t>P003012</t>
        </is>
      </c>
      <c r="C170" s="37" t="n">
        <v>4301031152</v>
      </c>
      <c r="D170" s="308" t="n">
        <v>4607091387285</v>
      </c>
      <c r="E170" s="609" t="n"/>
      <c r="F170" s="641" t="n">
        <v>0.35</v>
      </c>
      <c r="G170" s="38" t="n">
        <v>6</v>
      </c>
      <c r="H170" s="641" t="n">
        <v>2.1</v>
      </c>
      <c r="I170" s="641" t="n">
        <v>2.23</v>
      </c>
      <c r="J170" s="38" t="n">
        <v>234</v>
      </c>
      <c r="K170" s="39" t="inlineStr">
        <is>
          <t>СК2</t>
        </is>
      </c>
      <c r="L170" s="38" t="n">
        <v>40</v>
      </c>
      <c r="M170" s="741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N170" s="643" t="n"/>
      <c r="O170" s="643" t="n"/>
      <c r="P170" s="643" t="n"/>
      <c r="Q170" s="609" t="n"/>
      <c r="R170" s="40" t="inlineStr"/>
      <c r="S170" s="40" t="inlineStr"/>
      <c r="T170" s="41" t="inlineStr">
        <is>
          <t>кг</t>
        </is>
      </c>
      <c r="U170" s="644" t="n">
        <v>0</v>
      </c>
      <c r="V170" s="645">
        <f>IFERROR(IF(U170="",0,CEILING((U170/$H170),1)*$H170),"")</f>
        <v/>
      </c>
      <c r="W170" s="42">
        <f>IFERROR(IF(V170=0,"",ROUNDUP(V170/H170,0)*0.00502),"")</f>
        <v/>
      </c>
      <c r="X170" s="69" t="inlineStr"/>
      <c r="Y170" s="70" t="inlineStr"/>
      <c r="AC170" s="167" t="inlineStr">
        <is>
          <t>КИ</t>
        </is>
      </c>
    </row>
    <row r="171" ht="27" customHeight="1">
      <c r="A171" s="64" t="inlineStr">
        <is>
          <t>SU002660</t>
        </is>
      </c>
      <c r="B171" s="64" t="inlineStr">
        <is>
          <t>P003256</t>
        </is>
      </c>
      <c r="C171" s="37" t="n">
        <v>4301031199</v>
      </c>
      <c r="D171" s="308" t="n">
        <v>4680115880986</v>
      </c>
      <c r="E171" s="609" t="n"/>
      <c r="F171" s="641" t="n">
        <v>0.35</v>
      </c>
      <c r="G171" s="38" t="n">
        <v>6</v>
      </c>
      <c r="H171" s="641" t="n">
        <v>2.1</v>
      </c>
      <c r="I171" s="641" t="n">
        <v>2.23</v>
      </c>
      <c r="J171" s="38" t="n">
        <v>234</v>
      </c>
      <c r="K171" s="39" t="inlineStr">
        <is>
          <t>СК2</t>
        </is>
      </c>
      <c r="L171" s="38" t="n">
        <v>40</v>
      </c>
      <c r="M171" s="742">
        <f>HYPERLINK("https://abi.ru/products/Охлажденные/Стародворье/Бордо/Копченые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N171" s="643" t="n"/>
      <c r="O171" s="643" t="n"/>
      <c r="P171" s="643" t="n"/>
      <c r="Q171" s="609" t="n"/>
      <c r="R171" s="40" t="inlineStr"/>
      <c r="S171" s="40" t="inlineStr"/>
      <c r="T171" s="41" t="inlineStr">
        <is>
          <t>кг</t>
        </is>
      </c>
      <c r="U171" s="644" t="n">
        <v>87.5</v>
      </c>
      <c r="V171" s="645">
        <f>IFERROR(IF(U171="",0,CEILING((U171/$H171),1)*$H171),"")</f>
        <v/>
      </c>
      <c r="W171" s="42">
        <f>IFERROR(IF(V171=0,"",ROUNDUP(V171/H171,0)*0.00502),"")</f>
        <v/>
      </c>
      <c r="X171" s="69" t="inlineStr"/>
      <c r="Y171" s="70" t="inlineStr"/>
      <c r="AC171" s="168" t="inlineStr">
        <is>
          <t>КИ</t>
        </is>
      </c>
    </row>
    <row r="172" ht="27" customHeight="1">
      <c r="A172" s="64" t="inlineStr">
        <is>
          <t>SU002826</t>
        </is>
      </c>
      <c r="B172" s="64" t="inlineStr">
        <is>
          <t>P003178</t>
        </is>
      </c>
      <c r="C172" s="37" t="n">
        <v>4301031190</v>
      </c>
      <c r="D172" s="308" t="n">
        <v>4680115880207</v>
      </c>
      <c r="E172" s="609" t="n"/>
      <c r="F172" s="641" t="n">
        <v>0.4</v>
      </c>
      <c r="G172" s="38" t="n">
        <v>6</v>
      </c>
      <c r="H172" s="641" t="n">
        <v>2.4</v>
      </c>
      <c r="I172" s="641" t="n">
        <v>2.63</v>
      </c>
      <c r="J172" s="38" t="n">
        <v>156</v>
      </c>
      <c r="K172" s="39" t="inlineStr">
        <is>
          <t>СК2</t>
        </is>
      </c>
      <c r="L172" s="38" t="n">
        <v>40</v>
      </c>
      <c r="M172" s="743">
        <f>HYPERLINK("https://abi.ru/products/Охлажденные/Стародворье/Бордо/Копченые колбасы/P003178/","В/к колбасы Мясорубская с рубленой грудинкой срез Бордо Фикс.вес 0,4 фиброуз в/у Стародворье")</f>
        <v/>
      </c>
      <c r="N172" s="643" t="n"/>
      <c r="O172" s="643" t="n"/>
      <c r="P172" s="643" t="n"/>
      <c r="Q172" s="609" t="n"/>
      <c r="R172" s="40" t="inlineStr"/>
      <c r="S172" s="40" t="inlineStr"/>
      <c r="T172" s="41" t="inlineStr">
        <is>
          <t>кг</t>
        </is>
      </c>
      <c r="U172" s="644" t="n">
        <v>0</v>
      </c>
      <c r="V172" s="645">
        <f>IFERROR(IF(U172="",0,CEILING((U172/$H172),1)*$H172),"")</f>
        <v/>
      </c>
      <c r="W172" s="42">
        <f>IFERROR(IF(V172=0,"",ROUNDUP(V172/H172,0)*0.00753),"")</f>
        <v/>
      </c>
      <c r="X172" s="69" t="inlineStr"/>
      <c r="Y172" s="70" t="inlineStr"/>
      <c r="AC172" s="169" t="inlineStr">
        <is>
          <t>КИ</t>
        </is>
      </c>
    </row>
    <row r="173" ht="27" customHeight="1">
      <c r="A173" s="64" t="inlineStr">
        <is>
          <t>SU002877</t>
        </is>
      </c>
      <c r="B173" s="64" t="inlineStr">
        <is>
          <t>P003277</t>
        </is>
      </c>
      <c r="C173" s="37" t="n">
        <v>4301031205</v>
      </c>
      <c r="D173" s="308" t="n">
        <v>4680115881785</v>
      </c>
      <c r="E173" s="609" t="n"/>
      <c r="F173" s="641" t="n">
        <v>0.35</v>
      </c>
      <c r="G173" s="38" t="n">
        <v>6</v>
      </c>
      <c r="H173" s="641" t="n">
        <v>2.1</v>
      </c>
      <c r="I173" s="641" t="n">
        <v>2.23</v>
      </c>
      <c r="J173" s="38" t="n">
        <v>234</v>
      </c>
      <c r="K173" s="39" t="inlineStr">
        <is>
          <t>СК2</t>
        </is>
      </c>
      <c r="L173" s="38" t="n">
        <v>40</v>
      </c>
      <c r="M173" s="744" t="inlineStr">
        <is>
          <t>Копченые колбасы Салями Мясорубская с рубленым шпиком срез Бордо ф/в 0,35 фиброуз Стародворье</t>
        </is>
      </c>
      <c r="N173" s="643" t="n"/>
      <c r="O173" s="643" t="n"/>
      <c r="P173" s="643" t="n"/>
      <c r="Q173" s="609" t="n"/>
      <c r="R173" s="40" t="inlineStr"/>
      <c r="S173" s="40" t="inlineStr"/>
      <c r="T173" s="41" t="inlineStr">
        <is>
          <t>кг</t>
        </is>
      </c>
      <c r="U173" s="644" t="n">
        <v>0</v>
      </c>
      <c r="V173" s="645">
        <f>IFERROR(IF(U173="",0,CEILING((U173/$H173),1)*$H173),"")</f>
        <v/>
      </c>
      <c r="W173" s="42">
        <f>IFERROR(IF(V173=0,"",ROUNDUP(V173/H173,0)*0.00502),"")</f>
        <v/>
      </c>
      <c r="X173" s="69" t="inlineStr"/>
      <c r="Y173" s="70" t="inlineStr"/>
      <c r="AC173" s="170" t="inlineStr">
        <is>
          <t>КИ</t>
        </is>
      </c>
    </row>
    <row r="174" ht="27" customHeight="1">
      <c r="A174" s="64" t="inlineStr">
        <is>
          <t>SU002848</t>
        </is>
      </c>
      <c r="B174" s="64" t="inlineStr">
        <is>
          <t>P003260</t>
        </is>
      </c>
      <c r="C174" s="37" t="n">
        <v>4301031202</v>
      </c>
      <c r="D174" s="308" t="n">
        <v>4680115881679</v>
      </c>
      <c r="E174" s="609" t="n"/>
      <c r="F174" s="641" t="n">
        <v>0.35</v>
      </c>
      <c r="G174" s="38" t="n">
        <v>6</v>
      </c>
      <c r="H174" s="641" t="n">
        <v>2.1</v>
      </c>
      <c r="I174" s="641" t="n">
        <v>2.2</v>
      </c>
      <c r="J174" s="38" t="n">
        <v>234</v>
      </c>
      <c r="K174" s="39" t="inlineStr">
        <is>
          <t>СК2</t>
        </is>
      </c>
      <c r="L174" s="38" t="n">
        <v>40</v>
      </c>
      <c r="M174" s="745">
        <f>HYPERLINK("https://abi.ru/products/Охлажденные/Стародворье/Бордо/Копченые колбасы/P003260/","В/к колбасы Сервелат Мясорубский с мелкорубленным окороком срез Бордо Фикс.вес 0,35 фиброуз Стародворье")</f>
        <v/>
      </c>
      <c r="N174" s="643" t="n"/>
      <c r="O174" s="643" t="n"/>
      <c r="P174" s="643" t="n"/>
      <c r="Q174" s="609" t="n"/>
      <c r="R174" s="40" t="inlineStr"/>
      <c r="S174" s="40" t="inlineStr"/>
      <c r="T174" s="41" t="inlineStr">
        <is>
          <t>кг</t>
        </is>
      </c>
      <c r="U174" s="644" t="n">
        <v>105</v>
      </c>
      <c r="V174" s="645">
        <f>IFERROR(IF(U174="",0,CEILING((U174/$H174),1)*$H174),"")</f>
        <v/>
      </c>
      <c r="W174" s="42">
        <f>IFERROR(IF(V174=0,"",ROUNDUP(V174/H174,0)*0.00502),"")</f>
        <v/>
      </c>
      <c r="X174" s="69" t="inlineStr"/>
      <c r="Y174" s="70" t="inlineStr"/>
      <c r="AC174" s="171" t="inlineStr">
        <is>
          <t>КИ</t>
        </is>
      </c>
    </row>
    <row r="175" ht="27" customHeight="1">
      <c r="A175" s="64" t="inlineStr">
        <is>
          <t>SU002659</t>
        </is>
      </c>
      <c r="B175" s="64" t="inlineStr">
        <is>
          <t>P003034</t>
        </is>
      </c>
      <c r="C175" s="37" t="n">
        <v>4301031158</v>
      </c>
      <c r="D175" s="308" t="n">
        <v>4680115880191</v>
      </c>
      <c r="E175" s="609" t="n"/>
      <c r="F175" s="641" t="n">
        <v>0.4</v>
      </c>
      <c r="G175" s="38" t="n">
        <v>6</v>
      </c>
      <c r="H175" s="641" t="n">
        <v>2.4</v>
      </c>
      <c r="I175" s="641" t="n">
        <v>2.5</v>
      </c>
      <c r="J175" s="38" t="n">
        <v>234</v>
      </c>
      <c r="K175" s="39" t="inlineStr">
        <is>
          <t>СК2</t>
        </is>
      </c>
      <c r="L175" s="38" t="n">
        <v>40</v>
      </c>
      <c r="M175" s="746">
        <f>HYPERLINK("https://abi.ru/products/Охлажденные/Стародворье/Бордо/Копченые колбасы/P003034/","В/к колбасы Сервелат Мясорубский с мелкорубленным окороком срез Бордо Фикс.вес 0,4 фиброуз Стародворье")</f>
        <v/>
      </c>
      <c r="N175" s="643" t="n"/>
      <c r="O175" s="643" t="n"/>
      <c r="P175" s="643" t="n"/>
      <c r="Q175" s="609" t="n"/>
      <c r="R175" s="40" t="inlineStr"/>
      <c r="S175" s="40" t="inlineStr"/>
      <c r="T175" s="41" t="inlineStr">
        <is>
          <t>кг</t>
        </is>
      </c>
      <c r="U175" s="644" t="n">
        <v>0</v>
      </c>
      <c r="V175" s="645">
        <f>IFERROR(IF(U175="",0,CEILING((U175/$H175),1)*$H175),"")</f>
        <v/>
      </c>
      <c r="W175" s="42">
        <f>IFERROR(IF(V175=0,"",ROUNDUP(V175/H175,0)*0.00502),"")</f>
        <v/>
      </c>
      <c r="X175" s="69" t="inlineStr"/>
      <c r="Y175" s="70" t="inlineStr"/>
      <c r="AC175" s="172" t="inlineStr">
        <is>
          <t>КИ</t>
        </is>
      </c>
    </row>
    <row r="176" ht="27" customHeight="1">
      <c r="A176" s="64" t="inlineStr">
        <is>
          <t>SU002617</t>
        </is>
      </c>
      <c r="B176" s="64" t="inlineStr">
        <is>
          <t>P002951</t>
        </is>
      </c>
      <c r="C176" s="37" t="n">
        <v>4301031151</v>
      </c>
      <c r="D176" s="308" t="n">
        <v>4607091389845</v>
      </c>
      <c r="E176" s="609" t="n"/>
      <c r="F176" s="641" t="n">
        <v>0.35</v>
      </c>
      <c r="G176" s="38" t="n">
        <v>6</v>
      </c>
      <c r="H176" s="641" t="n">
        <v>2.1</v>
      </c>
      <c r="I176" s="641" t="n">
        <v>2.2</v>
      </c>
      <c r="J176" s="38" t="n">
        <v>234</v>
      </c>
      <c r="K176" s="39" t="inlineStr">
        <is>
          <t>СК2</t>
        </is>
      </c>
      <c r="L176" s="38" t="n">
        <v>40</v>
      </c>
      <c r="M176" s="747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N176" s="643" t="n"/>
      <c r="O176" s="643" t="n"/>
      <c r="P176" s="643" t="n"/>
      <c r="Q176" s="609" t="n"/>
      <c r="R176" s="40" t="inlineStr"/>
      <c r="S176" s="40" t="inlineStr"/>
      <c r="T176" s="41" t="inlineStr">
        <is>
          <t>кг</t>
        </is>
      </c>
      <c r="U176" s="644" t="n">
        <v>175</v>
      </c>
      <c r="V176" s="645">
        <f>IFERROR(IF(U176="",0,CEILING((U176/$H176),1)*$H176),"")</f>
        <v/>
      </c>
      <c r="W176" s="42">
        <f>IFERROR(IF(V176=0,"",ROUNDUP(V176/H176,0)*0.00502),"")</f>
        <v/>
      </c>
      <c r="X176" s="69" t="inlineStr"/>
      <c r="Y176" s="70" t="inlineStr"/>
      <c r="AC176" s="173" t="inlineStr">
        <is>
          <t>КИ</t>
        </is>
      </c>
    </row>
    <row r="177">
      <c r="A177" s="317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646" t="n"/>
      <c r="M177" s="647" t="inlineStr">
        <is>
          <t>Итого</t>
        </is>
      </c>
      <c r="N177" s="617" t="n"/>
      <c r="O177" s="617" t="n"/>
      <c r="P177" s="617" t="n"/>
      <c r="Q177" s="617" t="n"/>
      <c r="R177" s="617" t="n"/>
      <c r="S177" s="618" t="n"/>
      <c r="T177" s="43" t="inlineStr">
        <is>
          <t>кор</t>
        </is>
      </c>
      <c r="U177" s="648">
        <f>IFERROR(U161/H161,"0")+IFERROR(U162/H162,"0")+IFERROR(U163/H163,"0")+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</f>
        <v/>
      </c>
      <c r="V177" s="648">
        <f>IFERROR(V161/H161,"0")+IFERROR(V162/H162,"0")+IFERROR(V163/H163,"0")+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</f>
        <v/>
      </c>
      <c r="W177" s="648">
        <f>IFERROR(IF(W161="",0,W161),"0")+IFERROR(IF(W162="",0,W162),"0")+IFERROR(IF(W163="",0,W163),"0")+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</f>
        <v/>
      </c>
      <c r="X177" s="649" t="n"/>
      <c r="Y177" s="649" t="n"/>
    </row>
    <row r="17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646" t="n"/>
      <c r="M178" s="647" t="inlineStr">
        <is>
          <t>Итого</t>
        </is>
      </c>
      <c r="N178" s="617" t="n"/>
      <c r="O178" s="617" t="n"/>
      <c r="P178" s="617" t="n"/>
      <c r="Q178" s="617" t="n"/>
      <c r="R178" s="617" t="n"/>
      <c r="S178" s="618" t="n"/>
      <c r="T178" s="43" t="inlineStr">
        <is>
          <t>кг</t>
        </is>
      </c>
      <c r="U178" s="648">
        <f>IFERROR(SUM(U161:U176),"0")</f>
        <v/>
      </c>
      <c r="V178" s="648">
        <f>IFERROR(SUM(V161:V176),"0")</f>
        <v/>
      </c>
      <c r="W178" s="43" t="n"/>
      <c r="X178" s="649" t="n"/>
      <c r="Y178" s="649" t="n"/>
    </row>
    <row r="179" ht="14.25" customHeight="1">
      <c r="A179" s="318" t="inlineStr">
        <is>
          <t>Сосиски</t>
        </is>
      </c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318" t="n"/>
      <c r="Y179" s="318" t="n"/>
    </row>
    <row r="180" ht="27" customHeight="1">
      <c r="A180" s="64" t="inlineStr">
        <is>
          <t>SU002857</t>
        </is>
      </c>
      <c r="B180" s="64" t="inlineStr">
        <is>
          <t>P003264</t>
        </is>
      </c>
      <c r="C180" s="37" t="n">
        <v>4301051409</v>
      </c>
      <c r="D180" s="308" t="n">
        <v>4680115881556</v>
      </c>
      <c r="E180" s="609" t="n"/>
      <c r="F180" s="641" t="n">
        <v>1</v>
      </c>
      <c r="G180" s="38" t="n">
        <v>4</v>
      </c>
      <c r="H180" s="641" t="n">
        <v>4</v>
      </c>
      <c r="I180" s="641" t="n">
        <v>4.408</v>
      </c>
      <c r="J180" s="38" t="n">
        <v>104</v>
      </c>
      <c r="K180" s="39" t="inlineStr">
        <is>
          <t>СК3</t>
        </is>
      </c>
      <c r="L180" s="38" t="n">
        <v>45</v>
      </c>
      <c r="M180" s="748" t="inlineStr">
        <is>
          <t>Сосиски Сочинки по-баварски ТМ Стародворье полиамид мгс вес СК3</t>
        </is>
      </c>
      <c r="N180" s="643" t="n"/>
      <c r="O180" s="643" t="n"/>
      <c r="P180" s="643" t="n"/>
      <c r="Q180" s="609" t="n"/>
      <c r="R180" s="40" t="inlineStr"/>
      <c r="S180" s="40" t="inlineStr"/>
      <c r="T180" s="41" t="inlineStr">
        <is>
          <t>кг</t>
        </is>
      </c>
      <c r="U180" s="644" t="n">
        <v>0</v>
      </c>
      <c r="V180" s="645">
        <f>IFERROR(IF(U180="",0,CEILING((U180/$H180),1)*$H180),"")</f>
        <v/>
      </c>
      <c r="W180" s="42">
        <f>IFERROR(IF(V180=0,"",ROUNDUP(V180/H180,0)*0.01196),"")</f>
        <v/>
      </c>
      <c r="X180" s="69" t="inlineStr"/>
      <c r="Y180" s="70" t="inlineStr"/>
      <c r="AC180" s="174" t="inlineStr">
        <is>
          <t>КИ</t>
        </is>
      </c>
    </row>
    <row r="181" ht="16.5" customHeight="1">
      <c r="A181" s="64" t="inlineStr">
        <is>
          <t>SU001340</t>
        </is>
      </c>
      <c r="B181" s="64" t="inlineStr">
        <is>
          <t>P002209</t>
        </is>
      </c>
      <c r="C181" s="37" t="n">
        <v>4301051101</v>
      </c>
      <c r="D181" s="308" t="n">
        <v>4607091387766</v>
      </c>
      <c r="E181" s="609" t="n"/>
      <c r="F181" s="641" t="n">
        <v>1.35</v>
      </c>
      <c r="G181" s="38" t="n">
        <v>6</v>
      </c>
      <c r="H181" s="641" t="n">
        <v>8.1</v>
      </c>
      <c r="I181" s="641" t="n">
        <v>8.657999999999999</v>
      </c>
      <c r="J181" s="38" t="n">
        <v>56</v>
      </c>
      <c r="K181" s="39" t="inlineStr">
        <is>
          <t>СК2</t>
        </is>
      </c>
      <c r="L181" s="38" t="n">
        <v>40</v>
      </c>
      <c r="M181" s="749">
        <f>HYPERLINK("https://abi.ru/products/Охлажденные/Стародворье/Бордо/Сосиски/P002209/","Сосиски Ганноверские Бордо Весовые П/а мгс Баварушка")</f>
        <v/>
      </c>
      <c r="N181" s="643" t="n"/>
      <c r="O181" s="643" t="n"/>
      <c r="P181" s="643" t="n"/>
      <c r="Q181" s="609" t="n"/>
      <c r="R181" s="40" t="inlineStr"/>
      <c r="S181" s="40" t="inlineStr"/>
      <c r="T181" s="41" t="inlineStr">
        <is>
          <t>кг</t>
        </is>
      </c>
      <c r="U181" s="644" t="n">
        <v>0</v>
      </c>
      <c r="V181" s="645">
        <f>IFERROR(IF(U181="",0,CEILING((U181/$H181),1)*$H181),"")</f>
        <v/>
      </c>
      <c r="W181" s="42">
        <f>IFERROR(IF(V181=0,"",ROUNDUP(V181/H181,0)*0.02175),"")</f>
        <v/>
      </c>
      <c r="X181" s="69" t="inlineStr"/>
      <c r="Y181" s="70" t="inlineStr"/>
      <c r="AC181" s="175" t="inlineStr">
        <is>
          <t>КИ</t>
        </is>
      </c>
    </row>
    <row r="182" ht="27" customHeight="1">
      <c r="A182" s="64" t="inlineStr">
        <is>
          <t>SU001727</t>
        </is>
      </c>
      <c r="B182" s="64" t="inlineStr">
        <is>
          <t>P002205</t>
        </is>
      </c>
      <c r="C182" s="37" t="n">
        <v>4301051116</v>
      </c>
      <c r="D182" s="308" t="n">
        <v>4607091387957</v>
      </c>
      <c r="E182" s="609" t="n"/>
      <c r="F182" s="641" t="n">
        <v>1.3</v>
      </c>
      <c r="G182" s="38" t="n">
        <v>6</v>
      </c>
      <c r="H182" s="641" t="n">
        <v>7.8</v>
      </c>
      <c r="I182" s="641" t="n">
        <v>8.364000000000001</v>
      </c>
      <c r="J182" s="38" t="n">
        <v>56</v>
      </c>
      <c r="K182" s="39" t="inlineStr">
        <is>
          <t>СК2</t>
        </is>
      </c>
      <c r="L182" s="38" t="n">
        <v>40</v>
      </c>
      <c r="M182" s="750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N182" s="643" t="n"/>
      <c r="O182" s="643" t="n"/>
      <c r="P182" s="643" t="n"/>
      <c r="Q182" s="609" t="n"/>
      <c r="R182" s="40" t="inlineStr"/>
      <c r="S182" s="40" t="inlineStr"/>
      <c r="T182" s="41" t="inlineStr">
        <is>
          <t>кг</t>
        </is>
      </c>
      <c r="U182" s="644" t="n">
        <v>0</v>
      </c>
      <c r="V182" s="645">
        <f>IFERROR(IF(U182="",0,CEILING((U182/$H182),1)*$H182),"")</f>
        <v/>
      </c>
      <c r="W182" s="42">
        <f>IFERROR(IF(V182=0,"",ROUNDUP(V182/H182,0)*0.02175),"")</f>
        <v/>
      </c>
      <c r="X182" s="69" t="inlineStr"/>
      <c r="Y182" s="70" t="inlineStr"/>
      <c r="AC182" s="176" t="inlineStr">
        <is>
          <t>КИ</t>
        </is>
      </c>
    </row>
    <row r="183" ht="27" customHeight="1">
      <c r="A183" s="64" t="inlineStr">
        <is>
          <t>SU001728</t>
        </is>
      </c>
      <c r="B183" s="64" t="inlineStr">
        <is>
          <t>P002207</t>
        </is>
      </c>
      <c r="C183" s="37" t="n">
        <v>4301051115</v>
      </c>
      <c r="D183" s="308" t="n">
        <v>4607091387964</v>
      </c>
      <c r="E183" s="609" t="n"/>
      <c r="F183" s="641" t="n">
        <v>1.35</v>
      </c>
      <c r="G183" s="38" t="n">
        <v>6</v>
      </c>
      <c r="H183" s="641" t="n">
        <v>8.1</v>
      </c>
      <c r="I183" s="641" t="n">
        <v>8.646000000000001</v>
      </c>
      <c r="J183" s="38" t="n">
        <v>56</v>
      </c>
      <c r="K183" s="39" t="inlineStr">
        <is>
          <t>СК2</t>
        </is>
      </c>
      <c r="L183" s="38" t="n">
        <v>40</v>
      </c>
      <c r="M183" s="751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N183" s="643" t="n"/>
      <c r="O183" s="643" t="n"/>
      <c r="P183" s="643" t="n"/>
      <c r="Q183" s="609" t="n"/>
      <c r="R183" s="40" t="inlineStr"/>
      <c r="S183" s="40" t="inlineStr"/>
      <c r="T183" s="41" t="inlineStr">
        <is>
          <t>кг</t>
        </is>
      </c>
      <c r="U183" s="644" t="n">
        <v>0</v>
      </c>
      <c r="V183" s="645">
        <f>IFERROR(IF(U183="",0,CEILING((U183/$H183),1)*$H183),"")</f>
        <v/>
      </c>
      <c r="W183" s="42">
        <f>IFERROR(IF(V183=0,"",ROUNDUP(V183/H183,0)*0.02175),"")</f>
        <v/>
      </c>
      <c r="X183" s="69" t="inlineStr"/>
      <c r="Y183" s="70" t="inlineStr"/>
      <c r="AC183" s="177" t="inlineStr">
        <is>
          <t>КИ</t>
        </is>
      </c>
    </row>
    <row r="184" ht="16.5" customHeight="1">
      <c r="A184" s="64" t="inlineStr">
        <is>
          <t>SU002725</t>
        </is>
      </c>
      <c r="B184" s="64" t="inlineStr">
        <is>
          <t>P003404</t>
        </is>
      </c>
      <c r="C184" s="37" t="n">
        <v>4301051470</v>
      </c>
      <c r="D184" s="308" t="n">
        <v>4680115880573</v>
      </c>
      <c r="E184" s="609" t="n"/>
      <c r="F184" s="641" t="n">
        <v>1.3</v>
      </c>
      <c r="G184" s="38" t="n">
        <v>6</v>
      </c>
      <c r="H184" s="641" t="n">
        <v>7.8</v>
      </c>
      <c r="I184" s="641" t="n">
        <v>8.364000000000001</v>
      </c>
      <c r="J184" s="38" t="n">
        <v>56</v>
      </c>
      <c r="K184" s="39" t="inlineStr">
        <is>
          <t>СК3</t>
        </is>
      </c>
      <c r="L184" s="38" t="n">
        <v>45</v>
      </c>
      <c r="M184" s="752" t="inlineStr">
        <is>
          <t>Сосиски "Сочинки" Весовой п/а ТМ "Стародворье"</t>
        </is>
      </c>
      <c r="N184" s="643" t="n"/>
      <c r="O184" s="643" t="n"/>
      <c r="P184" s="643" t="n"/>
      <c r="Q184" s="609" t="n"/>
      <c r="R184" s="40" t="inlineStr"/>
      <c r="S184" s="40" t="inlineStr"/>
      <c r="T184" s="41" t="inlineStr">
        <is>
          <t>кг</t>
        </is>
      </c>
      <c r="U184" s="644" t="n">
        <v>100</v>
      </c>
      <c r="V184" s="645">
        <f>IFERROR(IF(U184="",0,CEILING((U184/$H184),1)*$H184),"")</f>
        <v/>
      </c>
      <c r="W184" s="42">
        <f>IFERROR(IF(V184=0,"",ROUNDUP(V184/H184,0)*0.02175),"")</f>
        <v/>
      </c>
      <c r="X184" s="69" t="inlineStr"/>
      <c r="Y184" s="70" t="inlineStr"/>
      <c r="AC184" s="178" t="inlineStr">
        <is>
          <t>КИ</t>
        </is>
      </c>
    </row>
    <row r="185" ht="27" customHeight="1">
      <c r="A185" s="64" t="inlineStr">
        <is>
          <t>SU002843</t>
        </is>
      </c>
      <c r="B185" s="64" t="inlineStr">
        <is>
          <t>P003263</t>
        </is>
      </c>
      <c r="C185" s="37" t="n">
        <v>4301051408</v>
      </c>
      <c r="D185" s="308" t="n">
        <v>4680115881594</v>
      </c>
      <c r="E185" s="609" t="n"/>
      <c r="F185" s="641" t="n">
        <v>1.35</v>
      </c>
      <c r="G185" s="38" t="n">
        <v>6</v>
      </c>
      <c r="H185" s="641" t="n">
        <v>8.1</v>
      </c>
      <c r="I185" s="641" t="n">
        <v>8.664</v>
      </c>
      <c r="J185" s="38" t="n">
        <v>56</v>
      </c>
      <c r="K185" s="39" t="inlineStr">
        <is>
          <t>СК3</t>
        </is>
      </c>
      <c r="L185" s="38" t="n">
        <v>40</v>
      </c>
      <c r="M185" s="753" t="inlineStr">
        <is>
          <t>Сосиски "Сочинки Молочные" Весовой п/а мгс ТМ "Стародворье"</t>
        </is>
      </c>
      <c r="N185" s="643" t="n"/>
      <c r="O185" s="643" t="n"/>
      <c r="P185" s="643" t="n"/>
      <c r="Q185" s="609" t="n"/>
      <c r="R185" s="40" t="inlineStr"/>
      <c r="S185" s="40" t="inlineStr"/>
      <c r="T185" s="41" t="inlineStr">
        <is>
          <t>кг</t>
        </is>
      </c>
      <c r="U185" s="644" t="n">
        <v>0</v>
      </c>
      <c r="V185" s="645">
        <f>IFERROR(IF(U185="",0,CEILING((U185/$H185),1)*$H185),"")</f>
        <v/>
      </c>
      <c r="W185" s="42">
        <f>IFERROR(IF(V185=0,"",ROUNDUP(V185/H185,0)*0.02175),"")</f>
        <v/>
      </c>
      <c r="X185" s="69" t="inlineStr"/>
      <c r="Y185" s="70" t="inlineStr"/>
      <c r="AC185" s="179" t="inlineStr">
        <is>
          <t>КИ</t>
        </is>
      </c>
    </row>
    <row r="186" ht="27" customHeight="1">
      <c r="A186" s="64" t="inlineStr">
        <is>
          <t>SU002858</t>
        </is>
      </c>
      <c r="B186" s="64" t="inlineStr">
        <is>
          <t>P003322</t>
        </is>
      </c>
      <c r="C186" s="37" t="n">
        <v>4301051433</v>
      </c>
      <c r="D186" s="308" t="n">
        <v>4680115881587</v>
      </c>
      <c r="E186" s="609" t="n"/>
      <c r="F186" s="641" t="n">
        <v>1</v>
      </c>
      <c r="G186" s="38" t="n">
        <v>4</v>
      </c>
      <c r="H186" s="641" t="n">
        <v>4</v>
      </c>
      <c r="I186" s="641" t="n">
        <v>4.408</v>
      </c>
      <c r="J186" s="38" t="n">
        <v>104</v>
      </c>
      <c r="K186" s="39" t="inlineStr">
        <is>
          <t>СК2</t>
        </is>
      </c>
      <c r="L186" s="38" t="n">
        <v>35</v>
      </c>
      <c r="M186" s="754" t="inlineStr">
        <is>
          <t>Сосиски Сочинки по-баварски с сыром Бордо Весовой п/а Стародворье</t>
        </is>
      </c>
      <c r="N186" s="643" t="n"/>
      <c r="O186" s="643" t="n"/>
      <c r="P186" s="643" t="n"/>
      <c r="Q186" s="609" t="n"/>
      <c r="R186" s="40" t="inlineStr"/>
      <c r="S186" s="40" t="inlineStr"/>
      <c r="T186" s="41" t="inlineStr">
        <is>
          <t>кг</t>
        </is>
      </c>
      <c r="U186" s="644" t="n">
        <v>0</v>
      </c>
      <c r="V186" s="645">
        <f>IFERROR(IF(U186="",0,CEILING((U186/$H186),1)*$H186),"")</f>
        <v/>
      </c>
      <c r="W186" s="42">
        <f>IFERROR(IF(V186=0,"",ROUNDUP(V186/H186,0)*0.01196),"")</f>
        <v/>
      </c>
      <c r="X186" s="69" t="inlineStr"/>
      <c r="Y186" s="70" t="inlineStr"/>
      <c r="AC186" s="180" t="inlineStr">
        <is>
          <t>КИ</t>
        </is>
      </c>
    </row>
    <row r="187" ht="16.5" customHeight="1">
      <c r="A187" s="64" t="inlineStr">
        <is>
          <t>SU002795</t>
        </is>
      </c>
      <c r="B187" s="64" t="inlineStr">
        <is>
          <t>P003203</t>
        </is>
      </c>
      <c r="C187" s="37" t="n">
        <v>4301051380</v>
      </c>
      <c r="D187" s="308" t="n">
        <v>4680115880962</v>
      </c>
      <c r="E187" s="609" t="n"/>
      <c r="F187" s="641" t="n">
        <v>1.3</v>
      </c>
      <c r="G187" s="38" t="n">
        <v>6</v>
      </c>
      <c r="H187" s="641" t="n">
        <v>7.8</v>
      </c>
      <c r="I187" s="641" t="n">
        <v>8.364000000000001</v>
      </c>
      <c r="J187" s="38" t="n">
        <v>56</v>
      </c>
      <c r="K187" s="39" t="inlineStr">
        <is>
          <t>СК2</t>
        </is>
      </c>
      <c r="L187" s="38" t="n">
        <v>40</v>
      </c>
      <c r="M187" s="755" t="inlineStr">
        <is>
          <t>Сосиски Сочинки с сыром Бордо Весовой п/а Стародворье</t>
        </is>
      </c>
      <c r="N187" s="643" t="n"/>
      <c r="O187" s="643" t="n"/>
      <c r="P187" s="643" t="n"/>
      <c r="Q187" s="609" t="n"/>
      <c r="R187" s="40" t="inlineStr"/>
      <c r="S187" s="40" t="inlineStr"/>
      <c r="T187" s="41" t="inlineStr">
        <is>
          <t>кг</t>
        </is>
      </c>
      <c r="U187" s="644" t="n">
        <v>0</v>
      </c>
      <c r="V187" s="645">
        <f>IFERROR(IF(U187="",0,CEILING((U187/$H187),1)*$H187),"")</f>
        <v/>
      </c>
      <c r="W187" s="42">
        <f>IFERROR(IF(V187=0,"",ROUNDUP(V187/H187,0)*0.02175),"")</f>
        <v/>
      </c>
      <c r="X187" s="69" t="inlineStr"/>
      <c r="Y187" s="70" t="inlineStr"/>
      <c r="AC187" s="181" t="inlineStr">
        <is>
          <t>КИ</t>
        </is>
      </c>
    </row>
    <row r="188" ht="27" customHeight="1">
      <c r="A188" s="64" t="inlineStr">
        <is>
          <t>SU002845</t>
        </is>
      </c>
      <c r="B188" s="64" t="inlineStr">
        <is>
          <t>P003266</t>
        </is>
      </c>
      <c r="C188" s="37" t="n">
        <v>4301051411</v>
      </c>
      <c r="D188" s="308" t="n">
        <v>4680115881617</v>
      </c>
      <c r="E188" s="609" t="n"/>
      <c r="F188" s="641" t="n">
        <v>1.35</v>
      </c>
      <c r="G188" s="38" t="n">
        <v>6</v>
      </c>
      <c r="H188" s="641" t="n">
        <v>8.1</v>
      </c>
      <c r="I188" s="641" t="n">
        <v>8.646000000000001</v>
      </c>
      <c r="J188" s="38" t="n">
        <v>56</v>
      </c>
      <c r="K188" s="39" t="inlineStr">
        <is>
          <t>СК3</t>
        </is>
      </c>
      <c r="L188" s="38" t="n">
        <v>40</v>
      </c>
      <c r="M188" s="756" t="inlineStr">
        <is>
          <t>Сосиски "Сочинки Сливочные" Весовые ТМ "Стародворье" 1,35 кг</t>
        </is>
      </c>
      <c r="N188" s="643" t="n"/>
      <c r="O188" s="643" t="n"/>
      <c r="P188" s="643" t="n"/>
      <c r="Q188" s="609" t="n"/>
      <c r="R188" s="40" t="inlineStr"/>
      <c r="S188" s="40" t="inlineStr"/>
      <c r="T188" s="41" t="inlineStr">
        <is>
          <t>кг</t>
        </is>
      </c>
      <c r="U188" s="644" t="n">
        <v>0</v>
      </c>
      <c r="V188" s="645">
        <f>IFERROR(IF(U188="",0,CEILING((U188/$H188),1)*$H188),"")</f>
        <v/>
      </c>
      <c r="W188" s="42">
        <f>IFERROR(IF(V188=0,"",ROUNDUP(V188/H188,0)*0.02175),"")</f>
        <v/>
      </c>
      <c r="X188" s="69" t="inlineStr"/>
      <c r="Y188" s="70" t="inlineStr"/>
      <c r="AC188" s="182" t="inlineStr">
        <is>
          <t>КИ</t>
        </is>
      </c>
    </row>
    <row r="189" ht="27" customHeight="1">
      <c r="A189" s="64" t="inlineStr">
        <is>
          <t>SU002801</t>
        </is>
      </c>
      <c r="B189" s="64" t="inlineStr">
        <is>
          <t>P003200</t>
        </is>
      </c>
      <c r="C189" s="37" t="n">
        <v>4301051377</v>
      </c>
      <c r="D189" s="308" t="n">
        <v>4680115881228</v>
      </c>
      <c r="E189" s="609" t="n"/>
      <c r="F189" s="641" t="n">
        <v>0.4</v>
      </c>
      <c r="G189" s="38" t="n">
        <v>6</v>
      </c>
      <c r="H189" s="641" t="n">
        <v>2.4</v>
      </c>
      <c r="I189" s="641" t="n">
        <v>2.6</v>
      </c>
      <c r="J189" s="38" t="n">
        <v>156</v>
      </c>
      <c r="K189" s="39" t="inlineStr">
        <is>
          <t>СК2</t>
        </is>
      </c>
      <c r="L189" s="38" t="n">
        <v>35</v>
      </c>
      <c r="M189" s="757">
        <f>HYPERLINK("https://abi.ru/products/Охлажденные/Стародворье/Бордо/Сосиски/P003200/","Сосиски Сочинки по-баварски с сыром Бавария Фикс.вес 0,4 П/а мгс Стародворье")</f>
        <v/>
      </c>
      <c r="N189" s="643" t="n"/>
      <c r="O189" s="643" t="n"/>
      <c r="P189" s="643" t="n"/>
      <c r="Q189" s="609" t="n"/>
      <c r="R189" s="40" t="inlineStr"/>
      <c r="S189" s="40" t="inlineStr"/>
      <c r="T189" s="41" t="inlineStr">
        <is>
          <t>кг</t>
        </is>
      </c>
      <c r="U189" s="644" t="n">
        <v>440</v>
      </c>
      <c r="V189" s="645">
        <f>IFERROR(IF(U189="",0,CEILING((U189/$H189),1)*$H189),"")</f>
        <v/>
      </c>
      <c r="W189" s="42">
        <f>IFERROR(IF(V189=0,"",ROUNDUP(V189/H189,0)*0.00753),"")</f>
        <v/>
      </c>
      <c r="X189" s="69" t="inlineStr"/>
      <c r="Y189" s="70" t="inlineStr"/>
      <c r="AC189" s="183" t="inlineStr">
        <is>
          <t>КИ</t>
        </is>
      </c>
    </row>
    <row r="190" ht="27" customHeight="1">
      <c r="A190" s="64" t="inlineStr">
        <is>
          <t>SU002802</t>
        </is>
      </c>
      <c r="B190" s="64" t="inlineStr">
        <is>
          <t>P003321</t>
        </is>
      </c>
      <c r="C190" s="37" t="n">
        <v>4301051432</v>
      </c>
      <c r="D190" s="308" t="n">
        <v>4680115881037</v>
      </c>
      <c r="E190" s="609" t="n"/>
      <c r="F190" s="641" t="n">
        <v>0.84</v>
      </c>
      <c r="G190" s="38" t="n">
        <v>4</v>
      </c>
      <c r="H190" s="641" t="n">
        <v>3.36</v>
      </c>
      <c r="I190" s="641" t="n">
        <v>3.618</v>
      </c>
      <c r="J190" s="38" t="n">
        <v>120</v>
      </c>
      <c r="K190" s="39" t="inlineStr">
        <is>
          <t>СК2</t>
        </is>
      </c>
      <c r="L190" s="38" t="n">
        <v>35</v>
      </c>
      <c r="M190" s="758" t="inlineStr">
        <is>
          <t>Сосиски Сочинки по-баварски с сыром ТМ Стародворье полиамид мгс ф/в 0,84 кг СК3</t>
        </is>
      </c>
      <c r="N190" s="643" t="n"/>
      <c r="O190" s="643" t="n"/>
      <c r="P190" s="643" t="n"/>
      <c r="Q190" s="609" t="n"/>
      <c r="R190" s="40" t="inlineStr"/>
      <c r="S190" s="40" t="inlineStr"/>
      <c r="T190" s="41" t="inlineStr">
        <is>
          <t>кг</t>
        </is>
      </c>
      <c r="U190" s="644" t="n">
        <v>0</v>
      </c>
      <c r="V190" s="645">
        <f>IFERROR(IF(U190="",0,CEILING((U190/$H190),1)*$H190),"")</f>
        <v/>
      </c>
      <c r="W190" s="42">
        <f>IFERROR(IF(V190=0,"",ROUNDUP(V190/H190,0)*0.00937),"")</f>
        <v/>
      </c>
      <c r="X190" s="69" t="inlineStr"/>
      <c r="Y190" s="70" t="inlineStr"/>
      <c r="AC190" s="184" t="inlineStr">
        <is>
          <t>КИ</t>
        </is>
      </c>
    </row>
    <row r="191" ht="27" customHeight="1">
      <c r="A191" s="64" t="inlineStr">
        <is>
          <t>SU002799</t>
        </is>
      </c>
      <c r="B191" s="64" t="inlineStr">
        <is>
          <t>P003217</t>
        </is>
      </c>
      <c r="C191" s="37" t="n">
        <v>4301051384</v>
      </c>
      <c r="D191" s="308" t="n">
        <v>4680115881211</v>
      </c>
      <c r="E191" s="609" t="n"/>
      <c r="F191" s="641" t="n">
        <v>0.4</v>
      </c>
      <c r="G191" s="38" t="n">
        <v>6</v>
      </c>
      <c r="H191" s="641" t="n">
        <v>2.4</v>
      </c>
      <c r="I191" s="641" t="n">
        <v>2.6</v>
      </c>
      <c r="J191" s="38" t="n">
        <v>156</v>
      </c>
      <c r="K191" s="39" t="inlineStr">
        <is>
          <t>СК2</t>
        </is>
      </c>
      <c r="L191" s="38" t="n">
        <v>45</v>
      </c>
      <c r="M191" s="759" t="inlineStr">
        <is>
          <t>Сосиски Сочинки по-баварски Бавария Фикс.вес 0,4 П/а мгс Стародворье</t>
        </is>
      </c>
      <c r="N191" s="643" t="n"/>
      <c r="O191" s="643" t="n"/>
      <c r="P191" s="643" t="n"/>
      <c r="Q191" s="609" t="n"/>
      <c r="R191" s="40" t="inlineStr"/>
      <c r="S191" s="40" t="inlineStr"/>
      <c r="T191" s="41" t="inlineStr">
        <is>
          <t>кг</t>
        </is>
      </c>
      <c r="U191" s="644" t="n">
        <v>560</v>
      </c>
      <c r="V191" s="645">
        <f>IFERROR(IF(U191="",0,CEILING((U191/$H191),1)*$H191),"")</f>
        <v/>
      </c>
      <c r="W191" s="42">
        <f>IFERROR(IF(V191=0,"",ROUNDUP(V191/H191,0)*0.00753),"")</f>
        <v/>
      </c>
      <c r="X191" s="69" t="inlineStr"/>
      <c r="Y191" s="70" t="inlineStr"/>
      <c r="AC191" s="185" t="inlineStr">
        <is>
          <t>КИ</t>
        </is>
      </c>
    </row>
    <row r="192" ht="27" customHeight="1">
      <c r="A192" s="64" t="inlineStr">
        <is>
          <t>SU002800</t>
        </is>
      </c>
      <c r="B192" s="64" t="inlineStr">
        <is>
          <t>P003201</t>
        </is>
      </c>
      <c r="C192" s="37" t="n">
        <v>4301051378</v>
      </c>
      <c r="D192" s="308" t="n">
        <v>4680115881020</v>
      </c>
      <c r="E192" s="609" t="n"/>
      <c r="F192" s="641" t="n">
        <v>0.84</v>
      </c>
      <c r="G192" s="38" t="n">
        <v>4</v>
      </c>
      <c r="H192" s="641" t="n">
        <v>3.36</v>
      </c>
      <c r="I192" s="641" t="n">
        <v>3.57</v>
      </c>
      <c r="J192" s="38" t="n">
        <v>120</v>
      </c>
      <c r="K192" s="39" t="inlineStr">
        <is>
          <t>СК2</t>
        </is>
      </c>
      <c r="L192" s="38" t="n">
        <v>45</v>
      </c>
      <c r="M192" s="760" t="inlineStr">
        <is>
          <t>Сосиски Сочинки по-баварски Бавария Фикс.вес 0,84 П/а мгс Стародворье</t>
        </is>
      </c>
      <c r="N192" s="643" t="n"/>
      <c r="O192" s="643" t="n"/>
      <c r="P192" s="643" t="n"/>
      <c r="Q192" s="609" t="n"/>
      <c r="R192" s="40" t="inlineStr"/>
      <c r="S192" s="40" t="inlineStr"/>
      <c r="T192" s="41" t="inlineStr">
        <is>
          <t>кг</t>
        </is>
      </c>
      <c r="U192" s="644" t="n">
        <v>0</v>
      </c>
      <c r="V192" s="645">
        <f>IFERROR(IF(U192="",0,CEILING((U192/$H192),1)*$H192),"")</f>
        <v/>
      </c>
      <c r="W192" s="42">
        <f>IFERROR(IF(V192=0,"",ROUNDUP(V192/H192,0)*0.00937),"")</f>
        <v/>
      </c>
      <c r="X192" s="69" t="inlineStr"/>
      <c r="Y192" s="70" t="inlineStr"/>
      <c r="AC192" s="186" t="inlineStr">
        <is>
          <t>КИ</t>
        </is>
      </c>
    </row>
    <row r="193" ht="16.5" customHeight="1">
      <c r="A193" s="64" t="inlineStr">
        <is>
          <t>SU001341</t>
        </is>
      </c>
      <c r="B193" s="64" t="inlineStr">
        <is>
          <t>P002204</t>
        </is>
      </c>
      <c r="C193" s="37" t="n">
        <v>4301051134</v>
      </c>
      <c r="D193" s="308" t="n">
        <v>4607091381672</v>
      </c>
      <c r="E193" s="609" t="n"/>
      <c r="F193" s="641" t="n">
        <v>0.6</v>
      </c>
      <c r="G193" s="38" t="n">
        <v>6</v>
      </c>
      <c r="H193" s="641" t="n">
        <v>3.6</v>
      </c>
      <c r="I193" s="641" t="n">
        <v>3.876</v>
      </c>
      <c r="J193" s="38" t="n">
        <v>120</v>
      </c>
      <c r="K193" s="39" t="inlineStr">
        <is>
          <t>СК2</t>
        </is>
      </c>
      <c r="L193" s="38" t="n">
        <v>40</v>
      </c>
      <c r="M193" s="761">
        <f>HYPERLINK("https://abi.ru/products/Охлажденные/Стародворье/Бордо/Сосиски/P002204/","Сосиски Ганноверские Бордо Фикс.вес 0,6 П/а мгс Баварушка")</f>
        <v/>
      </c>
      <c r="N193" s="643" t="n"/>
      <c r="O193" s="643" t="n"/>
      <c r="P193" s="643" t="n"/>
      <c r="Q193" s="609" t="n"/>
      <c r="R193" s="40" t="inlineStr"/>
      <c r="S193" s="40" t="inlineStr"/>
      <c r="T193" s="41" t="inlineStr">
        <is>
          <t>кг</t>
        </is>
      </c>
      <c r="U193" s="644" t="n">
        <v>0</v>
      </c>
      <c r="V193" s="645">
        <f>IFERROR(IF(U193="",0,CEILING((U193/$H193),1)*$H193),"")</f>
        <v/>
      </c>
      <c r="W193" s="42">
        <f>IFERROR(IF(V193=0,"",ROUNDUP(V193/H193,0)*0.00937),"")</f>
        <v/>
      </c>
      <c r="X193" s="69" t="inlineStr"/>
      <c r="Y193" s="70" t="inlineStr"/>
      <c r="AC193" s="187" t="inlineStr">
        <is>
          <t>КИ</t>
        </is>
      </c>
    </row>
    <row r="194" ht="27" customHeight="1">
      <c r="A194" s="64" t="inlineStr">
        <is>
          <t>SU001763</t>
        </is>
      </c>
      <c r="B194" s="64" t="inlineStr">
        <is>
          <t>P002206</t>
        </is>
      </c>
      <c r="C194" s="37" t="n">
        <v>4301051130</v>
      </c>
      <c r="D194" s="308" t="n">
        <v>4607091387537</v>
      </c>
      <c r="E194" s="609" t="n"/>
      <c r="F194" s="641" t="n">
        <v>0.45</v>
      </c>
      <c r="G194" s="38" t="n">
        <v>6</v>
      </c>
      <c r="H194" s="641" t="n">
        <v>2.7</v>
      </c>
      <c r="I194" s="641" t="n">
        <v>2.99</v>
      </c>
      <c r="J194" s="38" t="n">
        <v>156</v>
      </c>
      <c r="K194" s="39" t="inlineStr">
        <is>
          <t>СК2</t>
        </is>
      </c>
      <c r="L194" s="38" t="n">
        <v>40</v>
      </c>
      <c r="M194" s="762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N194" s="643" t="n"/>
      <c r="O194" s="643" t="n"/>
      <c r="P194" s="643" t="n"/>
      <c r="Q194" s="609" t="n"/>
      <c r="R194" s="40" t="inlineStr"/>
      <c r="S194" s="40" t="inlineStr"/>
      <c r="T194" s="41" t="inlineStr">
        <is>
          <t>кг</t>
        </is>
      </c>
      <c r="U194" s="644" t="n">
        <v>0</v>
      </c>
      <c r="V194" s="645">
        <f>IFERROR(IF(U194="",0,CEILING((U194/$H194),1)*$H194),"")</f>
        <v/>
      </c>
      <c r="W194" s="42">
        <f>IFERROR(IF(V194=0,"",ROUNDUP(V194/H194,0)*0.00753),"")</f>
        <v/>
      </c>
      <c r="X194" s="69" t="inlineStr"/>
      <c r="Y194" s="70" t="inlineStr"/>
      <c r="AC194" s="188" t="inlineStr">
        <is>
          <t>КИ</t>
        </is>
      </c>
    </row>
    <row r="195" ht="27" customHeight="1">
      <c r="A195" s="64" t="inlineStr">
        <is>
          <t>SU001762</t>
        </is>
      </c>
      <c r="B195" s="64" t="inlineStr">
        <is>
          <t>P002208</t>
        </is>
      </c>
      <c r="C195" s="37" t="n">
        <v>4301051132</v>
      </c>
      <c r="D195" s="308" t="n">
        <v>4607091387513</v>
      </c>
      <c r="E195" s="609" t="n"/>
      <c r="F195" s="641" t="n">
        <v>0.45</v>
      </c>
      <c r="G195" s="38" t="n">
        <v>6</v>
      </c>
      <c r="H195" s="641" t="n">
        <v>2.7</v>
      </c>
      <c r="I195" s="641" t="n">
        <v>2.978</v>
      </c>
      <c r="J195" s="38" t="n">
        <v>156</v>
      </c>
      <c r="K195" s="39" t="inlineStr">
        <is>
          <t>СК2</t>
        </is>
      </c>
      <c r="L195" s="38" t="n">
        <v>40</v>
      </c>
      <c r="M195" s="763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N195" s="643" t="n"/>
      <c r="O195" s="643" t="n"/>
      <c r="P195" s="643" t="n"/>
      <c r="Q195" s="609" t="n"/>
      <c r="R195" s="40" t="inlineStr"/>
      <c r="S195" s="40" t="inlineStr"/>
      <c r="T195" s="41" t="inlineStr">
        <is>
          <t>кг</t>
        </is>
      </c>
      <c r="U195" s="644" t="n">
        <v>0</v>
      </c>
      <c r="V195" s="645">
        <f>IFERROR(IF(U195="",0,CEILING((U195/$H195),1)*$H195),"")</f>
        <v/>
      </c>
      <c r="W195" s="42">
        <f>IFERROR(IF(V195=0,"",ROUNDUP(V195/H195,0)*0.00753),"")</f>
        <v/>
      </c>
      <c r="X195" s="69" t="inlineStr"/>
      <c r="Y195" s="70" t="inlineStr"/>
      <c r="AC195" s="189" t="inlineStr">
        <is>
          <t>КИ</t>
        </is>
      </c>
    </row>
    <row r="196" ht="27" customHeight="1">
      <c r="A196" s="64" t="inlineStr">
        <is>
          <t>SU002842</t>
        </is>
      </c>
      <c r="B196" s="64" t="inlineStr">
        <is>
          <t>P003262</t>
        </is>
      </c>
      <c r="C196" s="37" t="n">
        <v>4301051407</v>
      </c>
      <c r="D196" s="308" t="n">
        <v>4680115882195</v>
      </c>
      <c r="E196" s="609" t="n"/>
      <c r="F196" s="641" t="n">
        <v>0.4</v>
      </c>
      <c r="G196" s="38" t="n">
        <v>6</v>
      </c>
      <c r="H196" s="641" t="n">
        <v>2.4</v>
      </c>
      <c r="I196" s="641" t="n">
        <v>2.69</v>
      </c>
      <c r="J196" s="38" t="n">
        <v>156</v>
      </c>
      <c r="K196" s="39" t="inlineStr">
        <is>
          <t>СК3</t>
        </is>
      </c>
      <c r="L196" s="38" t="n">
        <v>40</v>
      </c>
      <c r="M196" s="764" t="inlineStr">
        <is>
          <t>Сосиски "Сочинки Молочные" Фикс.вес 0,4 п/а мгс ТМ "Стародворье"</t>
        </is>
      </c>
      <c r="N196" s="643" t="n"/>
      <c r="O196" s="643" t="n"/>
      <c r="P196" s="643" t="n"/>
      <c r="Q196" s="609" t="n"/>
      <c r="R196" s="40" t="inlineStr"/>
      <c r="S196" s="40" t="inlineStr"/>
      <c r="T196" s="41" t="inlineStr">
        <is>
          <t>кг</t>
        </is>
      </c>
      <c r="U196" s="644" t="n">
        <v>40</v>
      </c>
      <c r="V196" s="645">
        <f>IFERROR(IF(U196="",0,CEILING((U196/$H196),1)*$H196),"")</f>
        <v/>
      </c>
      <c r="W196" s="42">
        <f>IFERROR(IF(V196=0,"",ROUNDUP(V196/H196,0)*0.00753),"")</f>
        <v/>
      </c>
      <c r="X196" s="69" t="inlineStr"/>
      <c r="Y196" s="70" t="inlineStr"/>
      <c r="AC196" s="190" t="inlineStr">
        <is>
          <t>КИ</t>
        </is>
      </c>
    </row>
    <row r="197" ht="27" customHeight="1">
      <c r="A197" s="64" t="inlineStr">
        <is>
          <t>SU002618</t>
        </is>
      </c>
      <c r="B197" s="64" t="inlineStr">
        <is>
          <t>P003398</t>
        </is>
      </c>
      <c r="C197" s="37" t="n">
        <v>4301051468</v>
      </c>
      <c r="D197" s="308" t="n">
        <v>4680115880092</v>
      </c>
      <c r="E197" s="609" t="n"/>
      <c r="F197" s="641" t="n">
        <v>0.4</v>
      </c>
      <c r="G197" s="38" t="n">
        <v>6</v>
      </c>
      <c r="H197" s="641" t="n">
        <v>2.4</v>
      </c>
      <c r="I197" s="641" t="n">
        <v>2.672</v>
      </c>
      <c r="J197" s="38" t="n">
        <v>156</v>
      </c>
      <c r="K197" s="39" t="inlineStr">
        <is>
          <t>СК3</t>
        </is>
      </c>
      <c r="L197" s="38" t="n">
        <v>45</v>
      </c>
      <c r="M197" s="765" t="inlineStr">
        <is>
          <t>Сосиски "Сочинки с сочной грудинкой" Фикс.вес 0,4 П/а мгс ТМ "Стародворье"</t>
        </is>
      </c>
      <c r="N197" s="643" t="n"/>
      <c r="O197" s="643" t="n"/>
      <c r="P197" s="643" t="n"/>
      <c r="Q197" s="609" t="n"/>
      <c r="R197" s="40" t="inlineStr"/>
      <c r="S197" s="40" t="inlineStr"/>
      <c r="T197" s="41" t="inlineStr">
        <is>
          <t>кг</t>
        </is>
      </c>
      <c r="U197" s="644" t="n">
        <v>480</v>
      </c>
      <c r="V197" s="645">
        <f>IFERROR(IF(U197="",0,CEILING((U197/$H197),1)*$H197),"")</f>
        <v/>
      </c>
      <c r="W197" s="42">
        <f>IFERROR(IF(V197=0,"",ROUNDUP(V197/H197,0)*0.00753),"")</f>
        <v/>
      </c>
      <c r="X197" s="69" t="inlineStr"/>
      <c r="Y197" s="70" t="inlineStr"/>
      <c r="AC197" s="191" t="inlineStr">
        <is>
          <t>КИ</t>
        </is>
      </c>
    </row>
    <row r="198" ht="27" customHeight="1">
      <c r="A198" s="64" t="inlineStr">
        <is>
          <t>SU002621</t>
        </is>
      </c>
      <c r="B198" s="64" t="inlineStr">
        <is>
          <t>P003399</t>
        </is>
      </c>
      <c r="C198" s="37" t="n">
        <v>4301051469</v>
      </c>
      <c r="D198" s="308" t="n">
        <v>4680115880221</v>
      </c>
      <c r="E198" s="609" t="n"/>
      <c r="F198" s="641" t="n">
        <v>0.4</v>
      </c>
      <c r="G198" s="38" t="n">
        <v>6</v>
      </c>
      <c r="H198" s="641" t="n">
        <v>2.4</v>
      </c>
      <c r="I198" s="641" t="n">
        <v>2.672</v>
      </c>
      <c r="J198" s="38" t="n">
        <v>156</v>
      </c>
      <c r="K198" s="39" t="inlineStr">
        <is>
          <t>СК3</t>
        </is>
      </c>
      <c r="L198" s="38" t="n">
        <v>45</v>
      </c>
      <c r="M198" s="766" t="inlineStr">
        <is>
          <t>Сосиски Сочинки с сочным окороком Бордо Фикс.вес 0,4 П/а мгс Стародворье</t>
        </is>
      </c>
      <c r="N198" s="643" t="n"/>
      <c r="O198" s="643" t="n"/>
      <c r="P198" s="643" t="n"/>
      <c r="Q198" s="609" t="n"/>
      <c r="R198" s="40" t="inlineStr"/>
      <c r="S198" s="40" t="inlineStr"/>
      <c r="T198" s="41" t="inlineStr">
        <is>
          <t>кг</t>
        </is>
      </c>
      <c r="U198" s="644" t="n">
        <v>0</v>
      </c>
      <c r="V198" s="645">
        <f>IFERROR(IF(U198="",0,CEILING((U198/$H198),1)*$H198),"")</f>
        <v/>
      </c>
      <c r="W198" s="42">
        <f>IFERROR(IF(V198=0,"",ROUNDUP(V198/H198,0)*0.00753),"")</f>
        <v/>
      </c>
      <c r="X198" s="69" t="inlineStr"/>
      <c r="Y198" s="70" t="inlineStr"/>
      <c r="AC198" s="192" t="inlineStr">
        <is>
          <t>КИ</t>
        </is>
      </c>
    </row>
    <row r="199" ht="16.5" customHeight="1">
      <c r="A199" s="64" t="inlineStr">
        <is>
          <t>SU002686</t>
        </is>
      </c>
      <c r="B199" s="64" t="inlineStr">
        <is>
          <t>P003071</t>
        </is>
      </c>
      <c r="C199" s="37" t="n">
        <v>4301051326</v>
      </c>
      <c r="D199" s="308" t="n">
        <v>4680115880504</v>
      </c>
      <c r="E199" s="609" t="n"/>
      <c r="F199" s="641" t="n">
        <v>0.4</v>
      </c>
      <c r="G199" s="38" t="n">
        <v>6</v>
      </c>
      <c r="H199" s="641" t="n">
        <v>2.4</v>
      </c>
      <c r="I199" s="641" t="n">
        <v>2.672</v>
      </c>
      <c r="J199" s="38" t="n">
        <v>156</v>
      </c>
      <c r="K199" s="39" t="inlineStr">
        <is>
          <t>СК2</t>
        </is>
      </c>
      <c r="L199" s="38" t="n">
        <v>40</v>
      </c>
      <c r="M199" s="767">
        <f>HYPERLINK("https://abi.ru/products/Охлажденные/Стародворье/Бордо/Сосиски/P003071/","Сосиски Сочинки с сыром Бордо ф/в 0,4 кг п/а Стародворье")</f>
        <v/>
      </c>
      <c r="N199" s="643" t="n"/>
      <c r="O199" s="643" t="n"/>
      <c r="P199" s="643" t="n"/>
      <c r="Q199" s="609" t="n"/>
      <c r="R199" s="40" t="inlineStr"/>
      <c r="S199" s="40" t="inlineStr"/>
      <c r="T199" s="41" t="inlineStr">
        <is>
          <t>кг</t>
        </is>
      </c>
      <c r="U199" s="644" t="n">
        <v>100</v>
      </c>
      <c r="V199" s="645">
        <f>IFERROR(IF(U199="",0,CEILING((U199/$H199),1)*$H199),"")</f>
        <v/>
      </c>
      <c r="W199" s="42">
        <f>IFERROR(IF(V199=0,"",ROUNDUP(V199/H199,0)*0.00753),"")</f>
        <v/>
      </c>
      <c r="X199" s="69" t="inlineStr"/>
      <c r="Y199" s="70" t="inlineStr"/>
      <c r="AC199" s="193" t="inlineStr">
        <is>
          <t>КИ</t>
        </is>
      </c>
    </row>
    <row r="200" ht="27" customHeight="1">
      <c r="A200" s="64" t="inlineStr">
        <is>
          <t>SU002844</t>
        </is>
      </c>
      <c r="B200" s="64" t="inlineStr">
        <is>
          <t>P003265</t>
        </is>
      </c>
      <c r="C200" s="37" t="n">
        <v>4301051410</v>
      </c>
      <c r="D200" s="308" t="n">
        <v>4680115882164</v>
      </c>
      <c r="E200" s="609" t="n"/>
      <c r="F200" s="641" t="n">
        <v>0.4</v>
      </c>
      <c r="G200" s="38" t="n">
        <v>6</v>
      </c>
      <c r="H200" s="641" t="n">
        <v>2.4</v>
      </c>
      <c r="I200" s="641" t="n">
        <v>2.678</v>
      </c>
      <c r="J200" s="38" t="n">
        <v>156</v>
      </c>
      <c r="K200" s="39" t="inlineStr">
        <is>
          <t>СК3</t>
        </is>
      </c>
      <c r="L200" s="38" t="n">
        <v>40</v>
      </c>
      <c r="M200" s="768" t="inlineStr">
        <is>
          <t>Сосиски "Сочинки Сливочные" Фикс.вес 0,4 п/а мгс ТМ "Стародворье"</t>
        </is>
      </c>
      <c r="N200" s="643" t="n"/>
      <c r="O200" s="643" t="n"/>
      <c r="P200" s="643" t="n"/>
      <c r="Q200" s="609" t="n"/>
      <c r="R200" s="40" t="inlineStr"/>
      <c r="S200" s="40" t="inlineStr"/>
      <c r="T200" s="41" t="inlineStr">
        <is>
          <t>кг</t>
        </is>
      </c>
      <c r="U200" s="644" t="n">
        <v>28</v>
      </c>
      <c r="V200" s="645">
        <f>IFERROR(IF(U200="",0,CEILING((U200/$H200),1)*$H200),"")</f>
        <v/>
      </c>
      <c r="W200" s="42">
        <f>IFERROR(IF(V200=0,"",ROUNDUP(V200/H200,0)*0.00753),"")</f>
        <v/>
      </c>
      <c r="X200" s="69" t="inlineStr"/>
      <c r="Y200" s="70" t="inlineStr"/>
      <c r="AC200" s="194" t="inlineStr">
        <is>
          <t>КИ</t>
        </is>
      </c>
    </row>
    <row r="201">
      <c r="A201" s="317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646" t="n"/>
      <c r="M201" s="647" t="inlineStr">
        <is>
          <t>Итого</t>
        </is>
      </c>
      <c r="N201" s="617" t="n"/>
      <c r="O201" s="617" t="n"/>
      <c r="P201" s="617" t="n"/>
      <c r="Q201" s="617" t="n"/>
      <c r="R201" s="617" t="n"/>
      <c r="S201" s="618" t="n"/>
      <c r="T201" s="43" t="inlineStr">
        <is>
          <t>кор</t>
        </is>
      </c>
      <c r="U201" s="648">
        <f>IFERROR(U180/H180,"0")+IFERROR(U181/H181,"0")+IFERROR(U182/H182,"0")+IFERROR(U183/H183,"0")+IFERROR(U184/H184,"0")+IFERROR(U185/H185,"0")+IFERROR(U186/H186,"0")+IFERROR(U187/H187,"0")+IFERROR(U188/H188,"0")+IFERROR(U189/H189,"0")+IFERROR(U190/H190,"0")+IFERROR(U191/H191,"0")+IFERROR(U192/H192,"0")+IFERROR(U193/H193,"0")+IFERROR(U194/H194,"0")+IFERROR(U195/H195,"0")+IFERROR(U196/H196,"0")+IFERROR(U197/H197,"0")+IFERROR(U198/H198,"0")+IFERROR(U199/H199,"0")+IFERROR(U200/H200,"0")</f>
        <v/>
      </c>
      <c r="V201" s="648">
        <f>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+IFERROR(V197/H197,"0")+IFERROR(V198/H198,"0")+IFERROR(V199/H199,"0")+IFERROR(V200/H200,"0")</f>
        <v/>
      </c>
      <c r="W201" s="648">
        <f>IFERROR(IF(W180="",0,W180),"0")+IFERROR(IF(W181="",0,W181),"0")+IFERROR(IF(W182="",0,W182),"0")+IFERROR(IF(W183="",0,W183),"0")+IFERROR(IF(W184="",0,W184),"0")+IFERROR(IF(W185="",0,W185),"0")+IFERROR(IF(W186="",0,W186),"0")+IFERROR(IF(W187="",0,W187),"0")+IFERROR(IF(W188="",0,W188),"0")+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</f>
        <v/>
      </c>
      <c r="X201" s="649" t="n"/>
      <c r="Y201" s="649" t="n"/>
    </row>
    <row r="202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646" t="n"/>
      <c r="M202" s="647" t="inlineStr">
        <is>
          <t>Итого</t>
        </is>
      </c>
      <c r="N202" s="617" t="n"/>
      <c r="O202" s="617" t="n"/>
      <c r="P202" s="617" t="n"/>
      <c r="Q202" s="617" t="n"/>
      <c r="R202" s="617" t="n"/>
      <c r="S202" s="618" t="n"/>
      <c r="T202" s="43" t="inlineStr">
        <is>
          <t>кг</t>
        </is>
      </c>
      <c r="U202" s="648">
        <f>IFERROR(SUM(U180:U200),"0")</f>
        <v/>
      </c>
      <c r="V202" s="648">
        <f>IFERROR(SUM(V180:V200),"0")</f>
        <v/>
      </c>
      <c r="W202" s="43" t="n"/>
      <c r="X202" s="649" t="n"/>
      <c r="Y202" s="649" t="n"/>
    </row>
    <row r="203" ht="14.25" customHeight="1">
      <c r="A203" s="318" t="inlineStr">
        <is>
          <t>Сардельки</t>
        </is>
      </c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318" t="n"/>
      <c r="Y203" s="318" t="n"/>
    </row>
    <row r="204" ht="16.5" customHeight="1">
      <c r="A204" s="64" t="inlineStr">
        <is>
          <t>SU001051</t>
        </is>
      </c>
      <c r="B204" s="64" t="inlineStr">
        <is>
          <t>P002061</t>
        </is>
      </c>
      <c r="C204" s="37" t="n">
        <v>4301060326</v>
      </c>
      <c r="D204" s="308" t="n">
        <v>4607091380880</v>
      </c>
      <c r="E204" s="609" t="n"/>
      <c r="F204" s="641" t="n">
        <v>1.4</v>
      </c>
      <c r="G204" s="38" t="n">
        <v>6</v>
      </c>
      <c r="H204" s="641" t="n">
        <v>8.4</v>
      </c>
      <c r="I204" s="641" t="n">
        <v>8.964</v>
      </c>
      <c r="J204" s="38" t="n">
        <v>56</v>
      </c>
      <c r="K204" s="39" t="inlineStr">
        <is>
          <t>СК2</t>
        </is>
      </c>
      <c r="L204" s="38" t="n">
        <v>30</v>
      </c>
      <c r="M204" s="769">
        <f>HYPERLINK("https://abi.ru/products/Охлажденные/Стародворье/Бордо/Сардельки/P002061/","Сардельки Нежные Бордо Весовые н/о мгс Стародворье")</f>
        <v/>
      </c>
      <c r="N204" s="643" t="n"/>
      <c r="O204" s="643" t="n"/>
      <c r="P204" s="643" t="n"/>
      <c r="Q204" s="609" t="n"/>
      <c r="R204" s="40" t="inlineStr"/>
      <c r="S204" s="40" t="inlineStr"/>
      <c r="T204" s="41" t="inlineStr">
        <is>
          <t>кг</t>
        </is>
      </c>
      <c r="U204" s="644" t="n">
        <v>20</v>
      </c>
      <c r="V204" s="645">
        <f>IFERROR(IF(U204="",0,CEILING((U204/$H204),1)*$H204),"")</f>
        <v/>
      </c>
      <c r="W204" s="42">
        <f>IFERROR(IF(V204=0,"",ROUNDUP(V204/H204,0)*0.02175),"")</f>
        <v/>
      </c>
      <c r="X204" s="69" t="inlineStr"/>
      <c r="Y204" s="70" t="inlineStr"/>
      <c r="AC204" s="195" t="inlineStr">
        <is>
          <t>КИ</t>
        </is>
      </c>
    </row>
    <row r="205" ht="27" customHeight="1">
      <c r="A205" s="64" t="inlineStr">
        <is>
          <t>SU000227</t>
        </is>
      </c>
      <c r="B205" s="64" t="inlineStr">
        <is>
          <t>P002536</t>
        </is>
      </c>
      <c r="C205" s="37" t="n">
        <v>4301060308</v>
      </c>
      <c r="D205" s="308" t="n">
        <v>4607091384482</v>
      </c>
      <c r="E205" s="609" t="n"/>
      <c r="F205" s="641" t="n">
        <v>1.3</v>
      </c>
      <c r="G205" s="38" t="n">
        <v>6</v>
      </c>
      <c r="H205" s="641" t="n">
        <v>7.8</v>
      </c>
      <c r="I205" s="641" t="n">
        <v>8.364000000000001</v>
      </c>
      <c r="J205" s="38" t="n">
        <v>56</v>
      </c>
      <c r="K205" s="39" t="inlineStr">
        <is>
          <t>СК2</t>
        </is>
      </c>
      <c r="L205" s="38" t="n">
        <v>30</v>
      </c>
      <c r="M205" s="770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N205" s="643" t="n"/>
      <c r="O205" s="643" t="n"/>
      <c r="P205" s="643" t="n"/>
      <c r="Q205" s="609" t="n"/>
      <c r="R205" s="40" t="inlineStr"/>
      <c r="S205" s="40" t="inlineStr"/>
      <c r="T205" s="41" t="inlineStr">
        <is>
          <t>кг</t>
        </is>
      </c>
      <c r="U205" s="644" t="n">
        <v>250</v>
      </c>
      <c r="V205" s="645">
        <f>IFERROR(IF(U205="",0,CEILING((U205/$H205),1)*$H205),"")</f>
        <v/>
      </c>
      <c r="W205" s="42">
        <f>IFERROR(IF(V205=0,"",ROUNDUP(V205/H205,0)*0.02175),"")</f>
        <v/>
      </c>
      <c r="X205" s="69" t="inlineStr"/>
      <c r="Y205" s="70" t="inlineStr"/>
      <c r="AC205" s="196" t="inlineStr">
        <is>
          <t>КИ</t>
        </is>
      </c>
    </row>
    <row r="206" ht="16.5" customHeight="1">
      <c r="A206" s="64" t="inlineStr">
        <is>
          <t>SU001430</t>
        </is>
      </c>
      <c r="B206" s="64" t="inlineStr">
        <is>
          <t>P002036</t>
        </is>
      </c>
      <c r="C206" s="37" t="n">
        <v>4301060325</v>
      </c>
      <c r="D206" s="308" t="n">
        <v>4607091380897</v>
      </c>
      <c r="E206" s="609" t="n"/>
      <c r="F206" s="641" t="n">
        <v>1.4</v>
      </c>
      <c r="G206" s="38" t="n">
        <v>6</v>
      </c>
      <c r="H206" s="641" t="n">
        <v>8.4</v>
      </c>
      <c r="I206" s="641" t="n">
        <v>8.964</v>
      </c>
      <c r="J206" s="38" t="n">
        <v>56</v>
      </c>
      <c r="K206" s="39" t="inlineStr">
        <is>
          <t>СК2</t>
        </is>
      </c>
      <c r="L206" s="38" t="n">
        <v>30</v>
      </c>
      <c r="M206" s="771">
        <f>HYPERLINK("https://abi.ru/products/Охлажденные/Стародворье/Бордо/Сардельки/P002036/","Сардельки Шпикачки Бордо Весовые NDX мгс Стародворье")</f>
        <v/>
      </c>
      <c r="N206" s="643" t="n"/>
      <c r="O206" s="643" t="n"/>
      <c r="P206" s="643" t="n"/>
      <c r="Q206" s="609" t="n"/>
      <c r="R206" s="40" t="inlineStr"/>
      <c r="S206" s="40" t="inlineStr"/>
      <c r="T206" s="41" t="inlineStr">
        <is>
          <t>кг</t>
        </is>
      </c>
      <c r="U206" s="644" t="n">
        <v>40</v>
      </c>
      <c r="V206" s="645">
        <f>IFERROR(IF(U206="",0,CEILING((U206/$H206),1)*$H206),"")</f>
        <v/>
      </c>
      <c r="W206" s="42">
        <f>IFERROR(IF(V206=0,"",ROUNDUP(V206/H206,0)*0.02175),"")</f>
        <v/>
      </c>
      <c r="X206" s="69" t="inlineStr"/>
      <c r="Y206" s="70" t="inlineStr"/>
      <c r="AC206" s="197" t="inlineStr">
        <is>
          <t>КИ</t>
        </is>
      </c>
    </row>
    <row r="207" ht="16.5" customHeight="1">
      <c r="A207" s="64" t="inlineStr">
        <is>
          <t>SU002758</t>
        </is>
      </c>
      <c r="B207" s="64" t="inlineStr">
        <is>
          <t>P003129</t>
        </is>
      </c>
      <c r="C207" s="37" t="n">
        <v>4301060338</v>
      </c>
      <c r="D207" s="308" t="n">
        <v>4680115880801</v>
      </c>
      <c r="E207" s="609" t="n"/>
      <c r="F207" s="641" t="n">
        <v>0.4</v>
      </c>
      <c r="G207" s="38" t="n">
        <v>6</v>
      </c>
      <c r="H207" s="641" t="n">
        <v>2.4</v>
      </c>
      <c r="I207" s="641" t="n">
        <v>2.672</v>
      </c>
      <c r="J207" s="38" t="n">
        <v>156</v>
      </c>
      <c r="K207" s="39" t="inlineStr">
        <is>
          <t>СК2</t>
        </is>
      </c>
      <c r="L207" s="38" t="n">
        <v>40</v>
      </c>
      <c r="M207" s="772" t="inlineStr">
        <is>
          <t>Сардельки Сочинки с сочным окороком ТМ Стародворье полиамид мгс ф/в 0,4 кг СК3</t>
        </is>
      </c>
      <c r="N207" s="643" t="n"/>
      <c r="O207" s="643" t="n"/>
      <c r="P207" s="643" t="n"/>
      <c r="Q207" s="609" t="n"/>
      <c r="R207" s="40" t="inlineStr"/>
      <c r="S207" s="40" t="inlineStr"/>
      <c r="T207" s="41" t="inlineStr">
        <is>
          <t>кг</t>
        </is>
      </c>
      <c r="U207" s="644" t="n">
        <v>0</v>
      </c>
      <c r="V207" s="645">
        <f>IFERROR(IF(U207="",0,CEILING((U207/$H207),1)*$H207),"")</f>
        <v/>
      </c>
      <c r="W207" s="42">
        <f>IFERROR(IF(V207=0,"",ROUNDUP(V207/H207,0)*0.00753),"")</f>
        <v/>
      </c>
      <c r="X207" s="69" t="inlineStr"/>
      <c r="Y207" s="70" t="inlineStr"/>
      <c r="AC207" s="198" t="inlineStr">
        <is>
          <t>КИ</t>
        </is>
      </c>
    </row>
    <row r="208" ht="27" customHeight="1">
      <c r="A208" s="64" t="inlineStr">
        <is>
          <t>SU002759</t>
        </is>
      </c>
      <c r="B208" s="64" t="inlineStr">
        <is>
          <t>P003130</t>
        </is>
      </c>
      <c r="C208" s="37" t="n">
        <v>4301060339</v>
      </c>
      <c r="D208" s="308" t="n">
        <v>4680115880818</v>
      </c>
      <c r="E208" s="609" t="n"/>
      <c r="F208" s="641" t="n">
        <v>0.4</v>
      </c>
      <c r="G208" s="38" t="n">
        <v>6</v>
      </c>
      <c r="H208" s="641" t="n">
        <v>2.4</v>
      </c>
      <c r="I208" s="641" t="n">
        <v>2.672</v>
      </c>
      <c r="J208" s="38" t="n">
        <v>156</v>
      </c>
      <c r="K208" s="39" t="inlineStr">
        <is>
          <t>СК2</t>
        </is>
      </c>
      <c r="L208" s="38" t="n">
        <v>40</v>
      </c>
      <c r="M208" s="773" t="inlineStr">
        <is>
          <t>Сардельки Сочинки с сыром Бордо Фикс.вес 0,4 п/а Стародворье</t>
        </is>
      </c>
      <c r="N208" s="643" t="n"/>
      <c r="O208" s="643" t="n"/>
      <c r="P208" s="643" t="n"/>
      <c r="Q208" s="609" t="n"/>
      <c r="R208" s="40" t="inlineStr"/>
      <c r="S208" s="40" t="inlineStr"/>
      <c r="T208" s="41" t="inlineStr">
        <is>
          <t>кг</t>
        </is>
      </c>
      <c r="U208" s="644" t="n">
        <v>0</v>
      </c>
      <c r="V208" s="645">
        <f>IFERROR(IF(U208="",0,CEILING((U208/$H208),1)*$H208),"")</f>
        <v/>
      </c>
      <c r="W208" s="42">
        <f>IFERROR(IF(V208=0,"",ROUNDUP(V208/H208,0)*0.00753),"")</f>
        <v/>
      </c>
      <c r="X208" s="69" t="inlineStr"/>
      <c r="Y208" s="70" t="inlineStr"/>
      <c r="AC208" s="199" t="inlineStr">
        <is>
          <t>КИ</t>
        </is>
      </c>
    </row>
    <row r="209" ht="16.5" customHeight="1">
      <c r="A209" s="64" t="inlineStr">
        <is>
          <t>SU002691</t>
        </is>
      </c>
      <c r="B209" s="64" t="inlineStr">
        <is>
          <t>P003055</t>
        </is>
      </c>
      <c r="C209" s="37" t="n">
        <v>4301060337</v>
      </c>
      <c r="D209" s="308" t="n">
        <v>4680115880368</v>
      </c>
      <c r="E209" s="609" t="n"/>
      <c r="F209" s="641" t="n">
        <v>1</v>
      </c>
      <c r="G209" s="38" t="n">
        <v>4</v>
      </c>
      <c r="H209" s="641" t="n">
        <v>4</v>
      </c>
      <c r="I209" s="641" t="n">
        <v>4.36</v>
      </c>
      <c r="J209" s="38" t="n">
        <v>104</v>
      </c>
      <c r="K209" s="39" t="inlineStr">
        <is>
          <t>СК3</t>
        </is>
      </c>
      <c r="L209" s="38" t="n">
        <v>40</v>
      </c>
      <c r="M209" s="774" t="inlineStr">
        <is>
          <t>Сардельки Царедворские Бордо ф/в 1 кг п/а Стародворье</t>
        </is>
      </c>
      <c r="N209" s="643" t="n"/>
      <c r="O209" s="643" t="n"/>
      <c r="P209" s="643" t="n"/>
      <c r="Q209" s="609" t="n"/>
      <c r="R209" s="40" t="inlineStr"/>
      <c r="S209" s="40" t="inlineStr"/>
      <c r="T209" s="41" t="inlineStr">
        <is>
          <t>кг</t>
        </is>
      </c>
      <c r="U209" s="644" t="n">
        <v>0</v>
      </c>
      <c r="V209" s="645">
        <f>IFERROR(IF(U209="",0,CEILING((U209/$H209),1)*$H209),"")</f>
        <v/>
      </c>
      <c r="W209" s="42">
        <f>IFERROR(IF(V209=0,"",ROUNDUP(V209/H209,0)*0.01196),"")</f>
        <v/>
      </c>
      <c r="X209" s="69" t="inlineStr"/>
      <c r="Y209" s="70" t="inlineStr"/>
      <c r="AC209" s="200" t="inlineStr">
        <is>
          <t>КИ</t>
        </is>
      </c>
    </row>
    <row r="210">
      <c r="A210" s="317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646" t="n"/>
      <c r="M210" s="647" t="inlineStr">
        <is>
          <t>Итого</t>
        </is>
      </c>
      <c r="N210" s="617" t="n"/>
      <c r="O210" s="617" t="n"/>
      <c r="P210" s="617" t="n"/>
      <c r="Q210" s="617" t="n"/>
      <c r="R210" s="617" t="n"/>
      <c r="S210" s="618" t="n"/>
      <c r="T210" s="43" t="inlineStr">
        <is>
          <t>кор</t>
        </is>
      </c>
      <c r="U210" s="648">
        <f>IFERROR(U204/H204,"0")+IFERROR(U205/H205,"0")+IFERROR(U206/H206,"0")+IFERROR(U207/H207,"0")+IFERROR(U208/H208,"0")+IFERROR(U209/H209,"0")</f>
        <v/>
      </c>
      <c r="V210" s="648">
        <f>IFERROR(V204/H204,"0")+IFERROR(V205/H205,"0")+IFERROR(V206/H206,"0")+IFERROR(V207/H207,"0")+IFERROR(V208/H208,"0")+IFERROR(V209/H209,"0")</f>
        <v/>
      </c>
      <c r="W210" s="648">
        <f>IFERROR(IF(W204="",0,W204),"0")+IFERROR(IF(W205="",0,W205),"0")+IFERROR(IF(W206="",0,W206),"0")+IFERROR(IF(W207="",0,W207),"0")+IFERROR(IF(W208="",0,W208),"0")+IFERROR(IF(W209="",0,W209),"0")</f>
        <v/>
      </c>
      <c r="X210" s="649" t="n"/>
      <c r="Y210" s="649" t="n"/>
    </row>
    <row r="211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646" t="n"/>
      <c r="M211" s="647" t="inlineStr">
        <is>
          <t>Итого</t>
        </is>
      </c>
      <c r="N211" s="617" t="n"/>
      <c r="O211" s="617" t="n"/>
      <c r="P211" s="617" t="n"/>
      <c r="Q211" s="617" t="n"/>
      <c r="R211" s="617" t="n"/>
      <c r="S211" s="618" t="n"/>
      <c r="T211" s="43" t="inlineStr">
        <is>
          <t>кг</t>
        </is>
      </c>
      <c r="U211" s="648">
        <f>IFERROR(SUM(U204:U209),"0")</f>
        <v/>
      </c>
      <c r="V211" s="648">
        <f>IFERROR(SUM(V204:V209),"0")</f>
        <v/>
      </c>
      <c r="W211" s="43" t="n"/>
      <c r="X211" s="649" t="n"/>
      <c r="Y211" s="649" t="n"/>
    </row>
    <row r="212" ht="14.25" customHeight="1">
      <c r="A212" s="318" t="inlineStr">
        <is>
          <t>Сырокопченые колбасы</t>
        </is>
      </c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318" t="n"/>
      <c r="Y212" s="318" t="n"/>
    </row>
    <row r="213" ht="16.5" customHeight="1">
      <c r="A213" s="64" t="inlineStr">
        <is>
          <t>SU001920</t>
        </is>
      </c>
      <c r="B213" s="64" t="inlineStr">
        <is>
          <t>P001900</t>
        </is>
      </c>
      <c r="C213" s="37" t="n">
        <v>4301030232</v>
      </c>
      <c r="D213" s="308" t="n">
        <v>4607091388374</v>
      </c>
      <c r="E213" s="609" t="n"/>
      <c r="F213" s="641" t="n">
        <v>0.38</v>
      </c>
      <c r="G213" s="38" t="n">
        <v>8</v>
      </c>
      <c r="H213" s="641" t="n">
        <v>3.04</v>
      </c>
      <c r="I213" s="641" t="n">
        <v>3.28</v>
      </c>
      <c r="J213" s="38" t="n">
        <v>156</v>
      </c>
      <c r="K213" s="39" t="inlineStr">
        <is>
          <t>АК</t>
        </is>
      </c>
      <c r="L213" s="38" t="n">
        <v>180</v>
      </c>
      <c r="M213" s="775" t="inlineStr">
        <is>
          <t>С/к колбасы Княжеская Бордо Весовые б/о терм/п Стародворье</t>
        </is>
      </c>
      <c r="N213" s="643" t="n"/>
      <c r="O213" s="643" t="n"/>
      <c r="P213" s="643" t="n"/>
      <c r="Q213" s="609" t="n"/>
      <c r="R213" s="40" t="inlineStr"/>
      <c r="S213" s="40" t="inlineStr"/>
      <c r="T213" s="41" t="inlineStr">
        <is>
          <t>кг</t>
        </is>
      </c>
      <c r="U213" s="644" t="n">
        <v>0</v>
      </c>
      <c r="V213" s="645">
        <f>IFERROR(IF(U213="",0,CEILING((U213/$H213),1)*$H213),"")</f>
        <v/>
      </c>
      <c r="W213" s="42">
        <f>IFERROR(IF(V213=0,"",ROUNDUP(V213/H213,0)*0.00753),"")</f>
        <v/>
      </c>
      <c r="X213" s="69" t="inlineStr"/>
      <c r="Y213" s="70" t="inlineStr"/>
      <c r="AC213" s="201" t="inlineStr">
        <is>
          <t>КИ</t>
        </is>
      </c>
    </row>
    <row r="214" ht="27" customHeight="1">
      <c r="A214" s="64" t="inlineStr">
        <is>
          <t>SU001921</t>
        </is>
      </c>
      <c r="B214" s="64" t="inlineStr">
        <is>
          <t>P001916</t>
        </is>
      </c>
      <c r="C214" s="37" t="n">
        <v>4301030235</v>
      </c>
      <c r="D214" s="308" t="n">
        <v>4607091388381</v>
      </c>
      <c r="E214" s="609" t="n"/>
      <c r="F214" s="641" t="n">
        <v>0.38</v>
      </c>
      <c r="G214" s="38" t="n">
        <v>8</v>
      </c>
      <c r="H214" s="641" t="n">
        <v>3.04</v>
      </c>
      <c r="I214" s="641" t="n">
        <v>3.32</v>
      </c>
      <c r="J214" s="38" t="n">
        <v>156</v>
      </c>
      <c r="K214" s="39" t="inlineStr">
        <is>
          <t>АК</t>
        </is>
      </c>
      <c r="L214" s="38" t="n">
        <v>180</v>
      </c>
      <c r="M214" s="776" t="inlineStr">
        <is>
          <t>С/к колбасы Салями Охотничья Бордо Весовые б/о терм/п 180 Стародворье</t>
        </is>
      </c>
      <c r="N214" s="643" t="n"/>
      <c r="O214" s="643" t="n"/>
      <c r="P214" s="643" t="n"/>
      <c r="Q214" s="609" t="n"/>
      <c r="R214" s="40" t="inlineStr"/>
      <c r="S214" s="40" t="inlineStr"/>
      <c r="T214" s="41" t="inlineStr">
        <is>
          <t>кг</t>
        </is>
      </c>
      <c r="U214" s="644" t="n">
        <v>0</v>
      </c>
      <c r="V214" s="645">
        <f>IFERROR(IF(U214="",0,CEILING((U214/$H214),1)*$H214),"")</f>
        <v/>
      </c>
      <c r="W214" s="42">
        <f>IFERROR(IF(V214=0,"",ROUNDUP(V214/H214,0)*0.00753),"")</f>
        <v/>
      </c>
      <c r="X214" s="69" t="inlineStr"/>
      <c r="Y214" s="70" t="inlineStr"/>
      <c r="AC214" s="202" t="inlineStr">
        <is>
          <t>КИ</t>
        </is>
      </c>
    </row>
    <row r="215" ht="27" customHeight="1">
      <c r="A215" s="64" t="inlineStr">
        <is>
          <t>SU001869</t>
        </is>
      </c>
      <c r="B215" s="64" t="inlineStr">
        <is>
          <t>P001909</t>
        </is>
      </c>
      <c r="C215" s="37" t="n">
        <v>4301030233</v>
      </c>
      <c r="D215" s="308" t="n">
        <v>4607091388404</v>
      </c>
      <c r="E215" s="609" t="n"/>
      <c r="F215" s="641" t="n">
        <v>0.17</v>
      </c>
      <c r="G215" s="38" t="n">
        <v>15</v>
      </c>
      <c r="H215" s="641" t="n">
        <v>2.55</v>
      </c>
      <c r="I215" s="641" t="n">
        <v>2.9</v>
      </c>
      <c r="J215" s="38" t="n">
        <v>156</v>
      </c>
      <c r="K215" s="39" t="inlineStr">
        <is>
          <t>АК</t>
        </is>
      </c>
      <c r="L215" s="38" t="n">
        <v>180</v>
      </c>
      <c r="M215" s="777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N215" s="643" t="n"/>
      <c r="O215" s="643" t="n"/>
      <c r="P215" s="643" t="n"/>
      <c r="Q215" s="609" t="n"/>
      <c r="R215" s="40" t="inlineStr"/>
      <c r="S215" s="40" t="inlineStr"/>
      <c r="T215" s="41" t="inlineStr">
        <is>
          <t>кг</t>
        </is>
      </c>
      <c r="U215" s="644" t="n">
        <v>0</v>
      </c>
      <c r="V215" s="645">
        <f>IFERROR(IF(U215="",0,CEILING((U215/$H215),1)*$H215),"")</f>
        <v/>
      </c>
      <c r="W215" s="42">
        <f>IFERROR(IF(V215=0,"",ROUNDUP(V215/H215,0)*0.00753),"")</f>
        <v/>
      </c>
      <c r="X215" s="69" t="inlineStr"/>
      <c r="Y215" s="70" t="inlineStr"/>
      <c r="AC215" s="203" t="inlineStr">
        <is>
          <t>КИ</t>
        </is>
      </c>
    </row>
    <row r="216">
      <c r="A216" s="317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646" t="n"/>
      <c r="M216" s="647" t="inlineStr">
        <is>
          <t>Итого</t>
        </is>
      </c>
      <c r="N216" s="617" t="n"/>
      <c r="O216" s="617" t="n"/>
      <c r="P216" s="617" t="n"/>
      <c r="Q216" s="617" t="n"/>
      <c r="R216" s="617" t="n"/>
      <c r="S216" s="618" t="n"/>
      <c r="T216" s="43" t="inlineStr">
        <is>
          <t>кор</t>
        </is>
      </c>
      <c r="U216" s="648">
        <f>IFERROR(U213/H213,"0")+IFERROR(U214/H214,"0")+IFERROR(U215/H215,"0")</f>
        <v/>
      </c>
      <c r="V216" s="648">
        <f>IFERROR(V213/H213,"0")+IFERROR(V214/H214,"0")+IFERROR(V215/H215,"0")</f>
        <v/>
      </c>
      <c r="W216" s="648">
        <f>IFERROR(IF(W213="",0,W213),"0")+IFERROR(IF(W214="",0,W214),"0")+IFERROR(IF(W215="",0,W215),"0")</f>
        <v/>
      </c>
      <c r="X216" s="649" t="n"/>
      <c r="Y216" s="649" t="n"/>
    </row>
    <row r="217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646" t="n"/>
      <c r="M217" s="647" t="inlineStr">
        <is>
          <t>Итого</t>
        </is>
      </c>
      <c r="N217" s="617" t="n"/>
      <c r="O217" s="617" t="n"/>
      <c r="P217" s="617" t="n"/>
      <c r="Q217" s="617" t="n"/>
      <c r="R217" s="617" t="n"/>
      <c r="S217" s="618" t="n"/>
      <c r="T217" s="43" t="inlineStr">
        <is>
          <t>кг</t>
        </is>
      </c>
      <c r="U217" s="648">
        <f>IFERROR(SUM(U213:U215),"0")</f>
        <v/>
      </c>
      <c r="V217" s="648">
        <f>IFERROR(SUM(V213:V215),"0")</f>
        <v/>
      </c>
      <c r="W217" s="43" t="n"/>
      <c r="X217" s="649" t="n"/>
      <c r="Y217" s="649" t="n"/>
    </row>
    <row r="218" ht="14.25" customHeight="1">
      <c r="A218" s="318" t="inlineStr">
        <is>
          <t>Паштеты</t>
        </is>
      </c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318" t="n"/>
      <c r="Y218" s="318" t="n"/>
    </row>
    <row r="219" ht="16.5" customHeight="1">
      <c r="A219" s="64" t="inlineStr">
        <is>
          <t>SU002369</t>
        </is>
      </c>
      <c r="B219" s="64" t="inlineStr">
        <is>
          <t>P002649</t>
        </is>
      </c>
      <c r="C219" s="37" t="n">
        <v>4301180002</v>
      </c>
      <c r="D219" s="308" t="n">
        <v>4680115880122</v>
      </c>
      <c r="E219" s="609" t="n"/>
      <c r="F219" s="641" t="n">
        <v>0.1</v>
      </c>
      <c r="G219" s="38" t="n">
        <v>20</v>
      </c>
      <c r="H219" s="641" t="n">
        <v>2</v>
      </c>
      <c r="I219" s="641" t="n">
        <v>2.24</v>
      </c>
      <c r="J219" s="38" t="n">
        <v>238</v>
      </c>
      <c r="K219" s="39" t="inlineStr">
        <is>
          <t>РК</t>
        </is>
      </c>
      <c r="L219" s="38" t="n">
        <v>730</v>
      </c>
      <c r="M219" s="778">
        <f>HYPERLINK("https://abi.ru/products/Охлажденные/Стародворье/Бордо/Паштеты/P002649/","Паштеты Копчёный бекон Бордо фикс.вес 0,1 Стародворье")</f>
        <v/>
      </c>
      <c r="N219" s="643" t="n"/>
      <c r="O219" s="643" t="n"/>
      <c r="P219" s="643" t="n"/>
      <c r="Q219" s="609" t="n"/>
      <c r="R219" s="40" t="inlineStr"/>
      <c r="S219" s="40" t="inlineStr"/>
      <c r="T219" s="41" t="inlineStr">
        <is>
          <t>кг</t>
        </is>
      </c>
      <c r="U219" s="644" t="n">
        <v>0</v>
      </c>
      <c r="V219" s="645">
        <f>IFERROR(IF(U219="",0,CEILING((U219/$H219),1)*$H219),"")</f>
        <v/>
      </c>
      <c r="W219" s="42">
        <f>IFERROR(IF(V219=0,"",ROUNDUP(V219/H219,0)*0.00474),"")</f>
        <v/>
      </c>
      <c r="X219" s="69" t="inlineStr"/>
      <c r="Y219" s="70" t="inlineStr"/>
      <c r="AC219" s="204" t="inlineStr">
        <is>
          <t>КИ</t>
        </is>
      </c>
    </row>
    <row r="220" ht="16.5" customHeight="1">
      <c r="A220" s="64" t="inlineStr">
        <is>
          <t>SU002841</t>
        </is>
      </c>
      <c r="B220" s="64" t="inlineStr">
        <is>
          <t>P003253</t>
        </is>
      </c>
      <c r="C220" s="37" t="n">
        <v>4301180007</v>
      </c>
      <c r="D220" s="308" t="n">
        <v>4680115881808</v>
      </c>
      <c r="E220" s="609" t="n"/>
      <c r="F220" s="641" t="n">
        <v>0.1</v>
      </c>
      <c r="G220" s="38" t="n">
        <v>20</v>
      </c>
      <c r="H220" s="641" t="n">
        <v>2</v>
      </c>
      <c r="I220" s="641" t="n">
        <v>2.24</v>
      </c>
      <c r="J220" s="38" t="n">
        <v>238</v>
      </c>
      <c r="K220" s="39" t="inlineStr">
        <is>
          <t>РК</t>
        </is>
      </c>
      <c r="L220" s="38" t="n">
        <v>730</v>
      </c>
      <c r="M220" s="779" t="inlineStr">
        <is>
          <t>Паштеты "Любительский ГОСТ" Фикс.вес 0,1 ТМ "Стародворье"</t>
        </is>
      </c>
      <c r="N220" s="643" t="n"/>
      <c r="O220" s="643" t="n"/>
      <c r="P220" s="643" t="n"/>
      <c r="Q220" s="609" t="n"/>
      <c r="R220" s="40" t="inlineStr"/>
      <c r="S220" s="40" t="inlineStr"/>
      <c r="T220" s="41" t="inlineStr">
        <is>
          <t>кг</t>
        </is>
      </c>
      <c r="U220" s="644" t="n">
        <v>0</v>
      </c>
      <c r="V220" s="645">
        <f>IFERROR(IF(U220="",0,CEILING((U220/$H220),1)*$H220),"")</f>
        <v/>
      </c>
      <c r="W220" s="42">
        <f>IFERROR(IF(V220=0,"",ROUNDUP(V220/H220,0)*0.00474),"")</f>
        <v/>
      </c>
      <c r="X220" s="69" t="inlineStr"/>
      <c r="Y220" s="70" t="inlineStr"/>
      <c r="AC220" s="205" t="inlineStr">
        <is>
          <t>КИ</t>
        </is>
      </c>
    </row>
    <row r="221" ht="27" customHeight="1">
      <c r="A221" s="64" t="inlineStr">
        <is>
          <t>SU002840</t>
        </is>
      </c>
      <c r="B221" s="64" t="inlineStr">
        <is>
          <t>P003252</t>
        </is>
      </c>
      <c r="C221" s="37" t="n">
        <v>4301180006</v>
      </c>
      <c r="D221" s="308" t="n">
        <v>4680115881822</v>
      </c>
      <c r="E221" s="609" t="n"/>
      <c r="F221" s="641" t="n">
        <v>0.1</v>
      </c>
      <c r="G221" s="38" t="n">
        <v>20</v>
      </c>
      <c r="H221" s="641" t="n">
        <v>2</v>
      </c>
      <c r="I221" s="641" t="n">
        <v>2.24</v>
      </c>
      <c r="J221" s="38" t="n">
        <v>238</v>
      </c>
      <c r="K221" s="39" t="inlineStr">
        <is>
          <t>РК</t>
        </is>
      </c>
      <c r="L221" s="38" t="n">
        <v>730</v>
      </c>
      <c r="M221" s="780" t="inlineStr">
        <is>
          <t>Паштеты "Печеночный с морковью ГОСТ" Фикс.вес 0,1 ТМ "Стародворье"</t>
        </is>
      </c>
      <c r="N221" s="643" t="n"/>
      <c r="O221" s="643" t="n"/>
      <c r="P221" s="643" t="n"/>
      <c r="Q221" s="609" t="n"/>
      <c r="R221" s="40" t="inlineStr"/>
      <c r="S221" s="40" t="inlineStr"/>
      <c r="T221" s="41" t="inlineStr">
        <is>
          <t>кг</t>
        </is>
      </c>
      <c r="U221" s="644" t="n">
        <v>0</v>
      </c>
      <c r="V221" s="645">
        <f>IFERROR(IF(U221="",0,CEILING((U221/$H221),1)*$H221),"")</f>
        <v/>
      </c>
      <c r="W221" s="42">
        <f>IFERROR(IF(V221=0,"",ROUNDUP(V221/H221,0)*0.00474),"")</f>
        <v/>
      </c>
      <c r="X221" s="69" t="inlineStr"/>
      <c r="Y221" s="70" t="inlineStr"/>
      <c r="AC221" s="206" t="inlineStr">
        <is>
          <t>КИ</t>
        </is>
      </c>
    </row>
    <row r="222" ht="27" customHeight="1">
      <c r="A222" s="64" t="inlineStr">
        <is>
          <t>SU002368</t>
        </is>
      </c>
      <c r="B222" s="64" t="inlineStr">
        <is>
          <t>P002648</t>
        </is>
      </c>
      <c r="C222" s="37" t="n">
        <v>4301180001</v>
      </c>
      <c r="D222" s="308" t="n">
        <v>4680115880016</v>
      </c>
      <c r="E222" s="609" t="n"/>
      <c r="F222" s="641" t="n">
        <v>0.1</v>
      </c>
      <c r="G222" s="38" t="n">
        <v>20</v>
      </c>
      <c r="H222" s="641" t="n">
        <v>2</v>
      </c>
      <c r="I222" s="641" t="n">
        <v>2.24</v>
      </c>
      <c r="J222" s="38" t="n">
        <v>238</v>
      </c>
      <c r="K222" s="39" t="inlineStr">
        <is>
          <t>РК</t>
        </is>
      </c>
      <c r="L222" s="38" t="n">
        <v>730</v>
      </c>
      <c r="M222" s="781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N222" s="643" t="n"/>
      <c r="O222" s="643" t="n"/>
      <c r="P222" s="643" t="n"/>
      <c r="Q222" s="609" t="n"/>
      <c r="R222" s="40" t="inlineStr"/>
      <c r="S222" s="40" t="inlineStr"/>
      <c r="T222" s="41" t="inlineStr">
        <is>
          <t>кг</t>
        </is>
      </c>
      <c r="U222" s="644" t="n">
        <v>0</v>
      </c>
      <c r="V222" s="645">
        <f>IFERROR(IF(U222="",0,CEILING((U222/$H222),1)*$H222),"")</f>
        <v/>
      </c>
      <c r="W222" s="42">
        <f>IFERROR(IF(V222=0,"",ROUNDUP(V222/H222,0)*0.00474),"")</f>
        <v/>
      </c>
      <c r="X222" s="69" t="inlineStr"/>
      <c r="Y222" s="70" t="inlineStr"/>
      <c r="AC222" s="207" t="inlineStr">
        <is>
          <t>КИ</t>
        </is>
      </c>
    </row>
    <row r="223">
      <c r="A223" s="317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646" t="n"/>
      <c r="M223" s="647" t="inlineStr">
        <is>
          <t>Итого</t>
        </is>
      </c>
      <c r="N223" s="617" t="n"/>
      <c r="O223" s="617" t="n"/>
      <c r="P223" s="617" t="n"/>
      <c r="Q223" s="617" t="n"/>
      <c r="R223" s="617" t="n"/>
      <c r="S223" s="618" t="n"/>
      <c r="T223" s="43" t="inlineStr">
        <is>
          <t>кор</t>
        </is>
      </c>
      <c r="U223" s="648">
        <f>IFERROR(U219/H219,"0")+IFERROR(U220/H220,"0")+IFERROR(U221/H221,"0")+IFERROR(U222/H222,"0")</f>
        <v/>
      </c>
      <c r="V223" s="648">
        <f>IFERROR(V219/H219,"0")+IFERROR(V220/H220,"0")+IFERROR(V221/H221,"0")+IFERROR(V222/H222,"0")</f>
        <v/>
      </c>
      <c r="W223" s="648">
        <f>IFERROR(IF(W219="",0,W219),"0")+IFERROR(IF(W220="",0,W220),"0")+IFERROR(IF(W221="",0,W221),"0")+IFERROR(IF(W222="",0,W222),"0")</f>
        <v/>
      </c>
      <c r="X223" s="649" t="n"/>
      <c r="Y223" s="649" t="n"/>
    </row>
    <row r="224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646" t="n"/>
      <c r="M224" s="647" t="inlineStr">
        <is>
          <t>Итого</t>
        </is>
      </c>
      <c r="N224" s="617" t="n"/>
      <c r="O224" s="617" t="n"/>
      <c r="P224" s="617" t="n"/>
      <c r="Q224" s="617" t="n"/>
      <c r="R224" s="617" t="n"/>
      <c r="S224" s="618" t="n"/>
      <c r="T224" s="43" t="inlineStr">
        <is>
          <t>кг</t>
        </is>
      </c>
      <c r="U224" s="648">
        <f>IFERROR(SUM(U219:U222),"0")</f>
        <v/>
      </c>
      <c r="V224" s="648">
        <f>IFERROR(SUM(V219:V222),"0")</f>
        <v/>
      </c>
      <c r="W224" s="43" t="n"/>
      <c r="X224" s="649" t="n"/>
      <c r="Y224" s="649" t="n"/>
    </row>
    <row r="225" ht="16.5" customHeight="1">
      <c r="A225" s="324" t="inlineStr">
        <is>
          <t>Фирменная</t>
        </is>
      </c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324" t="n"/>
      <c r="Y225" s="324" t="n"/>
    </row>
    <row r="226" ht="14.25" customHeight="1">
      <c r="A226" s="318" t="inlineStr">
        <is>
          <t>Вареные колбасы</t>
        </is>
      </c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318" t="n"/>
      <c r="Y226" s="318" t="n"/>
    </row>
    <row r="227" ht="27" customHeight="1">
      <c r="A227" s="64" t="inlineStr">
        <is>
          <t>SU001793</t>
        </is>
      </c>
      <c r="B227" s="64" t="inlineStr">
        <is>
          <t>P001793</t>
        </is>
      </c>
      <c r="C227" s="37" t="n">
        <v>4301011315</v>
      </c>
      <c r="D227" s="308" t="n">
        <v>4607091387421</v>
      </c>
      <c r="E227" s="609" t="n"/>
      <c r="F227" s="641" t="n">
        <v>1.35</v>
      </c>
      <c r="G227" s="38" t="n">
        <v>8</v>
      </c>
      <c r="H227" s="641" t="n">
        <v>10.8</v>
      </c>
      <c r="I227" s="641" t="n">
        <v>11.28</v>
      </c>
      <c r="J227" s="38" t="n">
        <v>56</v>
      </c>
      <c r="K227" s="39" t="inlineStr">
        <is>
          <t>СК1</t>
        </is>
      </c>
      <c r="L227" s="38" t="n">
        <v>55</v>
      </c>
      <c r="M227" s="782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N227" s="643" t="n"/>
      <c r="O227" s="643" t="n"/>
      <c r="P227" s="643" t="n"/>
      <c r="Q227" s="609" t="n"/>
      <c r="R227" s="40" t="inlineStr"/>
      <c r="S227" s="40" t="inlineStr"/>
      <c r="T227" s="41" t="inlineStr">
        <is>
          <t>кг</t>
        </is>
      </c>
      <c r="U227" s="644" t="n">
        <v>100</v>
      </c>
      <c r="V227" s="645">
        <f>IFERROR(IF(U227="",0,CEILING((U227/$H227),1)*$H227),"")</f>
        <v/>
      </c>
      <c r="W227" s="42">
        <f>IFERROR(IF(V227=0,"",ROUNDUP(V227/H227,0)*0.02175),"")</f>
        <v/>
      </c>
      <c r="X227" s="69" t="inlineStr"/>
      <c r="Y227" s="70" t="inlineStr"/>
      <c r="AC227" s="208" t="inlineStr">
        <is>
          <t>КИ</t>
        </is>
      </c>
    </row>
    <row r="228" ht="27" customHeight="1">
      <c r="A228" s="64" t="inlineStr">
        <is>
          <t>SU001793</t>
        </is>
      </c>
      <c r="B228" s="64" t="inlineStr">
        <is>
          <t>P002227</t>
        </is>
      </c>
      <c r="C228" s="37" t="n">
        <v>4301011121</v>
      </c>
      <c r="D228" s="308" t="n">
        <v>4607091387421</v>
      </c>
      <c r="E228" s="609" t="n"/>
      <c r="F228" s="641" t="n">
        <v>1.35</v>
      </c>
      <c r="G228" s="38" t="n">
        <v>8</v>
      </c>
      <c r="H228" s="641" t="n">
        <v>10.8</v>
      </c>
      <c r="I228" s="641" t="n">
        <v>11.28</v>
      </c>
      <c r="J228" s="38" t="n">
        <v>48</v>
      </c>
      <c r="K228" s="39" t="inlineStr">
        <is>
          <t>ВЗ</t>
        </is>
      </c>
      <c r="L228" s="38" t="n">
        <v>55</v>
      </c>
      <c r="M228" s="783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N228" s="643" t="n"/>
      <c r="O228" s="643" t="n"/>
      <c r="P228" s="643" t="n"/>
      <c r="Q228" s="609" t="n"/>
      <c r="R228" s="40" t="inlineStr"/>
      <c r="S228" s="40" t="inlineStr"/>
      <c r="T228" s="41" t="inlineStr">
        <is>
          <t>кг</t>
        </is>
      </c>
      <c r="U228" s="644" t="n">
        <v>0</v>
      </c>
      <c r="V228" s="645">
        <f>IFERROR(IF(U228="",0,CEILING((U228/$H228),1)*$H228),"")</f>
        <v/>
      </c>
      <c r="W228" s="42">
        <f>IFERROR(IF(V228=0,"",ROUNDUP(V228/H228,0)*0.02039),"")</f>
        <v/>
      </c>
      <c r="X228" s="69" t="inlineStr"/>
      <c r="Y228" s="70" t="inlineStr"/>
      <c r="AC228" s="209" t="inlineStr">
        <is>
          <t>КИ</t>
        </is>
      </c>
    </row>
    <row r="229" ht="27" customHeight="1">
      <c r="A229" s="64" t="inlineStr">
        <is>
          <t>SU001799</t>
        </is>
      </c>
      <c r="B229" s="64" t="inlineStr">
        <is>
          <t>P003076</t>
        </is>
      </c>
      <c r="C229" s="37" t="n">
        <v>4301011396</v>
      </c>
      <c r="D229" s="308" t="n">
        <v>4607091387452</v>
      </c>
      <c r="E229" s="609" t="n"/>
      <c r="F229" s="641" t="n">
        <v>1.35</v>
      </c>
      <c r="G229" s="38" t="n">
        <v>8</v>
      </c>
      <c r="H229" s="641" t="n">
        <v>10.8</v>
      </c>
      <c r="I229" s="641" t="n">
        <v>11.28</v>
      </c>
      <c r="J229" s="38" t="n">
        <v>48</v>
      </c>
      <c r="K229" s="39" t="inlineStr">
        <is>
          <t>ВЗ</t>
        </is>
      </c>
      <c r="L229" s="38" t="n">
        <v>55</v>
      </c>
      <c r="M229" s="784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N229" s="643" t="n"/>
      <c r="O229" s="643" t="n"/>
      <c r="P229" s="643" t="n"/>
      <c r="Q229" s="609" t="n"/>
      <c r="R229" s="40" t="inlineStr"/>
      <c r="S229" s="40" t="inlineStr"/>
      <c r="T229" s="41" t="inlineStr">
        <is>
          <t>кг</t>
        </is>
      </c>
      <c r="U229" s="644" t="n">
        <v>0</v>
      </c>
      <c r="V229" s="645">
        <f>IFERROR(IF(U229="",0,CEILING((U229/$H229),1)*$H229),"")</f>
        <v/>
      </c>
      <c r="W229" s="42">
        <f>IFERROR(IF(V229=0,"",ROUNDUP(V229/H229,0)*0.02039),"")</f>
        <v/>
      </c>
      <c r="X229" s="69" t="inlineStr"/>
      <c r="Y229" s="70" t="inlineStr"/>
      <c r="AC229" s="210" t="inlineStr">
        <is>
          <t>КИ</t>
        </is>
      </c>
    </row>
    <row r="230" ht="27" customHeight="1">
      <c r="A230" s="64" t="inlineStr">
        <is>
          <t>SU001799</t>
        </is>
      </c>
      <c r="B230" s="64" t="inlineStr">
        <is>
          <t>P001799</t>
        </is>
      </c>
      <c r="C230" s="37" t="n">
        <v>4301011322</v>
      </c>
      <c r="D230" s="308" t="n">
        <v>4607091387452</v>
      </c>
      <c r="E230" s="609" t="n"/>
      <c r="F230" s="641" t="n">
        <v>1.35</v>
      </c>
      <c r="G230" s="38" t="n">
        <v>8</v>
      </c>
      <c r="H230" s="641" t="n">
        <v>10.8</v>
      </c>
      <c r="I230" s="641" t="n">
        <v>11.28</v>
      </c>
      <c r="J230" s="38" t="n">
        <v>56</v>
      </c>
      <c r="K230" s="39" t="inlineStr">
        <is>
          <t>СК3</t>
        </is>
      </c>
      <c r="L230" s="38" t="n">
        <v>55</v>
      </c>
      <c r="M230" s="785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/>
      </c>
      <c r="N230" s="643" t="n"/>
      <c r="O230" s="643" t="n"/>
      <c r="P230" s="643" t="n"/>
      <c r="Q230" s="609" t="n"/>
      <c r="R230" s="40" t="inlineStr"/>
      <c r="S230" s="40" t="inlineStr"/>
      <c r="T230" s="41" t="inlineStr">
        <is>
          <t>кг</t>
        </is>
      </c>
      <c r="U230" s="644" t="n">
        <v>0</v>
      </c>
      <c r="V230" s="645">
        <f>IFERROR(IF(U230="",0,CEILING((U230/$H230),1)*$H230),"")</f>
        <v/>
      </c>
      <c r="W230" s="42">
        <f>IFERROR(IF(V230=0,"",ROUNDUP(V230/H230,0)*0.02175),"")</f>
        <v/>
      </c>
      <c r="X230" s="69" t="inlineStr"/>
      <c r="Y230" s="70" t="inlineStr"/>
      <c r="AC230" s="211" t="inlineStr">
        <is>
          <t>КИ</t>
        </is>
      </c>
    </row>
    <row r="231" ht="27" customHeight="1">
      <c r="A231" s="64" t="inlineStr">
        <is>
          <t>SU001792</t>
        </is>
      </c>
      <c r="B231" s="64" t="inlineStr">
        <is>
          <t>P001792</t>
        </is>
      </c>
      <c r="C231" s="37" t="n">
        <v>4301011313</v>
      </c>
      <c r="D231" s="308" t="n">
        <v>4607091385984</v>
      </c>
      <c r="E231" s="609" t="n"/>
      <c r="F231" s="641" t="n">
        <v>1.35</v>
      </c>
      <c r="G231" s="38" t="n">
        <v>8</v>
      </c>
      <c r="H231" s="641" t="n">
        <v>10.8</v>
      </c>
      <c r="I231" s="641" t="n">
        <v>11.28</v>
      </c>
      <c r="J231" s="38" t="n">
        <v>56</v>
      </c>
      <c r="K231" s="39" t="inlineStr">
        <is>
          <t>СК1</t>
        </is>
      </c>
      <c r="L231" s="38" t="n">
        <v>55</v>
      </c>
      <c r="M231" s="786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N231" s="643" t="n"/>
      <c r="O231" s="643" t="n"/>
      <c r="P231" s="643" t="n"/>
      <c r="Q231" s="609" t="n"/>
      <c r="R231" s="40" t="inlineStr"/>
      <c r="S231" s="40" t="inlineStr"/>
      <c r="T231" s="41" t="inlineStr">
        <is>
          <t>кг</t>
        </is>
      </c>
      <c r="U231" s="644" t="n">
        <v>0</v>
      </c>
      <c r="V231" s="645">
        <f>IFERROR(IF(U231="",0,CEILING((U231/$H231),1)*$H231),"")</f>
        <v/>
      </c>
      <c r="W231" s="42">
        <f>IFERROR(IF(V231=0,"",ROUNDUP(V231/H231,0)*0.02175),"")</f>
        <v/>
      </c>
      <c r="X231" s="69" t="inlineStr"/>
      <c r="Y231" s="70" t="inlineStr"/>
      <c r="AC231" s="212" t="inlineStr">
        <is>
          <t>КИ</t>
        </is>
      </c>
    </row>
    <row r="232" ht="27" customHeight="1">
      <c r="A232" s="64" t="inlineStr">
        <is>
          <t>SU001794</t>
        </is>
      </c>
      <c r="B232" s="64" t="inlineStr">
        <is>
          <t>P001794</t>
        </is>
      </c>
      <c r="C232" s="37" t="n">
        <v>4301011316</v>
      </c>
      <c r="D232" s="308" t="n">
        <v>4607091387438</v>
      </c>
      <c r="E232" s="609" t="n"/>
      <c r="F232" s="641" t="n">
        <v>0.5</v>
      </c>
      <c r="G232" s="38" t="n">
        <v>10</v>
      </c>
      <c r="H232" s="641" t="n">
        <v>5</v>
      </c>
      <c r="I232" s="641" t="n">
        <v>5.24</v>
      </c>
      <c r="J232" s="38" t="n">
        <v>120</v>
      </c>
      <c r="K232" s="39" t="inlineStr">
        <is>
          <t>СК1</t>
        </is>
      </c>
      <c r="L232" s="38" t="n">
        <v>55</v>
      </c>
      <c r="M232" s="787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N232" s="643" t="n"/>
      <c r="O232" s="643" t="n"/>
      <c r="P232" s="643" t="n"/>
      <c r="Q232" s="609" t="n"/>
      <c r="R232" s="40" t="inlineStr"/>
      <c r="S232" s="40" t="inlineStr"/>
      <c r="T232" s="41" t="inlineStr">
        <is>
          <t>кг</t>
        </is>
      </c>
      <c r="U232" s="644" t="n">
        <v>0</v>
      </c>
      <c r="V232" s="645">
        <f>IFERROR(IF(U232="",0,CEILING((U232/$H232),1)*$H232),"")</f>
        <v/>
      </c>
      <c r="W232" s="42">
        <f>IFERROR(IF(V232=0,"",ROUNDUP(V232/H232,0)*0.00937),"")</f>
        <v/>
      </c>
      <c r="X232" s="69" t="inlineStr"/>
      <c r="Y232" s="70" t="inlineStr"/>
      <c r="AC232" s="213" t="inlineStr">
        <is>
          <t>КИ</t>
        </is>
      </c>
    </row>
    <row r="233" ht="27" customHeight="1">
      <c r="A233" s="64" t="inlineStr">
        <is>
          <t>SU001795</t>
        </is>
      </c>
      <c r="B233" s="64" t="inlineStr">
        <is>
          <t>P001795</t>
        </is>
      </c>
      <c r="C233" s="37" t="n">
        <v>4301011318</v>
      </c>
      <c r="D233" s="308" t="n">
        <v>4607091387469</v>
      </c>
      <c r="E233" s="609" t="n"/>
      <c r="F233" s="641" t="n">
        <v>0.5</v>
      </c>
      <c r="G233" s="38" t="n">
        <v>10</v>
      </c>
      <c r="H233" s="641" t="n">
        <v>5</v>
      </c>
      <c r="I233" s="641" t="n">
        <v>5.21</v>
      </c>
      <c r="J233" s="38" t="n">
        <v>120</v>
      </c>
      <c r="K233" s="39" t="inlineStr">
        <is>
          <t>СК2</t>
        </is>
      </c>
      <c r="L233" s="38" t="n">
        <v>55</v>
      </c>
      <c r="M233" s="788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N233" s="643" t="n"/>
      <c r="O233" s="643" t="n"/>
      <c r="P233" s="643" t="n"/>
      <c r="Q233" s="609" t="n"/>
      <c r="R233" s="40" t="inlineStr"/>
      <c r="S233" s="40" t="inlineStr"/>
      <c r="T233" s="41" t="inlineStr">
        <is>
          <t>кг</t>
        </is>
      </c>
      <c r="U233" s="644" t="n">
        <v>0</v>
      </c>
      <c r="V233" s="645">
        <f>IFERROR(IF(U233="",0,CEILING((U233/$H233),1)*$H233),"")</f>
        <v/>
      </c>
      <c r="W233" s="42">
        <f>IFERROR(IF(V233=0,"",ROUNDUP(V233/H233,0)*0.00937),"")</f>
        <v/>
      </c>
      <c r="X233" s="69" t="inlineStr"/>
      <c r="Y233" s="70" t="inlineStr"/>
      <c r="AC233" s="214" t="inlineStr">
        <is>
          <t>КИ</t>
        </is>
      </c>
    </row>
    <row r="234">
      <c r="A234" s="317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646" t="n"/>
      <c r="M234" s="647" t="inlineStr">
        <is>
          <t>Итого</t>
        </is>
      </c>
      <c r="N234" s="617" t="n"/>
      <c r="O234" s="617" t="n"/>
      <c r="P234" s="617" t="n"/>
      <c r="Q234" s="617" t="n"/>
      <c r="R234" s="617" t="n"/>
      <c r="S234" s="618" t="n"/>
      <c r="T234" s="43" t="inlineStr">
        <is>
          <t>кор</t>
        </is>
      </c>
      <c r="U234" s="648">
        <f>IFERROR(U227/H227,"0")+IFERROR(U228/H228,"0")+IFERROR(U229/H229,"0")+IFERROR(U230/H230,"0")+IFERROR(U231/H231,"0")+IFERROR(U232/H232,"0")+IFERROR(U233/H233,"0")</f>
        <v/>
      </c>
      <c r="V234" s="648">
        <f>IFERROR(V227/H227,"0")+IFERROR(V228/H228,"0")+IFERROR(V229/H229,"0")+IFERROR(V230/H230,"0")+IFERROR(V231/H231,"0")+IFERROR(V232/H232,"0")+IFERROR(V233/H233,"0")</f>
        <v/>
      </c>
      <c r="W234" s="648">
        <f>IFERROR(IF(W227="",0,W227),"0")+IFERROR(IF(W228="",0,W228),"0")+IFERROR(IF(W229="",0,W229),"0")+IFERROR(IF(W230="",0,W230),"0")+IFERROR(IF(W231="",0,W231),"0")+IFERROR(IF(W232="",0,W232),"0")+IFERROR(IF(W233="",0,W233),"0")</f>
        <v/>
      </c>
      <c r="X234" s="649" t="n"/>
      <c r="Y234" s="649" t="n"/>
    </row>
    <row r="235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646" t="n"/>
      <c r="M235" s="647" t="inlineStr">
        <is>
          <t>Итого</t>
        </is>
      </c>
      <c r="N235" s="617" t="n"/>
      <c r="O235" s="617" t="n"/>
      <c r="P235" s="617" t="n"/>
      <c r="Q235" s="617" t="n"/>
      <c r="R235" s="617" t="n"/>
      <c r="S235" s="618" t="n"/>
      <c r="T235" s="43" t="inlineStr">
        <is>
          <t>кг</t>
        </is>
      </c>
      <c r="U235" s="648">
        <f>IFERROR(SUM(U227:U233),"0")</f>
        <v/>
      </c>
      <c r="V235" s="648">
        <f>IFERROR(SUM(V227:V233),"0")</f>
        <v/>
      </c>
      <c r="W235" s="43" t="n"/>
      <c r="X235" s="649" t="n"/>
      <c r="Y235" s="649" t="n"/>
    </row>
    <row r="236" ht="14.25" customHeight="1">
      <c r="A236" s="318" t="inlineStr">
        <is>
          <t>Копченые колбасы</t>
        </is>
      </c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318" t="n"/>
      <c r="Y236" s="318" t="n"/>
    </row>
    <row r="237" ht="27" customHeight="1">
      <c r="A237" s="64" t="inlineStr">
        <is>
          <t>SU001801</t>
        </is>
      </c>
      <c r="B237" s="64" t="inlineStr">
        <is>
          <t>P003014</t>
        </is>
      </c>
      <c r="C237" s="37" t="n">
        <v>4301031154</v>
      </c>
      <c r="D237" s="308" t="n">
        <v>4607091387292</v>
      </c>
      <c r="E237" s="609" t="n"/>
      <c r="F237" s="641" t="n">
        <v>0.63</v>
      </c>
      <c r="G237" s="38" t="n">
        <v>6</v>
      </c>
      <c r="H237" s="641" t="n">
        <v>3.78</v>
      </c>
      <c r="I237" s="641" t="n">
        <v>4.04</v>
      </c>
      <c r="J237" s="38" t="n">
        <v>156</v>
      </c>
      <c r="K237" s="39" t="inlineStr">
        <is>
          <t>СК2</t>
        </is>
      </c>
      <c r="L237" s="38" t="n">
        <v>45</v>
      </c>
      <c r="M237" s="789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N237" s="643" t="n"/>
      <c r="O237" s="643" t="n"/>
      <c r="P237" s="643" t="n"/>
      <c r="Q237" s="609" t="n"/>
      <c r="R237" s="40" t="inlineStr"/>
      <c r="S237" s="40" t="inlineStr"/>
      <c r="T237" s="41" t="inlineStr">
        <is>
          <t>кг</t>
        </is>
      </c>
      <c r="U237" s="644" t="n">
        <v>0</v>
      </c>
      <c r="V237" s="645">
        <f>IFERROR(IF(U237="",0,CEILING((U237/$H237),1)*$H237),"")</f>
        <v/>
      </c>
      <c r="W237" s="42">
        <f>IFERROR(IF(V237=0,"",ROUNDUP(V237/H237,0)*0.00753),"")</f>
        <v/>
      </c>
      <c r="X237" s="69" t="inlineStr"/>
      <c r="Y237" s="70" t="inlineStr"/>
      <c r="AC237" s="215" t="inlineStr">
        <is>
          <t>КИ</t>
        </is>
      </c>
    </row>
    <row r="238" ht="27" customHeight="1">
      <c r="A238" s="64" t="inlineStr">
        <is>
          <t>SU000231</t>
        </is>
      </c>
      <c r="B238" s="64" t="inlineStr">
        <is>
          <t>P003015</t>
        </is>
      </c>
      <c r="C238" s="37" t="n">
        <v>4301031155</v>
      </c>
      <c r="D238" s="308" t="n">
        <v>4607091387315</v>
      </c>
      <c r="E238" s="609" t="n"/>
      <c r="F238" s="641" t="n">
        <v>0.7</v>
      </c>
      <c r="G238" s="38" t="n">
        <v>4</v>
      </c>
      <c r="H238" s="641" t="n">
        <v>2.8</v>
      </c>
      <c r="I238" s="641" t="n">
        <v>3.048</v>
      </c>
      <c r="J238" s="38" t="n">
        <v>156</v>
      </c>
      <c r="K238" s="39" t="inlineStr">
        <is>
          <t>СК2</t>
        </is>
      </c>
      <c r="L238" s="38" t="n">
        <v>45</v>
      </c>
      <c r="M238" s="790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N238" s="643" t="n"/>
      <c r="O238" s="643" t="n"/>
      <c r="P238" s="643" t="n"/>
      <c r="Q238" s="609" t="n"/>
      <c r="R238" s="40" t="inlineStr"/>
      <c r="S238" s="40" t="inlineStr"/>
      <c r="T238" s="41" t="inlineStr">
        <is>
          <t>кг</t>
        </is>
      </c>
      <c r="U238" s="644" t="n">
        <v>0</v>
      </c>
      <c r="V238" s="645">
        <f>IFERROR(IF(U238="",0,CEILING((U238/$H238),1)*$H238),"")</f>
        <v/>
      </c>
      <c r="W238" s="42">
        <f>IFERROR(IF(V238=0,"",ROUNDUP(V238/H238,0)*0.00753),"")</f>
        <v/>
      </c>
      <c r="X238" s="69" t="inlineStr"/>
      <c r="Y238" s="70" t="inlineStr"/>
      <c r="AC238" s="216" t="inlineStr">
        <is>
          <t>КИ</t>
        </is>
      </c>
    </row>
    <row r="239">
      <c r="A239" s="317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646" t="n"/>
      <c r="M239" s="647" t="inlineStr">
        <is>
          <t>Итого</t>
        </is>
      </c>
      <c r="N239" s="617" t="n"/>
      <c r="O239" s="617" t="n"/>
      <c r="P239" s="617" t="n"/>
      <c r="Q239" s="617" t="n"/>
      <c r="R239" s="617" t="n"/>
      <c r="S239" s="618" t="n"/>
      <c r="T239" s="43" t="inlineStr">
        <is>
          <t>кор</t>
        </is>
      </c>
      <c r="U239" s="648">
        <f>IFERROR(U237/H237,"0")+IFERROR(U238/H238,"0")</f>
        <v/>
      </c>
      <c r="V239" s="648">
        <f>IFERROR(V237/H237,"0")+IFERROR(V238/H238,"0")</f>
        <v/>
      </c>
      <c r="W239" s="648">
        <f>IFERROR(IF(W237="",0,W237),"0")+IFERROR(IF(W238="",0,W238),"0")</f>
        <v/>
      </c>
      <c r="X239" s="649" t="n"/>
      <c r="Y239" s="649" t="n"/>
    </row>
    <row r="240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646" t="n"/>
      <c r="M240" s="647" t="inlineStr">
        <is>
          <t>Итого</t>
        </is>
      </c>
      <c r="N240" s="617" t="n"/>
      <c r="O240" s="617" t="n"/>
      <c r="P240" s="617" t="n"/>
      <c r="Q240" s="617" t="n"/>
      <c r="R240" s="617" t="n"/>
      <c r="S240" s="618" t="n"/>
      <c r="T240" s="43" t="inlineStr">
        <is>
          <t>кг</t>
        </is>
      </c>
      <c r="U240" s="648">
        <f>IFERROR(SUM(U237:U238),"0")</f>
        <v/>
      </c>
      <c r="V240" s="648">
        <f>IFERROR(SUM(V237:V238),"0")</f>
        <v/>
      </c>
      <c r="W240" s="43" t="n"/>
      <c r="X240" s="649" t="n"/>
      <c r="Y240" s="649" t="n"/>
    </row>
    <row r="241" ht="16.5" customHeight="1">
      <c r="A241" s="324" t="inlineStr">
        <is>
          <t>Бавария</t>
        </is>
      </c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324" t="n"/>
      <c r="Y241" s="324" t="n"/>
    </row>
    <row r="242" ht="14.25" customHeight="1">
      <c r="A242" s="318" t="inlineStr">
        <is>
          <t>Копченые колбасы</t>
        </is>
      </c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318" t="n"/>
      <c r="Y242" s="318" t="n"/>
    </row>
    <row r="243" ht="37.5" customHeight="1">
      <c r="A243" s="64" t="inlineStr">
        <is>
          <t>SU002061</t>
        </is>
      </c>
      <c r="B243" s="64" t="inlineStr">
        <is>
          <t>P002232</t>
        </is>
      </c>
      <c r="C243" s="37" t="n">
        <v>4301030368</v>
      </c>
      <c r="D243" s="308" t="n">
        <v>4607091383232</v>
      </c>
      <c r="E243" s="609" t="n"/>
      <c r="F243" s="641" t="n">
        <v>0.28</v>
      </c>
      <c r="G243" s="38" t="n">
        <v>6</v>
      </c>
      <c r="H243" s="641" t="n">
        <v>1.68</v>
      </c>
      <c r="I243" s="641" t="n">
        <v>2.6</v>
      </c>
      <c r="J243" s="38" t="n">
        <v>156</v>
      </c>
      <c r="K243" s="39" t="inlineStr">
        <is>
          <t>СК2</t>
        </is>
      </c>
      <c r="L243" s="38" t="n">
        <v>35</v>
      </c>
      <c r="M243" s="791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/>
      </c>
      <c r="N243" s="643" t="n"/>
      <c r="O243" s="643" t="n"/>
      <c r="P243" s="643" t="n"/>
      <c r="Q243" s="609" t="n"/>
      <c r="R243" s="40" t="inlineStr"/>
      <c r="S243" s="40" t="inlineStr"/>
      <c r="T243" s="41" t="inlineStr">
        <is>
          <t>кг</t>
        </is>
      </c>
      <c r="U243" s="644" t="n">
        <v>280</v>
      </c>
      <c r="V243" s="645">
        <f>IFERROR(IF(U243="",0,CEILING((U243/$H243),1)*$H243),"")</f>
        <v/>
      </c>
      <c r="W243" s="42">
        <f>IFERROR(IF(V243=0,"",ROUNDUP(V243/H243,0)*0.00753),"")</f>
        <v/>
      </c>
      <c r="X243" s="69" t="inlineStr"/>
      <c r="Y243" s="70" t="inlineStr"/>
      <c r="AC243" s="217" t="inlineStr">
        <is>
          <t>КИ</t>
        </is>
      </c>
    </row>
    <row r="244" ht="27" customHeight="1">
      <c r="A244" s="64" t="inlineStr">
        <is>
          <t>SU002252</t>
        </is>
      </c>
      <c r="B244" s="64" t="inlineStr">
        <is>
          <t>P002461</t>
        </is>
      </c>
      <c r="C244" s="37" t="n">
        <v>4301031066</v>
      </c>
      <c r="D244" s="308" t="n">
        <v>4607091383836</v>
      </c>
      <c r="E244" s="609" t="n"/>
      <c r="F244" s="641" t="n">
        <v>0.3</v>
      </c>
      <c r="G244" s="38" t="n">
        <v>6</v>
      </c>
      <c r="H244" s="641" t="n">
        <v>1.8</v>
      </c>
      <c r="I244" s="641" t="n">
        <v>2.048</v>
      </c>
      <c r="J244" s="38" t="n">
        <v>156</v>
      </c>
      <c r="K244" s="39" t="inlineStr">
        <is>
          <t>СК2</t>
        </is>
      </c>
      <c r="L244" s="38" t="n">
        <v>40</v>
      </c>
      <c r="M244" s="792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N244" s="643" t="n"/>
      <c r="O244" s="643" t="n"/>
      <c r="P244" s="643" t="n"/>
      <c r="Q244" s="609" t="n"/>
      <c r="R244" s="40" t="inlineStr"/>
      <c r="S244" s="40" t="inlineStr"/>
      <c r="T244" s="41" t="inlineStr">
        <is>
          <t>кг</t>
        </is>
      </c>
      <c r="U244" s="644" t="n">
        <v>30</v>
      </c>
      <c r="V244" s="645">
        <f>IFERROR(IF(U244="",0,CEILING((U244/$H244),1)*$H244),"")</f>
        <v/>
      </c>
      <c r="W244" s="42">
        <f>IFERROR(IF(V244=0,"",ROUNDUP(V244/H244,0)*0.00753),"")</f>
        <v/>
      </c>
      <c r="X244" s="69" t="inlineStr"/>
      <c r="Y244" s="70" t="inlineStr"/>
      <c r="AC244" s="218" t="inlineStr">
        <is>
          <t>КИ</t>
        </is>
      </c>
    </row>
    <row r="245">
      <c r="A245" s="317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646" t="n"/>
      <c r="M245" s="647" t="inlineStr">
        <is>
          <t>Итого</t>
        </is>
      </c>
      <c r="N245" s="617" t="n"/>
      <c r="O245" s="617" t="n"/>
      <c r="P245" s="617" t="n"/>
      <c r="Q245" s="617" t="n"/>
      <c r="R245" s="617" t="n"/>
      <c r="S245" s="618" t="n"/>
      <c r="T245" s="43" t="inlineStr">
        <is>
          <t>кор</t>
        </is>
      </c>
      <c r="U245" s="648">
        <f>IFERROR(U243/H243,"0")+IFERROR(U244/H244,"0")</f>
        <v/>
      </c>
      <c r="V245" s="648">
        <f>IFERROR(V243/H243,"0")+IFERROR(V244/H244,"0")</f>
        <v/>
      </c>
      <c r="W245" s="648">
        <f>IFERROR(IF(W243="",0,W243),"0")+IFERROR(IF(W244="",0,W244),"0")</f>
        <v/>
      </c>
      <c r="X245" s="649" t="n"/>
      <c r="Y245" s="649" t="n"/>
    </row>
    <row r="246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646" t="n"/>
      <c r="M246" s="647" t="inlineStr">
        <is>
          <t>Итого</t>
        </is>
      </c>
      <c r="N246" s="617" t="n"/>
      <c r="O246" s="617" t="n"/>
      <c r="P246" s="617" t="n"/>
      <c r="Q246" s="617" t="n"/>
      <c r="R246" s="617" t="n"/>
      <c r="S246" s="618" t="n"/>
      <c r="T246" s="43" t="inlineStr">
        <is>
          <t>кг</t>
        </is>
      </c>
      <c r="U246" s="648">
        <f>IFERROR(SUM(U243:U244),"0")</f>
        <v/>
      </c>
      <c r="V246" s="648">
        <f>IFERROR(SUM(V243:V244),"0")</f>
        <v/>
      </c>
      <c r="W246" s="43" t="n"/>
      <c r="X246" s="649" t="n"/>
      <c r="Y246" s="649" t="n"/>
    </row>
    <row r="247" ht="14.25" customHeight="1">
      <c r="A247" s="318" t="inlineStr">
        <is>
          <t>Сосиски</t>
        </is>
      </c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318" t="n"/>
      <c r="Y247" s="318" t="n"/>
    </row>
    <row r="248" ht="27" customHeight="1">
      <c r="A248" s="64" t="inlineStr">
        <is>
          <t>SU001835</t>
        </is>
      </c>
      <c r="B248" s="64" t="inlineStr">
        <is>
          <t>P002202</t>
        </is>
      </c>
      <c r="C248" s="37" t="n">
        <v>4301051142</v>
      </c>
      <c r="D248" s="308" t="n">
        <v>4607091387919</v>
      </c>
      <c r="E248" s="609" t="n"/>
      <c r="F248" s="641" t="n">
        <v>1.35</v>
      </c>
      <c r="G248" s="38" t="n">
        <v>6</v>
      </c>
      <c r="H248" s="641" t="n">
        <v>8.1</v>
      </c>
      <c r="I248" s="641" t="n">
        <v>8.664</v>
      </c>
      <c r="J248" s="38" t="n">
        <v>56</v>
      </c>
      <c r="K248" s="39" t="inlineStr">
        <is>
          <t>СК2</t>
        </is>
      </c>
      <c r="L248" s="38" t="n">
        <v>45</v>
      </c>
      <c r="M248" s="793">
        <f>HYPERLINK("https://abi.ru/products/Охлажденные/Стародворье/Бавария/Сосиски/P002202/","Сосиски Баварские Бавария Весовые П/а мгс Стародворье")</f>
        <v/>
      </c>
      <c r="N248" s="643" t="n"/>
      <c r="O248" s="643" t="n"/>
      <c r="P248" s="643" t="n"/>
      <c r="Q248" s="609" t="n"/>
      <c r="R248" s="40" t="inlineStr"/>
      <c r="S248" s="40" t="inlineStr"/>
      <c r="T248" s="41" t="inlineStr">
        <is>
          <t>кг</t>
        </is>
      </c>
      <c r="U248" s="644" t="n">
        <v>0</v>
      </c>
      <c r="V248" s="645">
        <f>IFERROR(IF(U248="",0,CEILING((U248/$H248),1)*$H248),"")</f>
        <v/>
      </c>
      <c r="W248" s="42">
        <f>IFERROR(IF(V248=0,"",ROUNDUP(V248/H248,0)*0.02175),"")</f>
        <v/>
      </c>
      <c r="X248" s="69" t="inlineStr"/>
      <c r="Y248" s="70" t="inlineStr"/>
      <c r="AC248" s="219" t="inlineStr">
        <is>
          <t>КИ</t>
        </is>
      </c>
    </row>
    <row r="249" ht="27" customHeight="1">
      <c r="A249" s="64" t="inlineStr">
        <is>
          <t>SU001836</t>
        </is>
      </c>
      <c r="B249" s="64" t="inlineStr">
        <is>
          <t>P002201</t>
        </is>
      </c>
      <c r="C249" s="37" t="n">
        <v>4301051109</v>
      </c>
      <c r="D249" s="308" t="n">
        <v>4607091383942</v>
      </c>
      <c r="E249" s="609" t="n"/>
      <c r="F249" s="641" t="n">
        <v>0.42</v>
      </c>
      <c r="G249" s="38" t="n">
        <v>6</v>
      </c>
      <c r="H249" s="641" t="n">
        <v>2.52</v>
      </c>
      <c r="I249" s="641" t="n">
        <v>2.792</v>
      </c>
      <c r="J249" s="38" t="n">
        <v>156</v>
      </c>
      <c r="K249" s="39" t="inlineStr">
        <is>
          <t>СК3</t>
        </is>
      </c>
      <c r="L249" s="38" t="n">
        <v>45</v>
      </c>
      <c r="M249" s="794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N249" s="643" t="n"/>
      <c r="O249" s="643" t="n"/>
      <c r="P249" s="643" t="n"/>
      <c r="Q249" s="609" t="n"/>
      <c r="R249" s="40" t="inlineStr"/>
      <c r="S249" s="40" t="inlineStr"/>
      <c r="T249" s="41" t="inlineStr">
        <is>
          <t>кг</t>
        </is>
      </c>
      <c r="U249" s="644" t="n">
        <v>1134</v>
      </c>
      <c r="V249" s="645">
        <f>IFERROR(IF(U249="",0,CEILING((U249/$H249),1)*$H249),"")</f>
        <v/>
      </c>
      <c r="W249" s="42">
        <f>IFERROR(IF(V249=0,"",ROUNDUP(V249/H249,0)*0.00753),"")</f>
        <v/>
      </c>
      <c r="X249" s="69" t="inlineStr"/>
      <c r="Y249" s="70" t="inlineStr"/>
      <c r="AC249" s="220" t="inlineStr">
        <is>
          <t>КИ</t>
        </is>
      </c>
    </row>
    <row r="250" ht="27" customHeight="1">
      <c r="A250" s="64" t="inlineStr">
        <is>
          <t>SU001970</t>
        </is>
      </c>
      <c r="B250" s="64" t="inlineStr">
        <is>
          <t>P001837</t>
        </is>
      </c>
      <c r="C250" s="37" t="n">
        <v>4301051300</v>
      </c>
      <c r="D250" s="308" t="n">
        <v>4607091383959</v>
      </c>
      <c r="E250" s="609" t="n"/>
      <c r="F250" s="641" t="n">
        <v>0.42</v>
      </c>
      <c r="G250" s="38" t="n">
        <v>6</v>
      </c>
      <c r="H250" s="641" t="n">
        <v>2.52</v>
      </c>
      <c r="I250" s="641" t="n">
        <v>2.78</v>
      </c>
      <c r="J250" s="38" t="n">
        <v>156</v>
      </c>
      <c r="K250" s="39" t="inlineStr">
        <is>
          <t>СК2</t>
        </is>
      </c>
      <c r="L250" s="38" t="n">
        <v>35</v>
      </c>
      <c r="M250" s="795">
        <f>HYPERLINK("https://abi.ru/products/Охлажденные/Стародворье/Бавария/Сосиски/P001837/","Сосиски Баварские с сыром Бавария Фикс.вес 0,42 ц/о Стародворье")</f>
        <v/>
      </c>
      <c r="N250" s="643" t="n"/>
      <c r="O250" s="643" t="n"/>
      <c r="P250" s="643" t="n"/>
      <c r="Q250" s="609" t="n"/>
      <c r="R250" s="40" t="inlineStr"/>
      <c r="S250" s="40" t="inlineStr"/>
      <c r="T250" s="41" t="inlineStr">
        <is>
          <t>кг</t>
        </is>
      </c>
      <c r="U250" s="644" t="n">
        <v>588</v>
      </c>
      <c r="V250" s="645">
        <f>IFERROR(IF(U250="",0,CEILING((U250/$H250),1)*$H250),"")</f>
        <v/>
      </c>
      <c r="W250" s="42">
        <f>IFERROR(IF(V250=0,"",ROUNDUP(V250/H250,0)*0.00753),"")</f>
        <v/>
      </c>
      <c r="X250" s="69" t="inlineStr"/>
      <c r="Y250" s="70" t="inlineStr"/>
      <c r="AC250" s="221" t="inlineStr">
        <is>
          <t>КИ</t>
        </is>
      </c>
    </row>
    <row r="251">
      <c r="A251" s="317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646" t="n"/>
      <c r="M251" s="647" t="inlineStr">
        <is>
          <t>Итого</t>
        </is>
      </c>
      <c r="N251" s="617" t="n"/>
      <c r="O251" s="617" t="n"/>
      <c r="P251" s="617" t="n"/>
      <c r="Q251" s="617" t="n"/>
      <c r="R251" s="617" t="n"/>
      <c r="S251" s="618" t="n"/>
      <c r="T251" s="43" t="inlineStr">
        <is>
          <t>кор</t>
        </is>
      </c>
      <c r="U251" s="648">
        <f>IFERROR(U248/H248,"0")+IFERROR(U249/H249,"0")+IFERROR(U250/H250,"0")</f>
        <v/>
      </c>
      <c r="V251" s="648">
        <f>IFERROR(V248/H248,"0")+IFERROR(V249/H249,"0")+IFERROR(V250/H250,"0")</f>
        <v/>
      </c>
      <c r="W251" s="648">
        <f>IFERROR(IF(W248="",0,W248),"0")+IFERROR(IF(W249="",0,W249),"0")+IFERROR(IF(W250="",0,W250),"0")</f>
        <v/>
      </c>
      <c r="X251" s="649" t="n"/>
      <c r="Y251" s="649" t="n"/>
    </row>
    <row r="252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646" t="n"/>
      <c r="M252" s="647" t="inlineStr">
        <is>
          <t>Итого</t>
        </is>
      </c>
      <c r="N252" s="617" t="n"/>
      <c r="O252" s="617" t="n"/>
      <c r="P252" s="617" t="n"/>
      <c r="Q252" s="617" t="n"/>
      <c r="R252" s="617" t="n"/>
      <c r="S252" s="618" t="n"/>
      <c r="T252" s="43" t="inlineStr">
        <is>
          <t>кг</t>
        </is>
      </c>
      <c r="U252" s="648">
        <f>IFERROR(SUM(U248:U250),"0")</f>
        <v/>
      </c>
      <c r="V252" s="648">
        <f>IFERROR(SUM(V248:V250),"0")</f>
        <v/>
      </c>
      <c r="W252" s="43" t="n"/>
      <c r="X252" s="649" t="n"/>
      <c r="Y252" s="649" t="n"/>
    </row>
    <row r="253" ht="14.25" customHeight="1">
      <c r="A253" s="318" t="inlineStr">
        <is>
          <t>Сардельки</t>
        </is>
      </c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318" t="n"/>
      <c r="Y253" s="318" t="n"/>
    </row>
    <row r="254" ht="27" customHeight="1">
      <c r="A254" s="64" t="inlineStr">
        <is>
          <t>SU002173</t>
        </is>
      </c>
      <c r="B254" s="64" t="inlineStr">
        <is>
          <t>P002361</t>
        </is>
      </c>
      <c r="C254" s="37" t="n">
        <v>4301060324</v>
      </c>
      <c r="D254" s="308" t="n">
        <v>4607091388831</v>
      </c>
      <c r="E254" s="609" t="n"/>
      <c r="F254" s="641" t="n">
        <v>0.38</v>
      </c>
      <c r="G254" s="38" t="n">
        <v>6</v>
      </c>
      <c r="H254" s="641" t="n">
        <v>2.28</v>
      </c>
      <c r="I254" s="641" t="n">
        <v>2.552</v>
      </c>
      <c r="J254" s="38" t="n">
        <v>156</v>
      </c>
      <c r="K254" s="39" t="inlineStr">
        <is>
          <t>СК2</t>
        </is>
      </c>
      <c r="L254" s="38" t="n">
        <v>40</v>
      </c>
      <c r="M254" s="796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N254" s="643" t="n"/>
      <c r="O254" s="643" t="n"/>
      <c r="P254" s="643" t="n"/>
      <c r="Q254" s="609" t="n"/>
      <c r="R254" s="40" t="inlineStr"/>
      <c r="S254" s="40" t="inlineStr"/>
      <c r="T254" s="41" t="inlineStr">
        <is>
          <t>кг</t>
        </is>
      </c>
      <c r="U254" s="644" t="n">
        <v>57</v>
      </c>
      <c r="V254" s="645">
        <f>IFERROR(IF(U254="",0,CEILING((U254/$H254),1)*$H254),"")</f>
        <v/>
      </c>
      <c r="W254" s="42">
        <f>IFERROR(IF(V254=0,"",ROUNDUP(V254/H254,0)*0.00753),"")</f>
        <v/>
      </c>
      <c r="X254" s="69" t="inlineStr"/>
      <c r="Y254" s="70" t="inlineStr"/>
      <c r="AC254" s="222" t="inlineStr">
        <is>
          <t>КИ</t>
        </is>
      </c>
    </row>
    <row r="255">
      <c r="A255" s="317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646" t="n"/>
      <c r="M255" s="647" t="inlineStr">
        <is>
          <t>Итого</t>
        </is>
      </c>
      <c r="N255" s="617" t="n"/>
      <c r="O255" s="617" t="n"/>
      <c r="P255" s="617" t="n"/>
      <c r="Q255" s="617" t="n"/>
      <c r="R255" s="617" t="n"/>
      <c r="S255" s="618" t="n"/>
      <c r="T255" s="43" t="inlineStr">
        <is>
          <t>кор</t>
        </is>
      </c>
      <c r="U255" s="648">
        <f>IFERROR(U254/H254,"0")</f>
        <v/>
      </c>
      <c r="V255" s="648">
        <f>IFERROR(V254/H254,"0")</f>
        <v/>
      </c>
      <c r="W255" s="648">
        <f>IFERROR(IF(W254="",0,W254),"0")</f>
        <v/>
      </c>
      <c r="X255" s="649" t="n"/>
      <c r="Y255" s="649" t="n"/>
    </row>
    <row r="256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646" t="n"/>
      <c r="M256" s="647" t="inlineStr">
        <is>
          <t>Итого</t>
        </is>
      </c>
      <c r="N256" s="617" t="n"/>
      <c r="O256" s="617" t="n"/>
      <c r="P256" s="617" t="n"/>
      <c r="Q256" s="617" t="n"/>
      <c r="R256" s="617" t="n"/>
      <c r="S256" s="618" t="n"/>
      <c r="T256" s="43" t="inlineStr">
        <is>
          <t>кг</t>
        </is>
      </c>
      <c r="U256" s="648">
        <f>IFERROR(SUM(U254:U254),"0")</f>
        <v/>
      </c>
      <c r="V256" s="648">
        <f>IFERROR(SUM(V254:V254),"0")</f>
        <v/>
      </c>
      <c r="W256" s="43" t="n"/>
      <c r="X256" s="649" t="n"/>
      <c r="Y256" s="649" t="n"/>
    </row>
    <row r="257" ht="14.25" customHeight="1">
      <c r="A257" s="318" t="inlineStr">
        <is>
          <t>Сырокопченые колбасы</t>
        </is>
      </c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318" t="n"/>
      <c r="Y257" s="318" t="n"/>
    </row>
    <row r="258" ht="27" customHeight="1">
      <c r="A258" s="64" t="inlineStr">
        <is>
          <t>SU002092</t>
        </is>
      </c>
      <c r="B258" s="64" t="inlineStr">
        <is>
          <t>P002290</t>
        </is>
      </c>
      <c r="C258" s="37" t="n">
        <v>4301032015</v>
      </c>
      <c r="D258" s="308" t="n">
        <v>4607091383102</v>
      </c>
      <c r="E258" s="609" t="n"/>
      <c r="F258" s="641" t="n">
        <v>0.17</v>
      </c>
      <c r="G258" s="38" t="n">
        <v>15</v>
      </c>
      <c r="H258" s="641" t="n">
        <v>2.55</v>
      </c>
      <c r="I258" s="641" t="n">
        <v>2.975</v>
      </c>
      <c r="J258" s="38" t="n">
        <v>156</v>
      </c>
      <c r="K258" s="39" t="inlineStr">
        <is>
          <t>АК</t>
        </is>
      </c>
      <c r="L258" s="38" t="n">
        <v>180</v>
      </c>
      <c r="M258" s="797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N258" s="643" t="n"/>
      <c r="O258" s="643" t="n"/>
      <c r="P258" s="643" t="n"/>
      <c r="Q258" s="609" t="n"/>
      <c r="R258" s="40" t="inlineStr"/>
      <c r="S258" s="40" t="inlineStr"/>
      <c r="T258" s="41" t="inlineStr">
        <is>
          <t>кг</t>
        </is>
      </c>
      <c r="U258" s="644" t="n">
        <v>0</v>
      </c>
      <c r="V258" s="645">
        <f>IFERROR(IF(U258="",0,CEILING((U258/$H258),1)*$H258),"")</f>
        <v/>
      </c>
      <c r="W258" s="42">
        <f>IFERROR(IF(V258=0,"",ROUNDUP(V258/H258,0)*0.00753),"")</f>
        <v/>
      </c>
      <c r="X258" s="69" t="inlineStr"/>
      <c r="Y258" s="70" t="inlineStr"/>
      <c r="AC258" s="223" t="inlineStr">
        <is>
          <t>КИ</t>
        </is>
      </c>
    </row>
    <row r="259">
      <c r="A259" s="317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646" t="n"/>
      <c r="M259" s="647" t="inlineStr">
        <is>
          <t>Итого</t>
        </is>
      </c>
      <c r="N259" s="617" t="n"/>
      <c r="O259" s="617" t="n"/>
      <c r="P259" s="617" t="n"/>
      <c r="Q259" s="617" t="n"/>
      <c r="R259" s="617" t="n"/>
      <c r="S259" s="618" t="n"/>
      <c r="T259" s="43" t="inlineStr">
        <is>
          <t>кор</t>
        </is>
      </c>
      <c r="U259" s="648">
        <f>IFERROR(U258/H258,"0")</f>
        <v/>
      </c>
      <c r="V259" s="648">
        <f>IFERROR(V258/H258,"0")</f>
        <v/>
      </c>
      <c r="W259" s="648">
        <f>IFERROR(IF(W258="",0,W258),"0")</f>
        <v/>
      </c>
      <c r="X259" s="649" t="n"/>
      <c r="Y259" s="649" t="n"/>
    </row>
    <row r="260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646" t="n"/>
      <c r="M260" s="647" t="inlineStr">
        <is>
          <t>Итого</t>
        </is>
      </c>
      <c r="N260" s="617" t="n"/>
      <c r="O260" s="617" t="n"/>
      <c r="P260" s="617" t="n"/>
      <c r="Q260" s="617" t="n"/>
      <c r="R260" s="617" t="n"/>
      <c r="S260" s="618" t="n"/>
      <c r="T260" s="43" t="inlineStr">
        <is>
          <t>кг</t>
        </is>
      </c>
      <c r="U260" s="648">
        <f>IFERROR(SUM(U258:U258),"0")</f>
        <v/>
      </c>
      <c r="V260" s="648">
        <f>IFERROR(SUM(V258:V258),"0")</f>
        <v/>
      </c>
      <c r="W260" s="43" t="n"/>
      <c r="X260" s="649" t="n"/>
      <c r="Y260" s="649" t="n"/>
    </row>
    <row r="261" ht="14.25" customHeight="1">
      <c r="A261" s="318" t="inlineStr">
        <is>
          <t>Сыровяленые колбасы</t>
        </is>
      </c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318" t="n"/>
      <c r="Y261" s="318" t="n"/>
    </row>
    <row r="262" ht="27" customHeight="1">
      <c r="A262" s="64" t="inlineStr">
        <is>
          <t>SU002457</t>
        </is>
      </c>
      <c r="B262" s="64" t="inlineStr">
        <is>
          <t>P002756</t>
        </is>
      </c>
      <c r="C262" s="37" t="n">
        <v>4301032026</v>
      </c>
      <c r="D262" s="308" t="n">
        <v>4607091389142</v>
      </c>
      <c r="E262" s="609" t="n"/>
      <c r="F262" s="641" t="n">
        <v>0.15</v>
      </c>
      <c r="G262" s="38" t="n">
        <v>10</v>
      </c>
      <c r="H262" s="641" t="n">
        <v>1.5</v>
      </c>
      <c r="I262" s="641" t="n">
        <v>1.76</v>
      </c>
      <c r="J262" s="38" t="n">
        <v>200</v>
      </c>
      <c r="K262" s="39" t="inlineStr">
        <is>
          <t>ДК</t>
        </is>
      </c>
      <c r="L262" s="38" t="n">
        <v>150</v>
      </c>
      <c r="M262" s="798">
        <f>HYPERLINK("https://abi.ru/products/Охлажденные/Стародворье/Бавария/Сыровяленые колбасы/P002756/","С/в колбасы Филейбургская мраморная Бавария Фикс.вес 0,15 б/о в/у 150 Стародворье")</f>
        <v/>
      </c>
      <c r="N262" s="643" t="n"/>
      <c r="O262" s="643" t="n"/>
      <c r="P262" s="643" t="n"/>
      <c r="Q262" s="609" t="n"/>
      <c r="R262" s="40" t="inlineStr"/>
      <c r="S262" s="40" t="inlineStr"/>
      <c r="T262" s="41" t="inlineStr">
        <is>
          <t>кг</t>
        </is>
      </c>
      <c r="U262" s="644" t="n">
        <v>0</v>
      </c>
      <c r="V262" s="645">
        <f>IFERROR(IF(U262="",0,CEILING((U262/$H262),1)*$H262),"")</f>
        <v/>
      </c>
      <c r="W262" s="42">
        <f>IFERROR(IF(V262=0,"",ROUNDUP(V262/H262,0)*0.00673),"")</f>
        <v/>
      </c>
      <c r="X262" s="69" t="inlineStr"/>
      <c r="Y262" s="70" t="inlineStr"/>
      <c r="AC262" s="224" t="inlineStr">
        <is>
          <t>КИ</t>
        </is>
      </c>
    </row>
    <row r="263">
      <c r="A263" s="317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646" t="n"/>
      <c r="M263" s="647" t="inlineStr">
        <is>
          <t>Итого</t>
        </is>
      </c>
      <c r="N263" s="617" t="n"/>
      <c r="O263" s="617" t="n"/>
      <c r="P263" s="617" t="n"/>
      <c r="Q263" s="617" t="n"/>
      <c r="R263" s="617" t="n"/>
      <c r="S263" s="618" t="n"/>
      <c r="T263" s="43" t="inlineStr">
        <is>
          <t>кор</t>
        </is>
      </c>
      <c r="U263" s="648">
        <f>IFERROR(U262/H262,"0")</f>
        <v/>
      </c>
      <c r="V263" s="648">
        <f>IFERROR(V262/H262,"0")</f>
        <v/>
      </c>
      <c r="W263" s="648">
        <f>IFERROR(IF(W262="",0,W262),"0")</f>
        <v/>
      </c>
      <c r="X263" s="649" t="n"/>
      <c r="Y263" s="649" t="n"/>
    </row>
    <row r="264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646" t="n"/>
      <c r="M264" s="647" t="inlineStr">
        <is>
          <t>Итого</t>
        </is>
      </c>
      <c r="N264" s="617" t="n"/>
      <c r="O264" s="617" t="n"/>
      <c r="P264" s="617" t="n"/>
      <c r="Q264" s="617" t="n"/>
      <c r="R264" s="617" t="n"/>
      <c r="S264" s="618" t="n"/>
      <c r="T264" s="43" t="inlineStr">
        <is>
          <t>кг</t>
        </is>
      </c>
      <c r="U264" s="648">
        <f>IFERROR(SUM(U262:U262),"0")</f>
        <v/>
      </c>
      <c r="V264" s="648">
        <f>IFERROR(SUM(V262:V262),"0")</f>
        <v/>
      </c>
      <c r="W264" s="43" t="n"/>
      <c r="X264" s="649" t="n"/>
      <c r="Y264" s="649" t="n"/>
    </row>
    <row r="265" ht="27.75" customHeight="1">
      <c r="A265" s="323" t="inlineStr">
        <is>
          <t>Особый рецепт</t>
        </is>
      </c>
      <c r="B265" s="640" t="n"/>
      <c r="C265" s="640" t="n"/>
      <c r="D265" s="640" t="n"/>
      <c r="E265" s="640" t="n"/>
      <c r="F265" s="640" t="n"/>
      <c r="G265" s="640" t="n"/>
      <c r="H265" s="640" t="n"/>
      <c r="I265" s="640" t="n"/>
      <c r="J265" s="640" t="n"/>
      <c r="K265" s="640" t="n"/>
      <c r="L265" s="640" t="n"/>
      <c r="M265" s="640" t="n"/>
      <c r="N265" s="640" t="n"/>
      <c r="O265" s="640" t="n"/>
      <c r="P265" s="640" t="n"/>
      <c r="Q265" s="640" t="n"/>
      <c r="R265" s="640" t="n"/>
      <c r="S265" s="640" t="n"/>
      <c r="T265" s="640" t="n"/>
      <c r="U265" s="640" t="n"/>
      <c r="V265" s="640" t="n"/>
      <c r="W265" s="640" t="n"/>
      <c r="X265" s="55" t="n"/>
      <c r="Y265" s="55" t="n"/>
    </row>
    <row r="266" ht="16.5" customHeight="1">
      <c r="A266" s="324" t="inlineStr">
        <is>
          <t>Особая</t>
        </is>
      </c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324" t="n"/>
      <c r="Y266" s="324" t="n"/>
    </row>
    <row r="267" ht="14.25" customHeight="1">
      <c r="A267" s="318" t="inlineStr">
        <is>
          <t>Вареные колбасы</t>
        </is>
      </c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318" t="n"/>
      <c r="Y267" s="318" t="n"/>
    </row>
    <row r="268" ht="27" customHeight="1">
      <c r="A268" s="64" t="inlineStr">
        <is>
          <t>SU000251</t>
        </is>
      </c>
      <c r="B268" s="64" t="inlineStr">
        <is>
          <t>P002581</t>
        </is>
      </c>
      <c r="C268" s="37" t="n">
        <v>4301011239</v>
      </c>
      <c r="D268" s="308" t="n">
        <v>4607091383997</v>
      </c>
      <c r="E268" s="609" t="n"/>
      <c r="F268" s="641" t="n">
        <v>2.5</v>
      </c>
      <c r="G268" s="38" t="n">
        <v>6</v>
      </c>
      <c r="H268" s="641" t="n">
        <v>15</v>
      </c>
      <c r="I268" s="641" t="n">
        <v>15.48</v>
      </c>
      <c r="J268" s="38" t="n">
        <v>48</v>
      </c>
      <c r="K268" s="39" t="inlineStr">
        <is>
          <t>ВЗ</t>
        </is>
      </c>
      <c r="L268" s="38" t="n">
        <v>60</v>
      </c>
      <c r="M268" s="799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N268" s="643" t="n"/>
      <c r="O268" s="643" t="n"/>
      <c r="P268" s="643" t="n"/>
      <c r="Q268" s="609" t="n"/>
      <c r="R268" s="40" t="inlineStr"/>
      <c r="S268" s="40" t="inlineStr"/>
      <c r="T268" s="41" t="inlineStr">
        <is>
          <t>кг</t>
        </is>
      </c>
      <c r="U268" s="644" t="n">
        <v>0</v>
      </c>
      <c r="V268" s="645">
        <f>IFERROR(IF(U268="",0,CEILING((U268/$H268),1)*$H268),"")</f>
        <v/>
      </c>
      <c r="W268" s="42">
        <f>IFERROR(IF(V268=0,"",ROUNDUP(V268/H268,0)*0.02039),"")</f>
        <v/>
      </c>
      <c r="X268" s="69" t="inlineStr"/>
      <c r="Y268" s="70" t="inlineStr"/>
      <c r="AC268" s="225" t="inlineStr">
        <is>
          <t>КИ</t>
        </is>
      </c>
    </row>
    <row r="269" ht="27" customHeight="1">
      <c r="A269" s="64" t="inlineStr">
        <is>
          <t>SU000251</t>
        </is>
      </c>
      <c r="B269" s="64" t="inlineStr">
        <is>
          <t>P002584</t>
        </is>
      </c>
      <c r="C269" s="37" t="n">
        <v>4301011339</v>
      </c>
      <c r="D269" s="308" t="n">
        <v>4607091383997</v>
      </c>
      <c r="E269" s="609" t="n"/>
      <c r="F269" s="641" t="n">
        <v>2.5</v>
      </c>
      <c r="G269" s="38" t="n">
        <v>6</v>
      </c>
      <c r="H269" s="641" t="n">
        <v>15</v>
      </c>
      <c r="I269" s="641" t="n">
        <v>15.48</v>
      </c>
      <c r="J269" s="38" t="n">
        <v>48</v>
      </c>
      <c r="K269" s="39" t="inlineStr">
        <is>
          <t>СК2</t>
        </is>
      </c>
      <c r="L269" s="38" t="n">
        <v>60</v>
      </c>
      <c r="M269" s="800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N269" s="643" t="n"/>
      <c r="O269" s="643" t="n"/>
      <c r="P269" s="643" t="n"/>
      <c r="Q269" s="609" t="n"/>
      <c r="R269" s="40" t="inlineStr"/>
      <c r="S269" s="40" t="inlineStr"/>
      <c r="T269" s="41" t="inlineStr">
        <is>
          <t>кг</t>
        </is>
      </c>
      <c r="U269" s="644" t="n">
        <v>2200</v>
      </c>
      <c r="V269" s="645">
        <f>IFERROR(IF(U269="",0,CEILING((U269/$H269),1)*$H269),"")</f>
        <v/>
      </c>
      <c r="W269" s="42">
        <f>IFERROR(IF(V269=0,"",ROUNDUP(V269/H269,0)*0.02175),"")</f>
        <v/>
      </c>
      <c r="X269" s="69" t="inlineStr"/>
      <c r="Y269" s="70" t="inlineStr"/>
      <c r="AC269" s="226" t="inlineStr">
        <is>
          <t>КИ</t>
        </is>
      </c>
    </row>
    <row r="270" ht="27" customHeight="1">
      <c r="A270" s="64" t="inlineStr">
        <is>
          <t>SU001578</t>
        </is>
      </c>
      <c r="B270" s="64" t="inlineStr">
        <is>
          <t>P002562</t>
        </is>
      </c>
      <c r="C270" s="37" t="n">
        <v>4301011326</v>
      </c>
      <c r="D270" s="308" t="n">
        <v>4607091384130</v>
      </c>
      <c r="E270" s="609" t="n"/>
      <c r="F270" s="641" t="n">
        <v>2.5</v>
      </c>
      <c r="G270" s="38" t="n">
        <v>6</v>
      </c>
      <c r="H270" s="641" t="n">
        <v>15</v>
      </c>
      <c r="I270" s="641" t="n">
        <v>15.48</v>
      </c>
      <c r="J270" s="38" t="n">
        <v>48</v>
      </c>
      <c r="K270" s="39" t="inlineStr">
        <is>
          <t>СК2</t>
        </is>
      </c>
      <c r="L270" s="38" t="n">
        <v>60</v>
      </c>
      <c r="M270" s="801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N270" s="643" t="n"/>
      <c r="O270" s="643" t="n"/>
      <c r="P270" s="643" t="n"/>
      <c r="Q270" s="609" t="n"/>
      <c r="R270" s="40" t="inlineStr"/>
      <c r="S270" s="40" t="inlineStr"/>
      <c r="T270" s="41" t="inlineStr">
        <is>
          <t>кг</t>
        </is>
      </c>
      <c r="U270" s="644" t="n">
        <v>1000</v>
      </c>
      <c r="V270" s="645">
        <f>IFERROR(IF(U270="",0,CEILING((U270/$H270),1)*$H270),"")</f>
        <v/>
      </c>
      <c r="W270" s="42">
        <f>IFERROR(IF(V270=0,"",ROUNDUP(V270/H270,0)*0.02175),"")</f>
        <v/>
      </c>
      <c r="X270" s="69" t="inlineStr"/>
      <c r="Y270" s="70" t="inlineStr"/>
      <c r="AC270" s="227" t="inlineStr">
        <is>
          <t>КИ</t>
        </is>
      </c>
    </row>
    <row r="271" ht="27" customHeight="1">
      <c r="A271" s="64" t="inlineStr">
        <is>
          <t>SU001578</t>
        </is>
      </c>
      <c r="B271" s="64" t="inlineStr">
        <is>
          <t>P002582</t>
        </is>
      </c>
      <c r="C271" s="37" t="n">
        <v>4301011240</v>
      </c>
      <c r="D271" s="308" t="n">
        <v>4607091384130</v>
      </c>
      <c r="E271" s="609" t="n"/>
      <c r="F271" s="641" t="n">
        <v>2.5</v>
      </c>
      <c r="G271" s="38" t="n">
        <v>6</v>
      </c>
      <c r="H271" s="641" t="n">
        <v>15</v>
      </c>
      <c r="I271" s="641" t="n">
        <v>15.48</v>
      </c>
      <c r="J271" s="38" t="n">
        <v>48</v>
      </c>
      <c r="K271" s="39" t="inlineStr">
        <is>
          <t>ВЗ</t>
        </is>
      </c>
      <c r="L271" s="38" t="n">
        <v>60</v>
      </c>
      <c r="M271" s="802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N271" s="643" t="n"/>
      <c r="O271" s="643" t="n"/>
      <c r="P271" s="643" t="n"/>
      <c r="Q271" s="609" t="n"/>
      <c r="R271" s="40" t="inlineStr"/>
      <c r="S271" s="40" t="inlineStr"/>
      <c r="T271" s="41" t="inlineStr">
        <is>
          <t>кг</t>
        </is>
      </c>
      <c r="U271" s="644" t="n">
        <v>0</v>
      </c>
      <c r="V271" s="645">
        <f>IFERROR(IF(U271="",0,CEILING((U271/$H271),1)*$H271),"")</f>
        <v/>
      </c>
      <c r="W271" s="42">
        <f>IFERROR(IF(V271=0,"",ROUNDUP(V271/H271,0)*0.02039),"")</f>
        <v/>
      </c>
      <c r="X271" s="69" t="inlineStr"/>
      <c r="Y271" s="70" t="inlineStr"/>
      <c r="AC271" s="228" t="inlineStr">
        <is>
          <t>КИ</t>
        </is>
      </c>
    </row>
    <row r="272" ht="16.5" customHeight="1">
      <c r="A272" s="64" t="inlineStr">
        <is>
          <t>SU000102</t>
        </is>
      </c>
      <c r="B272" s="64" t="inlineStr">
        <is>
          <t>P002564</t>
        </is>
      </c>
      <c r="C272" s="37" t="n">
        <v>4301011330</v>
      </c>
      <c r="D272" s="308" t="n">
        <v>4607091384147</v>
      </c>
      <c r="E272" s="609" t="n"/>
      <c r="F272" s="641" t="n">
        <v>2.5</v>
      </c>
      <c r="G272" s="38" t="n">
        <v>6</v>
      </c>
      <c r="H272" s="641" t="n">
        <v>15</v>
      </c>
      <c r="I272" s="641" t="n">
        <v>15.48</v>
      </c>
      <c r="J272" s="38" t="n">
        <v>48</v>
      </c>
      <c r="K272" s="39" t="inlineStr">
        <is>
          <t>СК2</t>
        </is>
      </c>
      <c r="L272" s="38" t="n">
        <v>60</v>
      </c>
      <c r="M272" s="803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N272" s="643" t="n"/>
      <c r="O272" s="643" t="n"/>
      <c r="P272" s="643" t="n"/>
      <c r="Q272" s="609" t="n"/>
      <c r="R272" s="40" t="inlineStr"/>
      <c r="S272" s="40" t="inlineStr"/>
      <c r="T272" s="41" t="inlineStr">
        <is>
          <t>кг</t>
        </is>
      </c>
      <c r="U272" s="644" t="n">
        <v>1000</v>
      </c>
      <c r="V272" s="645">
        <f>IFERROR(IF(U272="",0,CEILING((U272/$H272),1)*$H272),"")</f>
        <v/>
      </c>
      <c r="W272" s="42">
        <f>IFERROR(IF(V272=0,"",ROUNDUP(V272/H272,0)*0.02175),"")</f>
        <v/>
      </c>
      <c r="X272" s="69" t="inlineStr"/>
      <c r="Y272" s="70" t="inlineStr"/>
      <c r="AC272" s="229" t="inlineStr">
        <is>
          <t>КИ</t>
        </is>
      </c>
    </row>
    <row r="273" ht="16.5" customHeight="1">
      <c r="A273" s="64" t="inlineStr">
        <is>
          <t>SU000102</t>
        </is>
      </c>
      <c r="B273" s="64" t="inlineStr">
        <is>
          <t>P002580</t>
        </is>
      </c>
      <c r="C273" s="37" t="n">
        <v>4301011238</v>
      </c>
      <c r="D273" s="308" t="n">
        <v>4607091384147</v>
      </c>
      <c r="E273" s="609" t="n"/>
      <c r="F273" s="641" t="n">
        <v>2.5</v>
      </c>
      <c r="G273" s="38" t="n">
        <v>6</v>
      </c>
      <c r="H273" s="641" t="n">
        <v>15</v>
      </c>
      <c r="I273" s="641" t="n">
        <v>15.48</v>
      </c>
      <c r="J273" s="38" t="n">
        <v>48</v>
      </c>
      <c r="K273" s="39" t="inlineStr">
        <is>
          <t>ВЗ</t>
        </is>
      </c>
      <c r="L273" s="38" t="n">
        <v>60</v>
      </c>
      <c r="M273" s="804" t="inlineStr">
        <is>
          <t>Вареные колбасы Особая Особая Весовые П/а Особый рецепт</t>
        </is>
      </c>
      <c r="N273" s="643" t="n"/>
      <c r="O273" s="643" t="n"/>
      <c r="P273" s="643" t="n"/>
      <c r="Q273" s="609" t="n"/>
      <c r="R273" s="40" t="inlineStr"/>
      <c r="S273" s="40" t="inlineStr"/>
      <c r="T273" s="41" t="inlineStr">
        <is>
          <t>кг</t>
        </is>
      </c>
      <c r="U273" s="644" t="n">
        <v>0</v>
      </c>
      <c r="V273" s="645">
        <f>IFERROR(IF(U273="",0,CEILING((U273/$H273),1)*$H273),"")</f>
        <v/>
      </c>
      <c r="W273" s="42">
        <f>IFERROR(IF(V273=0,"",ROUNDUP(V273/H273,0)*0.02039),"")</f>
        <v/>
      </c>
      <c r="X273" s="69" t="inlineStr"/>
      <c r="Y273" s="70" t="inlineStr"/>
      <c r="AC273" s="230" t="inlineStr">
        <is>
          <t>КИ</t>
        </is>
      </c>
    </row>
    <row r="274" ht="27" customHeight="1">
      <c r="A274" s="64" t="inlineStr">
        <is>
          <t>SU001989</t>
        </is>
      </c>
      <c r="B274" s="64" t="inlineStr">
        <is>
          <t>P002560</t>
        </is>
      </c>
      <c r="C274" s="37" t="n">
        <v>4301011327</v>
      </c>
      <c r="D274" s="308" t="n">
        <v>4607091384154</v>
      </c>
      <c r="E274" s="609" t="n"/>
      <c r="F274" s="641" t="n">
        <v>0.5</v>
      </c>
      <c r="G274" s="38" t="n">
        <v>10</v>
      </c>
      <c r="H274" s="641" t="n">
        <v>5</v>
      </c>
      <c r="I274" s="641" t="n">
        <v>5.21</v>
      </c>
      <c r="J274" s="38" t="n">
        <v>120</v>
      </c>
      <c r="K274" s="39" t="inlineStr">
        <is>
          <t>СК2</t>
        </is>
      </c>
      <c r="L274" s="38" t="n">
        <v>60</v>
      </c>
      <c r="M274" s="805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N274" s="643" t="n"/>
      <c r="O274" s="643" t="n"/>
      <c r="P274" s="643" t="n"/>
      <c r="Q274" s="609" t="n"/>
      <c r="R274" s="40" t="inlineStr"/>
      <c r="S274" s="40" t="inlineStr"/>
      <c r="T274" s="41" t="inlineStr">
        <is>
          <t>кг</t>
        </is>
      </c>
      <c r="U274" s="644" t="n">
        <v>75</v>
      </c>
      <c r="V274" s="645">
        <f>IFERROR(IF(U274="",0,CEILING((U274/$H274),1)*$H274),"")</f>
        <v/>
      </c>
      <c r="W274" s="42">
        <f>IFERROR(IF(V274=0,"",ROUNDUP(V274/H274,0)*0.00937),"")</f>
        <v/>
      </c>
      <c r="X274" s="69" t="inlineStr"/>
      <c r="Y274" s="70" t="inlineStr"/>
      <c r="AC274" s="231" t="inlineStr">
        <is>
          <t>КИ</t>
        </is>
      </c>
    </row>
    <row r="275" ht="27" customHeight="1">
      <c r="A275" s="64" t="inlineStr">
        <is>
          <t>SU000256</t>
        </is>
      </c>
      <c r="B275" s="64" t="inlineStr">
        <is>
          <t>P002565</t>
        </is>
      </c>
      <c r="C275" s="37" t="n">
        <v>4301011332</v>
      </c>
      <c r="D275" s="308" t="n">
        <v>4607091384161</v>
      </c>
      <c r="E275" s="609" t="n"/>
      <c r="F275" s="641" t="n">
        <v>0.5</v>
      </c>
      <c r="G275" s="38" t="n">
        <v>10</v>
      </c>
      <c r="H275" s="641" t="n">
        <v>5</v>
      </c>
      <c r="I275" s="641" t="n">
        <v>5.21</v>
      </c>
      <c r="J275" s="38" t="n">
        <v>120</v>
      </c>
      <c r="K275" s="39" t="inlineStr">
        <is>
          <t>СК2</t>
        </is>
      </c>
      <c r="L275" s="38" t="n">
        <v>60</v>
      </c>
      <c r="M275" s="806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N275" s="643" t="n"/>
      <c r="O275" s="643" t="n"/>
      <c r="P275" s="643" t="n"/>
      <c r="Q275" s="609" t="n"/>
      <c r="R275" s="40" t="inlineStr"/>
      <c r="S275" s="40" t="inlineStr"/>
      <c r="T275" s="41" t="inlineStr">
        <is>
          <t>кг</t>
        </is>
      </c>
      <c r="U275" s="644" t="n">
        <v>0</v>
      </c>
      <c r="V275" s="645">
        <f>IFERROR(IF(U275="",0,CEILING((U275/$H275),1)*$H275),"")</f>
        <v/>
      </c>
      <c r="W275" s="42">
        <f>IFERROR(IF(V275=0,"",ROUNDUP(V275/H275,0)*0.00937),"")</f>
        <v/>
      </c>
      <c r="X275" s="69" t="inlineStr"/>
      <c r="Y275" s="70" t="inlineStr"/>
      <c r="AC275" s="232" t="inlineStr">
        <is>
          <t>КИ</t>
        </is>
      </c>
    </row>
    <row r="276">
      <c r="A276" s="317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646" t="n"/>
      <c r="M276" s="647" t="inlineStr">
        <is>
          <t>Итого</t>
        </is>
      </c>
      <c r="N276" s="617" t="n"/>
      <c r="O276" s="617" t="n"/>
      <c r="P276" s="617" t="n"/>
      <c r="Q276" s="617" t="n"/>
      <c r="R276" s="617" t="n"/>
      <c r="S276" s="618" t="n"/>
      <c r="T276" s="43" t="inlineStr">
        <is>
          <t>кор</t>
        </is>
      </c>
      <c r="U276" s="648">
        <f>IFERROR(U268/H268,"0")+IFERROR(U269/H269,"0")+IFERROR(U270/H270,"0")+IFERROR(U271/H271,"0")+IFERROR(U272/H272,"0")+IFERROR(U273/H273,"0")+IFERROR(U274/H274,"0")+IFERROR(U275/H275,"0")</f>
        <v/>
      </c>
      <c r="V276" s="648">
        <f>IFERROR(V268/H268,"0")+IFERROR(V269/H269,"0")+IFERROR(V270/H270,"0")+IFERROR(V271/H271,"0")+IFERROR(V272/H272,"0")+IFERROR(V273/H273,"0")+IFERROR(V274/H274,"0")+IFERROR(V275/H275,"0")</f>
        <v/>
      </c>
      <c r="W276" s="648">
        <f>IFERROR(IF(W268="",0,W268),"0")+IFERROR(IF(W269="",0,W269),"0")+IFERROR(IF(W270="",0,W270),"0")+IFERROR(IF(W271="",0,W271),"0")+IFERROR(IF(W272="",0,W272),"0")+IFERROR(IF(W273="",0,W273),"0")+IFERROR(IF(W274="",0,W274),"0")+IFERROR(IF(W275="",0,W275),"0")</f>
        <v/>
      </c>
      <c r="X276" s="649" t="n"/>
      <c r="Y276" s="649" t="n"/>
    </row>
    <row r="277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646" t="n"/>
      <c r="M277" s="647" t="inlineStr">
        <is>
          <t>Итого</t>
        </is>
      </c>
      <c r="N277" s="617" t="n"/>
      <c r="O277" s="617" t="n"/>
      <c r="P277" s="617" t="n"/>
      <c r="Q277" s="617" t="n"/>
      <c r="R277" s="617" t="n"/>
      <c r="S277" s="618" t="n"/>
      <c r="T277" s="43" t="inlineStr">
        <is>
          <t>кг</t>
        </is>
      </c>
      <c r="U277" s="648">
        <f>IFERROR(SUM(U268:U275),"0")</f>
        <v/>
      </c>
      <c r="V277" s="648">
        <f>IFERROR(SUM(V268:V275),"0")</f>
        <v/>
      </c>
      <c r="W277" s="43" t="n"/>
      <c r="X277" s="649" t="n"/>
      <c r="Y277" s="649" t="n"/>
    </row>
    <row r="278" ht="14.25" customHeight="1">
      <c r="A278" s="318" t="inlineStr">
        <is>
          <t>Ветчины</t>
        </is>
      </c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318" t="n"/>
      <c r="Y278" s="318" t="n"/>
    </row>
    <row r="279" ht="27" customHeight="1">
      <c r="A279" s="64" t="inlineStr">
        <is>
          <t>SU000126</t>
        </is>
      </c>
      <c r="B279" s="64" t="inlineStr">
        <is>
          <t>P002555</t>
        </is>
      </c>
      <c r="C279" s="37" t="n">
        <v>4301020178</v>
      </c>
      <c r="D279" s="308" t="n">
        <v>4607091383980</v>
      </c>
      <c r="E279" s="609" t="n"/>
      <c r="F279" s="641" t="n">
        <v>2.5</v>
      </c>
      <c r="G279" s="38" t="n">
        <v>6</v>
      </c>
      <c r="H279" s="641" t="n">
        <v>15</v>
      </c>
      <c r="I279" s="641" t="n">
        <v>15.48</v>
      </c>
      <c r="J279" s="38" t="n">
        <v>48</v>
      </c>
      <c r="K279" s="39" t="inlineStr">
        <is>
          <t>СК1</t>
        </is>
      </c>
      <c r="L279" s="38" t="n">
        <v>50</v>
      </c>
      <c r="M279" s="807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N279" s="643" t="n"/>
      <c r="O279" s="643" t="n"/>
      <c r="P279" s="643" t="n"/>
      <c r="Q279" s="609" t="n"/>
      <c r="R279" s="40" t="inlineStr"/>
      <c r="S279" s="40" t="inlineStr"/>
      <c r="T279" s="41" t="inlineStr">
        <is>
          <t>кг</t>
        </is>
      </c>
      <c r="U279" s="644" t="n">
        <v>1800</v>
      </c>
      <c r="V279" s="645">
        <f>IFERROR(IF(U279="",0,CEILING((U279/$H279),1)*$H279),"")</f>
        <v/>
      </c>
      <c r="W279" s="42">
        <f>IFERROR(IF(V279=0,"",ROUNDUP(V279/H279,0)*0.02175),"")</f>
        <v/>
      </c>
      <c r="X279" s="69" t="inlineStr"/>
      <c r="Y279" s="70" t="inlineStr"/>
      <c r="AC279" s="233" t="inlineStr">
        <is>
          <t>КИ</t>
        </is>
      </c>
    </row>
    <row r="280" ht="27" customHeight="1">
      <c r="A280" s="64" t="inlineStr">
        <is>
          <t>SU002027</t>
        </is>
      </c>
      <c r="B280" s="64" t="inlineStr">
        <is>
          <t>P002556</t>
        </is>
      </c>
      <c r="C280" s="37" t="n">
        <v>4301020179</v>
      </c>
      <c r="D280" s="308" t="n">
        <v>4607091384178</v>
      </c>
      <c r="E280" s="609" t="n"/>
      <c r="F280" s="641" t="n">
        <v>0.4</v>
      </c>
      <c r="G280" s="38" t="n">
        <v>10</v>
      </c>
      <c r="H280" s="641" t="n">
        <v>4</v>
      </c>
      <c r="I280" s="641" t="n">
        <v>4.24</v>
      </c>
      <c r="J280" s="38" t="n">
        <v>120</v>
      </c>
      <c r="K280" s="39" t="inlineStr">
        <is>
          <t>СК1</t>
        </is>
      </c>
      <c r="L280" s="38" t="n">
        <v>50</v>
      </c>
      <c r="M280" s="808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N280" s="643" t="n"/>
      <c r="O280" s="643" t="n"/>
      <c r="P280" s="643" t="n"/>
      <c r="Q280" s="609" t="n"/>
      <c r="R280" s="40" t="inlineStr"/>
      <c r="S280" s="40" t="inlineStr"/>
      <c r="T280" s="41" t="inlineStr">
        <is>
          <t>кг</t>
        </is>
      </c>
      <c r="U280" s="644" t="n">
        <v>0</v>
      </c>
      <c r="V280" s="645">
        <f>IFERROR(IF(U280="",0,CEILING((U280/$H280),1)*$H280),"")</f>
        <v/>
      </c>
      <c r="W280" s="42">
        <f>IFERROR(IF(V280=0,"",ROUNDUP(V280/H280,0)*0.00937),"")</f>
        <v/>
      </c>
      <c r="X280" s="69" t="inlineStr"/>
      <c r="Y280" s="70" t="inlineStr"/>
      <c r="AC280" s="234" t="inlineStr">
        <is>
          <t>КИ</t>
        </is>
      </c>
    </row>
    <row r="281">
      <c r="A281" s="317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646" t="n"/>
      <c r="M281" s="647" t="inlineStr">
        <is>
          <t>Итого</t>
        </is>
      </c>
      <c r="N281" s="617" t="n"/>
      <c r="O281" s="617" t="n"/>
      <c r="P281" s="617" t="n"/>
      <c r="Q281" s="617" t="n"/>
      <c r="R281" s="617" t="n"/>
      <c r="S281" s="618" t="n"/>
      <c r="T281" s="43" t="inlineStr">
        <is>
          <t>кор</t>
        </is>
      </c>
      <c r="U281" s="648">
        <f>IFERROR(U279/H279,"0")+IFERROR(U280/H280,"0")</f>
        <v/>
      </c>
      <c r="V281" s="648">
        <f>IFERROR(V279/H279,"0")+IFERROR(V280/H280,"0")</f>
        <v/>
      </c>
      <c r="W281" s="648">
        <f>IFERROR(IF(W279="",0,W279),"0")+IFERROR(IF(W280="",0,W280),"0")</f>
        <v/>
      </c>
      <c r="X281" s="649" t="n"/>
      <c r="Y281" s="649" t="n"/>
    </row>
    <row r="282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646" t="n"/>
      <c r="M282" s="647" t="inlineStr">
        <is>
          <t>Итого</t>
        </is>
      </c>
      <c r="N282" s="617" t="n"/>
      <c r="O282" s="617" t="n"/>
      <c r="P282" s="617" t="n"/>
      <c r="Q282" s="617" t="n"/>
      <c r="R282" s="617" t="n"/>
      <c r="S282" s="618" t="n"/>
      <c r="T282" s="43" t="inlineStr">
        <is>
          <t>кг</t>
        </is>
      </c>
      <c r="U282" s="648">
        <f>IFERROR(SUM(U279:U280),"0")</f>
        <v/>
      </c>
      <c r="V282" s="648">
        <f>IFERROR(SUM(V279:V280),"0")</f>
        <v/>
      </c>
      <c r="W282" s="43" t="n"/>
      <c r="X282" s="649" t="n"/>
      <c r="Y282" s="649" t="n"/>
    </row>
    <row r="283" ht="14.25" customHeight="1">
      <c r="A283" s="318" t="inlineStr">
        <is>
          <t>Копченые колбасы</t>
        </is>
      </c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318" t="n"/>
      <c r="Y283" s="318" t="n"/>
    </row>
    <row r="284" ht="27" customHeight="1">
      <c r="A284" s="64" t="inlineStr">
        <is>
          <t>SU002362</t>
        </is>
      </c>
      <c r="B284" s="64" t="inlineStr">
        <is>
          <t>P002631</t>
        </is>
      </c>
      <c r="C284" s="37" t="n">
        <v>4301031141</v>
      </c>
      <c r="D284" s="308" t="n">
        <v>4607091384833</v>
      </c>
      <c r="E284" s="609" t="n"/>
      <c r="F284" s="641" t="n">
        <v>0.73</v>
      </c>
      <c r="G284" s="38" t="n">
        <v>6</v>
      </c>
      <c r="H284" s="641" t="n">
        <v>4.38</v>
      </c>
      <c r="I284" s="641" t="n">
        <v>4.58</v>
      </c>
      <c r="J284" s="38" t="n">
        <v>156</v>
      </c>
      <c r="K284" s="39" t="inlineStr">
        <is>
          <t>СК2</t>
        </is>
      </c>
      <c r="L284" s="38" t="n">
        <v>35</v>
      </c>
      <c r="M284" s="809">
        <f>HYPERLINK("https://abi.ru/products/Охлажденные/Особый рецепт/Особая/Копченые колбасы/P002631/","В/к колбасы Сервелат Филейный Особая Весовые Фиброуз в/у Особый рецепт")</f>
        <v/>
      </c>
      <c r="N284" s="643" t="n"/>
      <c r="O284" s="643" t="n"/>
      <c r="P284" s="643" t="n"/>
      <c r="Q284" s="609" t="n"/>
      <c r="R284" s="40" t="inlineStr"/>
      <c r="S284" s="40" t="inlineStr"/>
      <c r="T284" s="41" t="inlineStr">
        <is>
          <t>кг</t>
        </is>
      </c>
      <c r="U284" s="644" t="n">
        <v>0</v>
      </c>
      <c r="V284" s="645">
        <f>IFERROR(IF(U284="",0,CEILING((U284/$H284),1)*$H284),"")</f>
        <v/>
      </c>
      <c r="W284" s="42">
        <f>IFERROR(IF(V284=0,"",ROUNDUP(V284/H284,0)*0.00753),"")</f>
        <v/>
      </c>
      <c r="X284" s="69" t="inlineStr"/>
      <c r="Y284" s="70" t="inlineStr"/>
      <c r="AC284" s="235" t="inlineStr">
        <is>
          <t>КИ</t>
        </is>
      </c>
    </row>
    <row r="285" ht="27" customHeight="1">
      <c r="A285" s="64" t="inlineStr">
        <is>
          <t>SU002364</t>
        </is>
      </c>
      <c r="B285" s="64" t="inlineStr">
        <is>
          <t>P002633</t>
        </is>
      </c>
      <c r="C285" s="37" t="n">
        <v>4301031137</v>
      </c>
      <c r="D285" s="308" t="n">
        <v>4607091384857</v>
      </c>
      <c r="E285" s="609" t="n"/>
      <c r="F285" s="641" t="n">
        <v>0.73</v>
      </c>
      <c r="G285" s="38" t="n">
        <v>6</v>
      </c>
      <c r="H285" s="641" t="n">
        <v>4.38</v>
      </c>
      <c r="I285" s="641" t="n">
        <v>4.58</v>
      </c>
      <c r="J285" s="38" t="n">
        <v>156</v>
      </c>
      <c r="K285" s="39" t="inlineStr">
        <is>
          <t>СК2</t>
        </is>
      </c>
      <c r="L285" s="38" t="n">
        <v>35</v>
      </c>
      <c r="M285" s="810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/>
      </c>
      <c r="N285" s="643" t="n"/>
      <c r="O285" s="643" t="n"/>
      <c r="P285" s="643" t="n"/>
      <c r="Q285" s="609" t="n"/>
      <c r="R285" s="40" t="inlineStr"/>
      <c r="S285" s="40" t="inlineStr"/>
      <c r="T285" s="41" t="inlineStr">
        <is>
          <t>кг</t>
        </is>
      </c>
      <c r="U285" s="644" t="n">
        <v>0</v>
      </c>
      <c r="V285" s="645">
        <f>IFERROR(IF(U285="",0,CEILING((U285/$H285),1)*$H285),"")</f>
        <v/>
      </c>
      <c r="W285" s="42">
        <f>IFERROR(IF(V285=0,"",ROUNDUP(V285/H285,0)*0.00753),"")</f>
        <v/>
      </c>
      <c r="X285" s="69" t="inlineStr"/>
      <c r="Y285" s="70" t="inlineStr"/>
      <c r="AC285" s="236" t="inlineStr">
        <is>
          <t>КИ</t>
        </is>
      </c>
    </row>
    <row r="286">
      <c r="A286" s="317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646" t="n"/>
      <c r="M286" s="647" t="inlineStr">
        <is>
          <t>Итого</t>
        </is>
      </c>
      <c r="N286" s="617" t="n"/>
      <c r="O286" s="617" t="n"/>
      <c r="P286" s="617" t="n"/>
      <c r="Q286" s="617" t="n"/>
      <c r="R286" s="617" t="n"/>
      <c r="S286" s="618" t="n"/>
      <c r="T286" s="43" t="inlineStr">
        <is>
          <t>кор</t>
        </is>
      </c>
      <c r="U286" s="648">
        <f>IFERROR(U284/H284,"0")+IFERROR(U285/H285,"0")</f>
        <v/>
      </c>
      <c r="V286" s="648">
        <f>IFERROR(V284/H284,"0")+IFERROR(V285/H285,"0")</f>
        <v/>
      </c>
      <c r="W286" s="648">
        <f>IFERROR(IF(W284="",0,W284),"0")+IFERROR(IF(W285="",0,W285),"0")</f>
        <v/>
      </c>
      <c r="X286" s="649" t="n"/>
      <c r="Y286" s="649" t="n"/>
    </row>
    <row r="287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646" t="n"/>
      <c r="M287" s="647" t="inlineStr">
        <is>
          <t>Итого</t>
        </is>
      </c>
      <c r="N287" s="617" t="n"/>
      <c r="O287" s="617" t="n"/>
      <c r="P287" s="617" t="n"/>
      <c r="Q287" s="617" t="n"/>
      <c r="R287" s="617" t="n"/>
      <c r="S287" s="618" t="n"/>
      <c r="T287" s="43" t="inlineStr">
        <is>
          <t>кг</t>
        </is>
      </c>
      <c r="U287" s="648">
        <f>IFERROR(SUM(U284:U285),"0")</f>
        <v/>
      </c>
      <c r="V287" s="648">
        <f>IFERROR(SUM(V284:V285),"0")</f>
        <v/>
      </c>
      <c r="W287" s="43" t="n"/>
      <c r="X287" s="649" t="n"/>
      <c r="Y287" s="649" t="n"/>
    </row>
    <row r="288" ht="14.25" customHeight="1">
      <c r="A288" s="318" t="inlineStr">
        <is>
          <t>Сосиски</t>
        </is>
      </c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318" t="n"/>
      <c r="Y288" s="318" t="n"/>
    </row>
    <row r="289" ht="27" customHeight="1">
      <c r="A289" s="64" t="inlineStr">
        <is>
          <t>SU000246</t>
        </is>
      </c>
      <c r="B289" s="64" t="inlineStr">
        <is>
          <t>P002690</t>
        </is>
      </c>
      <c r="C289" s="37" t="n">
        <v>4301051298</v>
      </c>
      <c r="D289" s="308" t="n">
        <v>4607091384260</v>
      </c>
      <c r="E289" s="609" t="n"/>
      <c r="F289" s="641" t="n">
        <v>1.3</v>
      </c>
      <c r="G289" s="38" t="n">
        <v>6</v>
      </c>
      <c r="H289" s="641" t="n">
        <v>7.8</v>
      </c>
      <c r="I289" s="641" t="n">
        <v>8.364000000000001</v>
      </c>
      <c r="J289" s="38" t="n">
        <v>56</v>
      </c>
      <c r="K289" s="39" t="inlineStr">
        <is>
          <t>СК2</t>
        </is>
      </c>
      <c r="L289" s="38" t="n">
        <v>35</v>
      </c>
      <c r="M289" s="811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N289" s="643" t="n"/>
      <c r="O289" s="643" t="n"/>
      <c r="P289" s="643" t="n"/>
      <c r="Q289" s="609" t="n"/>
      <c r="R289" s="40" t="inlineStr"/>
      <c r="S289" s="40" t="inlineStr"/>
      <c r="T289" s="41" t="inlineStr">
        <is>
          <t>кг</t>
        </is>
      </c>
      <c r="U289" s="644" t="n">
        <v>0</v>
      </c>
      <c r="V289" s="645">
        <f>IFERROR(IF(U289="",0,CEILING((U289/$H289),1)*$H289),"")</f>
        <v/>
      </c>
      <c r="W289" s="42">
        <f>IFERROR(IF(V289=0,"",ROUNDUP(V289/H289,0)*0.02175),"")</f>
        <v/>
      </c>
      <c r="X289" s="69" t="inlineStr"/>
      <c r="Y289" s="70" t="inlineStr"/>
      <c r="AC289" s="237" t="inlineStr">
        <is>
          <t>КИ</t>
        </is>
      </c>
    </row>
    <row r="290">
      <c r="A290" s="317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646" t="n"/>
      <c r="M290" s="647" t="inlineStr">
        <is>
          <t>Итого</t>
        </is>
      </c>
      <c r="N290" s="617" t="n"/>
      <c r="O290" s="617" t="n"/>
      <c r="P290" s="617" t="n"/>
      <c r="Q290" s="617" t="n"/>
      <c r="R290" s="617" t="n"/>
      <c r="S290" s="618" t="n"/>
      <c r="T290" s="43" t="inlineStr">
        <is>
          <t>кор</t>
        </is>
      </c>
      <c r="U290" s="648">
        <f>IFERROR(U289/H289,"0")</f>
        <v/>
      </c>
      <c r="V290" s="648">
        <f>IFERROR(V289/H289,"0")</f>
        <v/>
      </c>
      <c r="W290" s="648">
        <f>IFERROR(IF(W289="",0,W289),"0")</f>
        <v/>
      </c>
      <c r="X290" s="649" t="n"/>
      <c r="Y290" s="649" t="n"/>
    </row>
    <row r="291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646" t="n"/>
      <c r="M291" s="647" t="inlineStr">
        <is>
          <t>Итого</t>
        </is>
      </c>
      <c r="N291" s="617" t="n"/>
      <c r="O291" s="617" t="n"/>
      <c r="P291" s="617" t="n"/>
      <c r="Q291" s="617" t="n"/>
      <c r="R291" s="617" t="n"/>
      <c r="S291" s="618" t="n"/>
      <c r="T291" s="43" t="inlineStr">
        <is>
          <t>кг</t>
        </is>
      </c>
      <c r="U291" s="648">
        <f>IFERROR(SUM(U289:U289),"0")</f>
        <v/>
      </c>
      <c r="V291" s="648">
        <f>IFERROR(SUM(V289:V289),"0")</f>
        <v/>
      </c>
      <c r="W291" s="43" t="n"/>
      <c r="X291" s="649" t="n"/>
      <c r="Y291" s="649" t="n"/>
    </row>
    <row r="292" ht="14.25" customHeight="1">
      <c r="A292" s="318" t="inlineStr">
        <is>
          <t>Сардельки</t>
        </is>
      </c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318" t="n"/>
      <c r="Y292" s="318" t="n"/>
    </row>
    <row r="293" ht="16.5" customHeight="1">
      <c r="A293" s="64" t="inlineStr">
        <is>
          <t>SU002287</t>
        </is>
      </c>
      <c r="B293" s="64" t="inlineStr">
        <is>
          <t>P002490</t>
        </is>
      </c>
      <c r="C293" s="37" t="n">
        <v>4301060314</v>
      </c>
      <c r="D293" s="308" t="n">
        <v>4607091384673</v>
      </c>
      <c r="E293" s="609" t="n"/>
      <c r="F293" s="641" t="n">
        <v>1.3</v>
      </c>
      <c r="G293" s="38" t="n">
        <v>6</v>
      </c>
      <c r="H293" s="641" t="n">
        <v>7.8</v>
      </c>
      <c r="I293" s="641" t="n">
        <v>8.364000000000001</v>
      </c>
      <c r="J293" s="38" t="n">
        <v>56</v>
      </c>
      <c r="K293" s="39" t="inlineStr">
        <is>
          <t>СК2</t>
        </is>
      </c>
      <c r="L293" s="38" t="n">
        <v>30</v>
      </c>
      <c r="M293" s="812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N293" s="643" t="n"/>
      <c r="O293" s="643" t="n"/>
      <c r="P293" s="643" t="n"/>
      <c r="Q293" s="609" t="n"/>
      <c r="R293" s="40" t="inlineStr"/>
      <c r="S293" s="40" t="inlineStr"/>
      <c r="T293" s="41" t="inlineStr">
        <is>
          <t>кг</t>
        </is>
      </c>
      <c r="U293" s="644" t="n">
        <v>130</v>
      </c>
      <c r="V293" s="645">
        <f>IFERROR(IF(U293="",0,CEILING((U293/$H293),1)*$H293),"")</f>
        <v/>
      </c>
      <c r="W293" s="42">
        <f>IFERROR(IF(V293=0,"",ROUNDUP(V293/H293,0)*0.02175),"")</f>
        <v/>
      </c>
      <c r="X293" s="69" t="inlineStr"/>
      <c r="Y293" s="70" t="inlineStr"/>
      <c r="AC293" s="238" t="inlineStr">
        <is>
          <t>КИ</t>
        </is>
      </c>
    </row>
    <row r="294">
      <c r="A294" s="317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646" t="n"/>
      <c r="M294" s="647" t="inlineStr">
        <is>
          <t>Итого</t>
        </is>
      </c>
      <c r="N294" s="617" t="n"/>
      <c r="O294" s="617" t="n"/>
      <c r="P294" s="617" t="n"/>
      <c r="Q294" s="617" t="n"/>
      <c r="R294" s="617" t="n"/>
      <c r="S294" s="618" t="n"/>
      <c r="T294" s="43" t="inlineStr">
        <is>
          <t>кор</t>
        </is>
      </c>
      <c r="U294" s="648">
        <f>IFERROR(U293/H293,"0")</f>
        <v/>
      </c>
      <c r="V294" s="648">
        <f>IFERROR(V293/H293,"0")</f>
        <v/>
      </c>
      <c r="W294" s="648">
        <f>IFERROR(IF(W293="",0,W293),"0")</f>
        <v/>
      </c>
      <c r="X294" s="649" t="n"/>
      <c r="Y294" s="649" t="n"/>
    </row>
    <row r="295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646" t="n"/>
      <c r="M295" s="647" t="inlineStr">
        <is>
          <t>Итого</t>
        </is>
      </c>
      <c r="N295" s="617" t="n"/>
      <c r="O295" s="617" t="n"/>
      <c r="P295" s="617" t="n"/>
      <c r="Q295" s="617" t="n"/>
      <c r="R295" s="617" t="n"/>
      <c r="S295" s="618" t="n"/>
      <c r="T295" s="43" t="inlineStr">
        <is>
          <t>кг</t>
        </is>
      </c>
      <c r="U295" s="648">
        <f>IFERROR(SUM(U293:U293),"0")</f>
        <v/>
      </c>
      <c r="V295" s="648">
        <f>IFERROR(SUM(V293:V293),"0")</f>
        <v/>
      </c>
      <c r="W295" s="43" t="n"/>
      <c r="X295" s="649" t="n"/>
      <c r="Y295" s="649" t="n"/>
    </row>
    <row r="296" ht="16.5" customHeight="1">
      <c r="A296" s="324" t="inlineStr">
        <is>
          <t>Особая Без свинины</t>
        </is>
      </c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324" t="n"/>
      <c r="Y296" s="324" t="n"/>
    </row>
    <row r="297" ht="14.25" customHeight="1">
      <c r="A297" s="318" t="inlineStr">
        <is>
          <t>Вареные колбасы</t>
        </is>
      </c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318" t="n"/>
      <c r="Y297" s="318" t="n"/>
    </row>
    <row r="298" ht="27" customHeight="1">
      <c r="A298" s="64" t="inlineStr">
        <is>
          <t>SU002073</t>
        </is>
      </c>
      <c r="B298" s="64" t="inlineStr">
        <is>
          <t>P002563</t>
        </is>
      </c>
      <c r="C298" s="37" t="n">
        <v>4301011324</v>
      </c>
      <c r="D298" s="308" t="n">
        <v>4607091384185</v>
      </c>
      <c r="E298" s="609" t="n"/>
      <c r="F298" s="641" t="n">
        <v>0.8</v>
      </c>
      <c r="G298" s="38" t="n">
        <v>15</v>
      </c>
      <c r="H298" s="641" t="n">
        <v>12</v>
      </c>
      <c r="I298" s="641" t="n">
        <v>12.48</v>
      </c>
      <c r="J298" s="38" t="n">
        <v>56</v>
      </c>
      <c r="K298" s="39" t="inlineStr">
        <is>
          <t>СК2</t>
        </is>
      </c>
      <c r="L298" s="38" t="n">
        <v>60</v>
      </c>
      <c r="M298" s="813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N298" s="643" t="n"/>
      <c r="O298" s="643" t="n"/>
      <c r="P298" s="643" t="n"/>
      <c r="Q298" s="609" t="n"/>
      <c r="R298" s="40" t="inlineStr"/>
      <c r="S298" s="40" t="inlineStr"/>
      <c r="T298" s="41" t="inlineStr">
        <is>
          <t>кг</t>
        </is>
      </c>
      <c r="U298" s="644" t="n">
        <v>0</v>
      </c>
      <c r="V298" s="645">
        <f>IFERROR(IF(U298="",0,CEILING((U298/$H298),1)*$H298),"")</f>
        <v/>
      </c>
      <c r="W298" s="42">
        <f>IFERROR(IF(V298=0,"",ROUNDUP(V298/H298,0)*0.02175),"")</f>
        <v/>
      </c>
      <c r="X298" s="69" t="inlineStr"/>
      <c r="Y298" s="70" t="inlineStr"/>
      <c r="AC298" s="239" t="inlineStr">
        <is>
          <t>КИ</t>
        </is>
      </c>
    </row>
    <row r="299" ht="27" customHeight="1">
      <c r="A299" s="64" t="inlineStr">
        <is>
          <t>SU002187</t>
        </is>
      </c>
      <c r="B299" s="64" t="inlineStr">
        <is>
          <t>P002559</t>
        </is>
      </c>
      <c r="C299" s="37" t="n">
        <v>4301011312</v>
      </c>
      <c r="D299" s="308" t="n">
        <v>4607091384192</v>
      </c>
      <c r="E299" s="609" t="n"/>
      <c r="F299" s="641" t="n">
        <v>1.8</v>
      </c>
      <c r="G299" s="38" t="n">
        <v>6</v>
      </c>
      <c r="H299" s="641" t="n">
        <v>10.8</v>
      </c>
      <c r="I299" s="641" t="n">
        <v>11.28</v>
      </c>
      <c r="J299" s="38" t="n">
        <v>56</v>
      </c>
      <c r="K299" s="39" t="inlineStr">
        <is>
          <t>СК1</t>
        </is>
      </c>
      <c r="L299" s="38" t="n">
        <v>60</v>
      </c>
      <c r="M299" s="814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N299" s="643" t="n"/>
      <c r="O299" s="643" t="n"/>
      <c r="P299" s="643" t="n"/>
      <c r="Q299" s="609" t="n"/>
      <c r="R299" s="40" t="inlineStr"/>
      <c r="S299" s="40" t="inlineStr"/>
      <c r="T299" s="41" t="inlineStr">
        <is>
          <t>кг</t>
        </is>
      </c>
      <c r="U299" s="644" t="n">
        <v>0</v>
      </c>
      <c r="V299" s="645">
        <f>IFERROR(IF(U299="",0,CEILING((U299/$H299),1)*$H299),"")</f>
        <v/>
      </c>
      <c r="W299" s="42">
        <f>IFERROR(IF(V299=0,"",ROUNDUP(V299/H299,0)*0.02175),"")</f>
        <v/>
      </c>
      <c r="X299" s="69" t="inlineStr"/>
      <c r="Y299" s="70" t="inlineStr"/>
      <c r="AC299" s="240" t="inlineStr">
        <is>
          <t>КИ</t>
        </is>
      </c>
    </row>
    <row r="300" ht="27" customHeight="1">
      <c r="A300" s="64" t="inlineStr">
        <is>
          <t>SU002899</t>
        </is>
      </c>
      <c r="B300" s="64" t="inlineStr">
        <is>
          <t>P003323</t>
        </is>
      </c>
      <c r="C300" s="37" t="n">
        <v>4301011483</v>
      </c>
      <c r="D300" s="308" t="n">
        <v>4680115881907</v>
      </c>
      <c r="E300" s="609" t="n"/>
      <c r="F300" s="641" t="n">
        <v>1.8</v>
      </c>
      <c r="G300" s="38" t="n">
        <v>6</v>
      </c>
      <c r="H300" s="641" t="n">
        <v>10.8</v>
      </c>
      <c r="I300" s="641" t="n">
        <v>11.28</v>
      </c>
      <c r="J300" s="38" t="n">
        <v>56</v>
      </c>
      <c r="K300" s="39" t="inlineStr">
        <is>
          <t>СК2</t>
        </is>
      </c>
      <c r="L300" s="38" t="n">
        <v>60</v>
      </c>
      <c r="M300" s="815" t="inlineStr">
        <is>
          <t>Вареные колбасы "Молочная оригинальная" Вес П/а ТМ "Особый рецепт" большой батон</t>
        </is>
      </c>
      <c r="N300" s="643" t="n"/>
      <c r="O300" s="643" t="n"/>
      <c r="P300" s="643" t="n"/>
      <c r="Q300" s="609" t="n"/>
      <c r="R300" s="40" t="inlineStr"/>
      <c r="S300" s="40" t="inlineStr"/>
      <c r="T300" s="41" t="inlineStr">
        <is>
          <t>кг</t>
        </is>
      </c>
      <c r="U300" s="644" t="n">
        <v>0</v>
      </c>
      <c r="V300" s="645">
        <f>IFERROR(IF(U300="",0,CEILING((U300/$H300),1)*$H300),"")</f>
        <v/>
      </c>
      <c r="W300" s="42">
        <f>IFERROR(IF(V300=0,"",ROUNDUP(V300/H300,0)*0.02175),"")</f>
        <v/>
      </c>
      <c r="X300" s="69" t="inlineStr"/>
      <c r="Y300" s="70" t="inlineStr"/>
      <c r="AC300" s="241" t="inlineStr">
        <is>
          <t>КИ</t>
        </is>
      </c>
    </row>
    <row r="301" ht="27" customHeight="1">
      <c r="A301" s="64" t="inlineStr">
        <is>
          <t>SU002462</t>
        </is>
      </c>
      <c r="B301" s="64" t="inlineStr">
        <is>
          <t>P002768</t>
        </is>
      </c>
      <c r="C301" s="37" t="n">
        <v>4301011303</v>
      </c>
      <c r="D301" s="308" t="n">
        <v>4607091384680</v>
      </c>
      <c r="E301" s="609" t="n"/>
      <c r="F301" s="641" t="n">
        <v>0.4</v>
      </c>
      <c r="G301" s="38" t="n">
        <v>10</v>
      </c>
      <c r="H301" s="641" t="n">
        <v>4</v>
      </c>
      <c r="I301" s="641" t="n">
        <v>4.21</v>
      </c>
      <c r="J301" s="38" t="n">
        <v>120</v>
      </c>
      <c r="K301" s="39" t="inlineStr">
        <is>
          <t>СК2</t>
        </is>
      </c>
      <c r="L301" s="38" t="n">
        <v>60</v>
      </c>
      <c r="M301" s="816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N301" s="643" t="n"/>
      <c r="O301" s="643" t="n"/>
      <c r="P301" s="643" t="n"/>
      <c r="Q301" s="609" t="n"/>
      <c r="R301" s="40" t="inlineStr"/>
      <c r="S301" s="40" t="inlineStr"/>
      <c r="T301" s="41" t="inlineStr">
        <is>
          <t>кг</t>
        </is>
      </c>
      <c r="U301" s="644" t="n">
        <v>0</v>
      </c>
      <c r="V301" s="645">
        <f>IFERROR(IF(U301="",0,CEILING((U301/$H301),1)*$H301),"")</f>
        <v/>
      </c>
      <c r="W301" s="42">
        <f>IFERROR(IF(V301=0,"",ROUNDUP(V301/H301,0)*0.00937),"")</f>
        <v/>
      </c>
      <c r="X301" s="69" t="inlineStr"/>
      <c r="Y301" s="70" t="inlineStr"/>
      <c r="AC301" s="242" t="inlineStr">
        <is>
          <t>КИ</t>
        </is>
      </c>
    </row>
    <row r="302">
      <c r="A302" s="317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646" t="n"/>
      <c r="M302" s="647" t="inlineStr">
        <is>
          <t>Итого</t>
        </is>
      </c>
      <c r="N302" s="617" t="n"/>
      <c r="O302" s="617" t="n"/>
      <c r="P302" s="617" t="n"/>
      <c r="Q302" s="617" t="n"/>
      <c r="R302" s="617" t="n"/>
      <c r="S302" s="618" t="n"/>
      <c r="T302" s="43" t="inlineStr">
        <is>
          <t>кор</t>
        </is>
      </c>
      <c r="U302" s="648">
        <f>IFERROR(U298/H298,"0")+IFERROR(U299/H299,"0")+IFERROR(U300/H300,"0")+IFERROR(U301/H301,"0")</f>
        <v/>
      </c>
      <c r="V302" s="648">
        <f>IFERROR(V298/H298,"0")+IFERROR(V299/H299,"0")+IFERROR(V300/H300,"0")+IFERROR(V301/H301,"0")</f>
        <v/>
      </c>
      <c r="W302" s="648">
        <f>IFERROR(IF(W298="",0,W298),"0")+IFERROR(IF(W299="",0,W299),"0")+IFERROR(IF(W300="",0,W300),"0")+IFERROR(IF(W301="",0,W301),"0")</f>
        <v/>
      </c>
      <c r="X302" s="649" t="n"/>
      <c r="Y302" s="649" t="n"/>
    </row>
    <row r="303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646" t="n"/>
      <c r="M303" s="647" t="inlineStr">
        <is>
          <t>Итого</t>
        </is>
      </c>
      <c r="N303" s="617" t="n"/>
      <c r="O303" s="617" t="n"/>
      <c r="P303" s="617" t="n"/>
      <c r="Q303" s="617" t="n"/>
      <c r="R303" s="617" t="n"/>
      <c r="S303" s="618" t="n"/>
      <c r="T303" s="43" t="inlineStr">
        <is>
          <t>кг</t>
        </is>
      </c>
      <c r="U303" s="648">
        <f>IFERROR(SUM(U298:U301),"0")</f>
        <v/>
      </c>
      <c r="V303" s="648">
        <f>IFERROR(SUM(V298:V301),"0")</f>
        <v/>
      </c>
      <c r="W303" s="43" t="n"/>
      <c r="X303" s="649" t="n"/>
      <c r="Y303" s="649" t="n"/>
    </row>
    <row r="304" ht="14.25" customHeight="1">
      <c r="A304" s="318" t="inlineStr">
        <is>
          <t>Копченые колбасы</t>
        </is>
      </c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318" t="n"/>
      <c r="Y304" s="318" t="n"/>
    </row>
    <row r="305" ht="27" customHeight="1">
      <c r="A305" s="64" t="inlineStr">
        <is>
          <t>SU002360</t>
        </is>
      </c>
      <c r="B305" s="64" t="inlineStr">
        <is>
          <t>P002629</t>
        </is>
      </c>
      <c r="C305" s="37" t="n">
        <v>4301031139</v>
      </c>
      <c r="D305" s="308" t="n">
        <v>4607091384802</v>
      </c>
      <c r="E305" s="609" t="n"/>
      <c r="F305" s="641" t="n">
        <v>0.73</v>
      </c>
      <c r="G305" s="38" t="n">
        <v>6</v>
      </c>
      <c r="H305" s="641" t="n">
        <v>4.38</v>
      </c>
      <c r="I305" s="641" t="n">
        <v>4.58</v>
      </c>
      <c r="J305" s="38" t="n">
        <v>156</v>
      </c>
      <c r="K305" s="39" t="inlineStr">
        <is>
          <t>СК2</t>
        </is>
      </c>
      <c r="L305" s="38" t="n">
        <v>35</v>
      </c>
      <c r="M305" s="817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N305" s="643" t="n"/>
      <c r="O305" s="643" t="n"/>
      <c r="P305" s="643" t="n"/>
      <c r="Q305" s="609" t="n"/>
      <c r="R305" s="40" t="inlineStr"/>
      <c r="S305" s="40" t="inlineStr"/>
      <c r="T305" s="41" t="inlineStr">
        <is>
          <t>кг</t>
        </is>
      </c>
      <c r="U305" s="644" t="n">
        <v>0</v>
      </c>
      <c r="V305" s="645">
        <f>IFERROR(IF(U305="",0,CEILING((U305/$H305),1)*$H305),"")</f>
        <v/>
      </c>
      <c r="W305" s="42">
        <f>IFERROR(IF(V305=0,"",ROUNDUP(V305/H305,0)*0.00753),"")</f>
        <v/>
      </c>
      <c r="X305" s="69" t="inlineStr"/>
      <c r="Y305" s="70" t="inlineStr"/>
      <c r="AC305" s="243" t="inlineStr">
        <is>
          <t>КИ</t>
        </is>
      </c>
    </row>
    <row r="306" ht="27" customHeight="1">
      <c r="A306" s="64" t="inlineStr">
        <is>
          <t>SU002361</t>
        </is>
      </c>
      <c r="B306" s="64" t="inlineStr">
        <is>
          <t>P002630</t>
        </is>
      </c>
      <c r="C306" s="37" t="n">
        <v>4301031140</v>
      </c>
      <c r="D306" s="308" t="n">
        <v>4607091384826</v>
      </c>
      <c r="E306" s="609" t="n"/>
      <c r="F306" s="641" t="n">
        <v>0.35</v>
      </c>
      <c r="G306" s="38" t="n">
        <v>8</v>
      </c>
      <c r="H306" s="641" t="n">
        <v>2.8</v>
      </c>
      <c r="I306" s="641" t="n">
        <v>2.9</v>
      </c>
      <c r="J306" s="38" t="n">
        <v>234</v>
      </c>
      <c r="K306" s="39" t="inlineStr">
        <is>
          <t>СК2</t>
        </is>
      </c>
      <c r="L306" s="38" t="n">
        <v>35</v>
      </c>
      <c r="M306" s="818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N306" s="643" t="n"/>
      <c r="O306" s="643" t="n"/>
      <c r="P306" s="643" t="n"/>
      <c r="Q306" s="609" t="n"/>
      <c r="R306" s="40" t="inlineStr"/>
      <c r="S306" s="40" t="inlineStr"/>
      <c r="T306" s="41" t="inlineStr">
        <is>
          <t>кг</t>
        </is>
      </c>
      <c r="U306" s="644" t="n">
        <v>0</v>
      </c>
      <c r="V306" s="645">
        <f>IFERROR(IF(U306="",0,CEILING((U306/$H306),1)*$H306),"")</f>
        <v/>
      </c>
      <c r="W306" s="42">
        <f>IFERROR(IF(V306=0,"",ROUNDUP(V306/H306,0)*0.00502),"")</f>
        <v/>
      </c>
      <c r="X306" s="69" t="inlineStr"/>
      <c r="Y306" s="70" t="inlineStr"/>
      <c r="AC306" s="244" t="inlineStr">
        <is>
          <t>КИ</t>
        </is>
      </c>
    </row>
    <row r="307">
      <c r="A307" s="317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646" t="n"/>
      <c r="M307" s="647" t="inlineStr">
        <is>
          <t>Итого</t>
        </is>
      </c>
      <c r="N307" s="617" t="n"/>
      <c r="O307" s="617" t="n"/>
      <c r="P307" s="617" t="n"/>
      <c r="Q307" s="617" t="n"/>
      <c r="R307" s="617" t="n"/>
      <c r="S307" s="618" t="n"/>
      <c r="T307" s="43" t="inlineStr">
        <is>
          <t>кор</t>
        </is>
      </c>
      <c r="U307" s="648">
        <f>IFERROR(U305/H305,"0")+IFERROR(U306/H306,"0")</f>
        <v/>
      </c>
      <c r="V307" s="648">
        <f>IFERROR(V305/H305,"0")+IFERROR(V306/H306,"0")</f>
        <v/>
      </c>
      <c r="W307" s="648">
        <f>IFERROR(IF(W305="",0,W305),"0")+IFERROR(IF(W306="",0,W306),"0")</f>
        <v/>
      </c>
      <c r="X307" s="649" t="n"/>
      <c r="Y307" s="649" t="n"/>
    </row>
    <row r="30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646" t="n"/>
      <c r="M308" s="647" t="inlineStr">
        <is>
          <t>Итого</t>
        </is>
      </c>
      <c r="N308" s="617" t="n"/>
      <c r="O308" s="617" t="n"/>
      <c r="P308" s="617" t="n"/>
      <c r="Q308" s="617" t="n"/>
      <c r="R308" s="617" t="n"/>
      <c r="S308" s="618" t="n"/>
      <c r="T308" s="43" t="inlineStr">
        <is>
          <t>кг</t>
        </is>
      </c>
      <c r="U308" s="648">
        <f>IFERROR(SUM(U305:U306),"0")</f>
        <v/>
      </c>
      <c r="V308" s="648">
        <f>IFERROR(SUM(V305:V306),"0")</f>
        <v/>
      </c>
      <c r="W308" s="43" t="n"/>
      <c r="X308" s="649" t="n"/>
      <c r="Y308" s="649" t="n"/>
    </row>
    <row r="309" ht="14.25" customHeight="1">
      <c r="A309" s="318" t="inlineStr">
        <is>
          <t>Сосиски</t>
        </is>
      </c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318" t="n"/>
      <c r="Y309" s="318" t="n"/>
    </row>
    <row r="310" ht="27" customHeight="1">
      <c r="A310" s="64" t="inlineStr">
        <is>
          <t>SU002896</t>
        </is>
      </c>
      <c r="B310" s="64" t="inlineStr">
        <is>
          <t>P003330</t>
        </is>
      </c>
      <c r="C310" s="37" t="n">
        <v>4301051445</v>
      </c>
      <c r="D310" s="308" t="n">
        <v>4680115881976</v>
      </c>
      <c r="E310" s="609" t="n"/>
      <c r="F310" s="641" t="n">
        <v>1.3</v>
      </c>
      <c r="G310" s="38" t="n">
        <v>6</v>
      </c>
      <c r="H310" s="641" t="n">
        <v>7.8</v>
      </c>
      <c r="I310" s="641" t="n">
        <v>8.279999999999999</v>
      </c>
      <c r="J310" s="38" t="n">
        <v>56</v>
      </c>
      <c r="K310" s="39" t="inlineStr">
        <is>
          <t>СК2</t>
        </is>
      </c>
      <c r="L310" s="38" t="n">
        <v>40</v>
      </c>
      <c r="M310" s="819" t="inlineStr">
        <is>
          <t>Сосиски "Сочные без свинины" Весовые ТМ "Особый рецепт" 1,3 кг</t>
        </is>
      </c>
      <c r="N310" s="643" t="n"/>
      <c r="O310" s="643" t="n"/>
      <c r="P310" s="643" t="n"/>
      <c r="Q310" s="609" t="n"/>
      <c r="R310" s="40" t="inlineStr"/>
      <c r="S310" s="40" t="inlineStr"/>
      <c r="T310" s="41" t="inlineStr">
        <is>
          <t>кг</t>
        </is>
      </c>
      <c r="U310" s="644" t="n">
        <v>0</v>
      </c>
      <c r="V310" s="645">
        <f>IFERROR(IF(U310="",0,CEILING((U310/$H310),1)*$H310),"")</f>
        <v/>
      </c>
      <c r="W310" s="42">
        <f>IFERROR(IF(V310=0,"",ROUNDUP(V310/H310,0)*0.02175),"")</f>
        <v/>
      </c>
      <c r="X310" s="69" t="inlineStr"/>
      <c r="Y310" s="70" t="inlineStr">
        <is>
          <t>Новинка</t>
        </is>
      </c>
      <c r="AC310" s="245" t="inlineStr">
        <is>
          <t>КИ</t>
        </is>
      </c>
    </row>
    <row r="311" ht="27" customHeight="1">
      <c r="A311" s="64" t="inlineStr">
        <is>
          <t>SU002895</t>
        </is>
      </c>
      <c r="B311" s="64" t="inlineStr">
        <is>
          <t>P003329</t>
        </is>
      </c>
      <c r="C311" s="37" t="n">
        <v>4301051444</v>
      </c>
      <c r="D311" s="308" t="n">
        <v>4680115881969</v>
      </c>
      <c r="E311" s="609" t="n"/>
      <c r="F311" s="641" t="n">
        <v>0.4</v>
      </c>
      <c r="G311" s="38" t="n">
        <v>6</v>
      </c>
      <c r="H311" s="641" t="n">
        <v>2.4</v>
      </c>
      <c r="I311" s="641" t="n">
        <v>2.6</v>
      </c>
      <c r="J311" s="38" t="n">
        <v>156</v>
      </c>
      <c r="K311" s="39" t="inlineStr">
        <is>
          <t>СК2</t>
        </is>
      </c>
      <c r="L311" s="38" t="n">
        <v>40</v>
      </c>
      <c r="M311" s="820" t="inlineStr">
        <is>
          <t>Сосиски "Сочные без свинины" ф/в 0,4 кг ТМ "Особый рецепт"</t>
        </is>
      </c>
      <c r="N311" s="643" t="n"/>
      <c r="O311" s="643" t="n"/>
      <c r="P311" s="643" t="n"/>
      <c r="Q311" s="609" t="n"/>
      <c r="R311" s="40" t="inlineStr"/>
      <c r="S311" s="40" t="inlineStr"/>
      <c r="T311" s="41" t="inlineStr">
        <is>
          <t>кг</t>
        </is>
      </c>
      <c r="U311" s="644" t="n">
        <v>0</v>
      </c>
      <c r="V311" s="645">
        <f>IFERROR(IF(U311="",0,CEILING((U311/$H311),1)*$H311),"")</f>
        <v/>
      </c>
      <c r="W311" s="42">
        <f>IFERROR(IF(V311=0,"",ROUNDUP(V311/H311,0)*0.00753),"")</f>
        <v/>
      </c>
      <c r="X311" s="69" t="inlineStr"/>
      <c r="Y311" s="70" t="inlineStr">
        <is>
          <t>Новинка</t>
        </is>
      </c>
      <c r="AC311" s="246" t="inlineStr">
        <is>
          <t>КИ</t>
        </is>
      </c>
    </row>
    <row r="312" ht="27" customHeight="1">
      <c r="A312" s="64" t="inlineStr">
        <is>
          <t>SU002074</t>
        </is>
      </c>
      <c r="B312" s="64" t="inlineStr">
        <is>
          <t>P002693</t>
        </is>
      </c>
      <c r="C312" s="37" t="n">
        <v>4301051303</v>
      </c>
      <c r="D312" s="308" t="n">
        <v>4607091384246</v>
      </c>
      <c r="E312" s="609" t="n"/>
      <c r="F312" s="641" t="n">
        <v>1.3</v>
      </c>
      <c r="G312" s="38" t="n">
        <v>6</v>
      </c>
      <c r="H312" s="641" t="n">
        <v>7.8</v>
      </c>
      <c r="I312" s="641" t="n">
        <v>8.364000000000001</v>
      </c>
      <c r="J312" s="38" t="n">
        <v>56</v>
      </c>
      <c r="K312" s="39" t="inlineStr">
        <is>
          <t>СК2</t>
        </is>
      </c>
      <c r="L312" s="38" t="n">
        <v>40</v>
      </c>
      <c r="M312" s="821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N312" s="643" t="n"/>
      <c r="O312" s="643" t="n"/>
      <c r="P312" s="643" t="n"/>
      <c r="Q312" s="609" t="n"/>
      <c r="R312" s="40" t="inlineStr"/>
      <c r="S312" s="40" t="inlineStr"/>
      <c r="T312" s="41" t="inlineStr">
        <is>
          <t>кг</t>
        </is>
      </c>
      <c r="U312" s="644" t="n">
        <v>30</v>
      </c>
      <c r="V312" s="645">
        <f>IFERROR(IF(U312="",0,CEILING((U312/$H312),1)*$H312),"")</f>
        <v/>
      </c>
      <c r="W312" s="42">
        <f>IFERROR(IF(V312=0,"",ROUNDUP(V312/H312,0)*0.02175),"")</f>
        <v/>
      </c>
      <c r="X312" s="69" t="inlineStr"/>
      <c r="Y312" s="70" t="inlineStr"/>
      <c r="AC312" s="247" t="inlineStr">
        <is>
          <t>КИ</t>
        </is>
      </c>
    </row>
    <row r="313" ht="27" customHeight="1">
      <c r="A313" s="64" t="inlineStr">
        <is>
          <t>SU002205</t>
        </is>
      </c>
      <c r="B313" s="64" t="inlineStr">
        <is>
          <t>P002694</t>
        </is>
      </c>
      <c r="C313" s="37" t="n">
        <v>4301051297</v>
      </c>
      <c r="D313" s="308" t="n">
        <v>4607091384253</v>
      </c>
      <c r="E313" s="609" t="n"/>
      <c r="F313" s="641" t="n">
        <v>0.4</v>
      </c>
      <c r="G313" s="38" t="n">
        <v>6</v>
      </c>
      <c r="H313" s="641" t="n">
        <v>2.4</v>
      </c>
      <c r="I313" s="641" t="n">
        <v>2.684</v>
      </c>
      <c r="J313" s="38" t="n">
        <v>156</v>
      </c>
      <c r="K313" s="39" t="inlineStr">
        <is>
          <t>СК2</t>
        </is>
      </c>
      <c r="L313" s="38" t="n">
        <v>40</v>
      </c>
      <c r="M313" s="822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N313" s="643" t="n"/>
      <c r="O313" s="643" t="n"/>
      <c r="P313" s="643" t="n"/>
      <c r="Q313" s="609" t="n"/>
      <c r="R313" s="40" t="inlineStr"/>
      <c r="S313" s="40" t="inlineStr"/>
      <c r="T313" s="41" t="inlineStr">
        <is>
          <t>кг</t>
        </is>
      </c>
      <c r="U313" s="644" t="n">
        <v>0</v>
      </c>
      <c r="V313" s="645">
        <f>IFERROR(IF(U313="",0,CEILING((U313/$H313),1)*$H313),"")</f>
        <v/>
      </c>
      <c r="W313" s="42">
        <f>IFERROR(IF(V313=0,"",ROUNDUP(V313/H313,0)*0.00753),"")</f>
        <v/>
      </c>
      <c r="X313" s="69" t="inlineStr"/>
      <c r="Y313" s="70" t="inlineStr"/>
      <c r="AC313" s="248" t="inlineStr">
        <is>
          <t>КИ</t>
        </is>
      </c>
    </row>
    <row r="314">
      <c r="A314" s="317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646" t="n"/>
      <c r="M314" s="647" t="inlineStr">
        <is>
          <t>Итого</t>
        </is>
      </c>
      <c r="N314" s="617" t="n"/>
      <c r="O314" s="617" t="n"/>
      <c r="P314" s="617" t="n"/>
      <c r="Q314" s="617" t="n"/>
      <c r="R314" s="617" t="n"/>
      <c r="S314" s="618" t="n"/>
      <c r="T314" s="43" t="inlineStr">
        <is>
          <t>кор</t>
        </is>
      </c>
      <c r="U314" s="648">
        <f>IFERROR(U310/H310,"0")+IFERROR(U311/H311,"0")+IFERROR(U312/H312,"0")+IFERROR(U313/H313,"0")</f>
        <v/>
      </c>
      <c r="V314" s="648">
        <f>IFERROR(V310/H310,"0")+IFERROR(V311/H311,"0")+IFERROR(V312/H312,"0")+IFERROR(V313/H313,"0")</f>
        <v/>
      </c>
      <c r="W314" s="648">
        <f>IFERROR(IF(W310="",0,W310),"0")+IFERROR(IF(W311="",0,W311),"0")+IFERROR(IF(W312="",0,W312),"0")+IFERROR(IF(W313="",0,W313),"0")</f>
        <v/>
      </c>
      <c r="X314" s="649" t="n"/>
      <c r="Y314" s="649" t="n"/>
    </row>
    <row r="315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646" t="n"/>
      <c r="M315" s="647" t="inlineStr">
        <is>
          <t>Итого</t>
        </is>
      </c>
      <c r="N315" s="617" t="n"/>
      <c r="O315" s="617" t="n"/>
      <c r="P315" s="617" t="n"/>
      <c r="Q315" s="617" t="n"/>
      <c r="R315" s="617" t="n"/>
      <c r="S315" s="618" t="n"/>
      <c r="T315" s="43" t="inlineStr">
        <is>
          <t>кг</t>
        </is>
      </c>
      <c r="U315" s="648">
        <f>IFERROR(SUM(U310:U313),"0")</f>
        <v/>
      </c>
      <c r="V315" s="648">
        <f>IFERROR(SUM(V310:V313),"0")</f>
        <v/>
      </c>
      <c r="W315" s="43" t="n"/>
      <c r="X315" s="649" t="n"/>
      <c r="Y315" s="649" t="n"/>
    </row>
    <row r="316" ht="14.25" customHeight="1">
      <c r="A316" s="318" t="inlineStr">
        <is>
          <t>Сардельки</t>
        </is>
      </c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318" t="n"/>
      <c r="Y316" s="318" t="n"/>
    </row>
    <row r="317" ht="27" customHeight="1">
      <c r="A317" s="64" t="inlineStr">
        <is>
          <t>SU002472</t>
        </is>
      </c>
      <c r="B317" s="64" t="inlineStr">
        <is>
          <t>P002973</t>
        </is>
      </c>
      <c r="C317" s="37" t="n">
        <v>4301060322</v>
      </c>
      <c r="D317" s="308" t="n">
        <v>4607091389357</v>
      </c>
      <c r="E317" s="609" t="n"/>
      <c r="F317" s="641" t="n">
        <v>1.3</v>
      </c>
      <c r="G317" s="38" t="n">
        <v>6</v>
      </c>
      <c r="H317" s="641" t="n">
        <v>7.8</v>
      </c>
      <c r="I317" s="641" t="n">
        <v>8.279999999999999</v>
      </c>
      <c r="J317" s="38" t="n">
        <v>56</v>
      </c>
      <c r="K317" s="39" t="inlineStr">
        <is>
          <t>СК2</t>
        </is>
      </c>
      <c r="L317" s="38" t="n">
        <v>40</v>
      </c>
      <c r="M317" s="823" t="inlineStr">
        <is>
          <t>Сардельки Левантские Особая Без свинины Весовые NDX мгс Особый рецепт</t>
        </is>
      </c>
      <c r="N317" s="643" t="n"/>
      <c r="O317" s="643" t="n"/>
      <c r="P317" s="643" t="n"/>
      <c r="Q317" s="609" t="n"/>
      <c r="R317" s="40" t="inlineStr"/>
      <c r="S317" s="40" t="inlineStr"/>
      <c r="T317" s="41" t="inlineStr">
        <is>
          <t>кг</t>
        </is>
      </c>
      <c r="U317" s="644" t="n">
        <v>0</v>
      </c>
      <c r="V317" s="645">
        <f>IFERROR(IF(U317="",0,CEILING((U317/$H317),1)*$H317),"")</f>
        <v/>
      </c>
      <c r="W317" s="42">
        <f>IFERROR(IF(V317=0,"",ROUNDUP(V317/H317,0)*0.02175),"")</f>
        <v/>
      </c>
      <c r="X317" s="69" t="inlineStr"/>
      <c r="Y317" s="70" t="inlineStr"/>
      <c r="AC317" s="249" t="inlineStr">
        <is>
          <t>КИ</t>
        </is>
      </c>
    </row>
    <row r="318">
      <c r="A318" s="317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646" t="n"/>
      <c r="M318" s="647" t="inlineStr">
        <is>
          <t>Итого</t>
        </is>
      </c>
      <c r="N318" s="617" t="n"/>
      <c r="O318" s="617" t="n"/>
      <c r="P318" s="617" t="n"/>
      <c r="Q318" s="617" t="n"/>
      <c r="R318" s="617" t="n"/>
      <c r="S318" s="618" t="n"/>
      <c r="T318" s="43" t="inlineStr">
        <is>
          <t>кор</t>
        </is>
      </c>
      <c r="U318" s="648">
        <f>IFERROR(U317/H317,"0")</f>
        <v/>
      </c>
      <c r="V318" s="648">
        <f>IFERROR(V317/H317,"0")</f>
        <v/>
      </c>
      <c r="W318" s="648">
        <f>IFERROR(IF(W317="",0,W317),"0")</f>
        <v/>
      </c>
      <c r="X318" s="649" t="n"/>
      <c r="Y318" s="649" t="n"/>
    </row>
    <row r="319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646" t="n"/>
      <c r="M319" s="647" t="inlineStr">
        <is>
          <t>Итого</t>
        </is>
      </c>
      <c r="N319" s="617" t="n"/>
      <c r="O319" s="617" t="n"/>
      <c r="P319" s="617" t="n"/>
      <c r="Q319" s="617" t="n"/>
      <c r="R319" s="617" t="n"/>
      <c r="S319" s="618" t="n"/>
      <c r="T319" s="43" t="inlineStr">
        <is>
          <t>кг</t>
        </is>
      </c>
      <c r="U319" s="648">
        <f>IFERROR(SUM(U317:U317),"0")</f>
        <v/>
      </c>
      <c r="V319" s="648">
        <f>IFERROR(SUM(V317:V317),"0")</f>
        <v/>
      </c>
      <c r="W319" s="43" t="n"/>
      <c r="X319" s="649" t="n"/>
      <c r="Y319" s="649" t="n"/>
    </row>
    <row r="320" ht="27.75" customHeight="1">
      <c r="A320" s="323" t="inlineStr">
        <is>
          <t>Баварушка</t>
        </is>
      </c>
      <c r="B320" s="640" t="n"/>
      <c r="C320" s="640" t="n"/>
      <c r="D320" s="640" t="n"/>
      <c r="E320" s="640" t="n"/>
      <c r="F320" s="640" t="n"/>
      <c r="G320" s="640" t="n"/>
      <c r="H320" s="640" t="n"/>
      <c r="I320" s="640" t="n"/>
      <c r="J320" s="640" t="n"/>
      <c r="K320" s="640" t="n"/>
      <c r="L320" s="640" t="n"/>
      <c r="M320" s="640" t="n"/>
      <c r="N320" s="640" t="n"/>
      <c r="O320" s="640" t="n"/>
      <c r="P320" s="640" t="n"/>
      <c r="Q320" s="640" t="n"/>
      <c r="R320" s="640" t="n"/>
      <c r="S320" s="640" t="n"/>
      <c r="T320" s="640" t="n"/>
      <c r="U320" s="640" t="n"/>
      <c r="V320" s="640" t="n"/>
      <c r="W320" s="640" t="n"/>
      <c r="X320" s="55" t="n"/>
      <c r="Y320" s="55" t="n"/>
    </row>
    <row r="321" ht="16.5" customHeight="1">
      <c r="A321" s="324" t="inlineStr">
        <is>
          <t>Филейбургская</t>
        </is>
      </c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324" t="n"/>
      <c r="Y321" s="324" t="n"/>
    </row>
    <row r="322" ht="14.25" customHeight="1">
      <c r="A322" s="318" t="inlineStr">
        <is>
          <t>Вареные колбасы</t>
        </is>
      </c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318" t="n"/>
      <c r="Y322" s="318" t="n"/>
    </row>
    <row r="323" ht="27" customHeight="1">
      <c r="A323" s="64" t="inlineStr">
        <is>
          <t>SU002477</t>
        </is>
      </c>
      <c r="B323" s="64" t="inlineStr">
        <is>
          <t>P003148</t>
        </is>
      </c>
      <c r="C323" s="37" t="n">
        <v>4301011428</v>
      </c>
      <c r="D323" s="308" t="n">
        <v>4607091389708</v>
      </c>
      <c r="E323" s="609" t="n"/>
      <c r="F323" s="641" t="n">
        <v>0.45</v>
      </c>
      <c r="G323" s="38" t="n">
        <v>6</v>
      </c>
      <c r="H323" s="641" t="n">
        <v>2.7</v>
      </c>
      <c r="I323" s="641" t="n">
        <v>2.9</v>
      </c>
      <c r="J323" s="38" t="n">
        <v>156</v>
      </c>
      <c r="K323" s="39" t="inlineStr">
        <is>
          <t>СК1</t>
        </is>
      </c>
      <c r="L323" s="38" t="n">
        <v>50</v>
      </c>
      <c r="M323" s="824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N323" s="643" t="n"/>
      <c r="O323" s="643" t="n"/>
      <c r="P323" s="643" t="n"/>
      <c r="Q323" s="609" t="n"/>
      <c r="R323" s="40" t="inlineStr"/>
      <c r="S323" s="40" t="inlineStr"/>
      <c r="T323" s="41" t="inlineStr">
        <is>
          <t>кг</t>
        </is>
      </c>
      <c r="U323" s="644" t="n">
        <v>0</v>
      </c>
      <c r="V323" s="645">
        <f>IFERROR(IF(U323="",0,CEILING((U323/$H323),1)*$H323),"")</f>
        <v/>
      </c>
      <c r="W323" s="42">
        <f>IFERROR(IF(V323=0,"",ROUNDUP(V323/H323,0)*0.00753),"")</f>
        <v/>
      </c>
      <c r="X323" s="69" t="inlineStr"/>
      <c r="Y323" s="70" t="inlineStr"/>
      <c r="AC323" s="250" t="inlineStr">
        <is>
          <t>КИ</t>
        </is>
      </c>
    </row>
    <row r="324" ht="27" customHeight="1">
      <c r="A324" s="64" t="inlineStr">
        <is>
          <t>SU002476</t>
        </is>
      </c>
      <c r="B324" s="64" t="inlineStr">
        <is>
          <t>P003147</t>
        </is>
      </c>
      <c r="C324" s="37" t="n">
        <v>4301011427</v>
      </c>
      <c r="D324" s="308" t="n">
        <v>4607091389692</v>
      </c>
      <c r="E324" s="609" t="n"/>
      <c r="F324" s="641" t="n">
        <v>0.45</v>
      </c>
      <c r="G324" s="38" t="n">
        <v>6</v>
      </c>
      <c r="H324" s="641" t="n">
        <v>2.7</v>
      </c>
      <c r="I324" s="641" t="n">
        <v>2.9</v>
      </c>
      <c r="J324" s="38" t="n">
        <v>156</v>
      </c>
      <c r="K324" s="39" t="inlineStr">
        <is>
          <t>СК1</t>
        </is>
      </c>
      <c r="L324" s="38" t="n">
        <v>50</v>
      </c>
      <c r="M324" s="825" t="inlineStr">
        <is>
          <t>Вареные колбасы Филейбургская Филейбургская Фикс.Вес 0,45 П/а Баварушка</t>
        </is>
      </c>
      <c r="N324" s="643" t="n"/>
      <c r="O324" s="643" t="n"/>
      <c r="P324" s="643" t="n"/>
      <c r="Q324" s="609" t="n"/>
      <c r="R324" s="40" t="inlineStr"/>
      <c r="S324" s="40" t="inlineStr"/>
      <c r="T324" s="41" t="inlineStr">
        <is>
          <t>кг</t>
        </is>
      </c>
      <c r="U324" s="644" t="n">
        <v>22.5</v>
      </c>
      <c r="V324" s="645">
        <f>IFERROR(IF(U324="",0,CEILING((U324/$H324),1)*$H324),"")</f>
        <v/>
      </c>
      <c r="W324" s="42">
        <f>IFERROR(IF(V324=0,"",ROUNDUP(V324/H324,0)*0.00753),"")</f>
        <v/>
      </c>
      <c r="X324" s="69" t="inlineStr"/>
      <c r="Y324" s="70" t="inlineStr"/>
      <c r="AC324" s="251" t="inlineStr">
        <is>
          <t>КИ</t>
        </is>
      </c>
    </row>
    <row r="325">
      <c r="A325" s="317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646" t="n"/>
      <c r="M325" s="647" t="inlineStr">
        <is>
          <t>Итого</t>
        </is>
      </c>
      <c r="N325" s="617" t="n"/>
      <c r="O325" s="617" t="n"/>
      <c r="P325" s="617" t="n"/>
      <c r="Q325" s="617" t="n"/>
      <c r="R325" s="617" t="n"/>
      <c r="S325" s="618" t="n"/>
      <c r="T325" s="43" t="inlineStr">
        <is>
          <t>кор</t>
        </is>
      </c>
      <c r="U325" s="648">
        <f>IFERROR(U323/H323,"0")+IFERROR(U324/H324,"0")</f>
        <v/>
      </c>
      <c r="V325" s="648">
        <f>IFERROR(V323/H323,"0")+IFERROR(V324/H324,"0")</f>
        <v/>
      </c>
      <c r="W325" s="648">
        <f>IFERROR(IF(W323="",0,W323),"0")+IFERROR(IF(W324="",0,W324),"0")</f>
        <v/>
      </c>
      <c r="X325" s="649" t="n"/>
      <c r="Y325" s="649" t="n"/>
    </row>
    <row r="326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646" t="n"/>
      <c r="M326" s="647" t="inlineStr">
        <is>
          <t>Итого</t>
        </is>
      </c>
      <c r="N326" s="617" t="n"/>
      <c r="O326" s="617" t="n"/>
      <c r="P326" s="617" t="n"/>
      <c r="Q326" s="617" t="n"/>
      <c r="R326" s="617" t="n"/>
      <c r="S326" s="618" t="n"/>
      <c r="T326" s="43" t="inlineStr">
        <is>
          <t>кг</t>
        </is>
      </c>
      <c r="U326" s="648">
        <f>IFERROR(SUM(U323:U324),"0")</f>
        <v/>
      </c>
      <c r="V326" s="648">
        <f>IFERROR(SUM(V323:V324),"0")</f>
        <v/>
      </c>
      <c r="W326" s="43" t="n"/>
      <c r="X326" s="649" t="n"/>
      <c r="Y326" s="649" t="n"/>
    </row>
    <row r="327" ht="14.25" customHeight="1">
      <c r="A327" s="318" t="inlineStr">
        <is>
          <t>Копченые колбасы</t>
        </is>
      </c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318" t="n"/>
      <c r="Y327" s="318" t="n"/>
    </row>
    <row r="328" ht="27" customHeight="1">
      <c r="A328" s="64" t="inlineStr">
        <is>
          <t>SU002614</t>
        </is>
      </c>
      <c r="B328" s="64" t="inlineStr">
        <is>
          <t>P003138</t>
        </is>
      </c>
      <c r="C328" s="37" t="n">
        <v>4301031177</v>
      </c>
      <c r="D328" s="308" t="n">
        <v>4607091389753</v>
      </c>
      <c r="E328" s="609" t="n"/>
      <c r="F328" s="641" t="n">
        <v>0.7</v>
      </c>
      <c r="G328" s="38" t="n">
        <v>6</v>
      </c>
      <c r="H328" s="641" t="n">
        <v>4.2</v>
      </c>
      <c r="I328" s="641" t="n">
        <v>4.43</v>
      </c>
      <c r="J328" s="38" t="n">
        <v>156</v>
      </c>
      <c r="K328" s="39" t="inlineStr">
        <is>
          <t>СК2</t>
        </is>
      </c>
      <c r="L328" s="38" t="n">
        <v>45</v>
      </c>
      <c r="M328" s="826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N328" s="643" t="n"/>
      <c r="O328" s="643" t="n"/>
      <c r="P328" s="643" t="n"/>
      <c r="Q328" s="609" t="n"/>
      <c r="R328" s="40" t="inlineStr"/>
      <c r="S328" s="40" t="inlineStr"/>
      <c r="T328" s="41" t="inlineStr">
        <is>
          <t>кг</t>
        </is>
      </c>
      <c r="U328" s="644" t="n">
        <v>0</v>
      </c>
      <c r="V328" s="645">
        <f>IFERROR(IF(U328="",0,CEILING((U328/$H328),1)*$H328),"")</f>
        <v/>
      </c>
      <c r="W328" s="42">
        <f>IFERROR(IF(V328=0,"",ROUNDUP(V328/H328,0)*0.00753),"")</f>
        <v/>
      </c>
      <c r="X328" s="69" t="inlineStr"/>
      <c r="Y328" s="70" t="inlineStr"/>
      <c r="AC328" s="252" t="inlineStr">
        <is>
          <t>КИ</t>
        </is>
      </c>
    </row>
    <row r="329" ht="27" customHeight="1">
      <c r="A329" s="64" t="inlineStr">
        <is>
          <t>SU002615</t>
        </is>
      </c>
      <c r="B329" s="64" t="inlineStr">
        <is>
          <t>P003136</t>
        </is>
      </c>
      <c r="C329" s="37" t="n">
        <v>4301031174</v>
      </c>
      <c r="D329" s="308" t="n">
        <v>4607091389760</v>
      </c>
      <c r="E329" s="609" t="n"/>
      <c r="F329" s="641" t="n">
        <v>0.7</v>
      </c>
      <c r="G329" s="38" t="n">
        <v>6</v>
      </c>
      <c r="H329" s="641" t="n">
        <v>4.2</v>
      </c>
      <c r="I329" s="641" t="n">
        <v>4.43</v>
      </c>
      <c r="J329" s="38" t="n">
        <v>156</v>
      </c>
      <c r="K329" s="39" t="inlineStr">
        <is>
          <t>СК2</t>
        </is>
      </c>
      <c r="L329" s="38" t="n">
        <v>45</v>
      </c>
      <c r="M329" s="827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N329" s="643" t="n"/>
      <c r="O329" s="643" t="n"/>
      <c r="P329" s="643" t="n"/>
      <c r="Q329" s="609" t="n"/>
      <c r="R329" s="40" t="inlineStr"/>
      <c r="S329" s="40" t="inlineStr"/>
      <c r="T329" s="41" t="inlineStr">
        <is>
          <t>кг</t>
        </is>
      </c>
      <c r="U329" s="644" t="n">
        <v>0</v>
      </c>
      <c r="V329" s="645">
        <f>IFERROR(IF(U329="",0,CEILING((U329/$H329),1)*$H329),"")</f>
        <v/>
      </c>
      <c r="W329" s="42">
        <f>IFERROR(IF(V329=0,"",ROUNDUP(V329/H329,0)*0.00753),"")</f>
        <v/>
      </c>
      <c r="X329" s="69" t="inlineStr"/>
      <c r="Y329" s="70" t="inlineStr"/>
      <c r="AC329" s="253" t="inlineStr">
        <is>
          <t>КИ</t>
        </is>
      </c>
    </row>
    <row r="330" ht="27" customHeight="1">
      <c r="A330" s="64" t="inlineStr">
        <is>
          <t>SU002613</t>
        </is>
      </c>
      <c r="B330" s="64" t="inlineStr">
        <is>
          <t>P003133</t>
        </is>
      </c>
      <c r="C330" s="37" t="n">
        <v>4301031175</v>
      </c>
      <c r="D330" s="308" t="n">
        <v>4607091389746</v>
      </c>
      <c r="E330" s="609" t="n"/>
      <c r="F330" s="641" t="n">
        <v>0.7</v>
      </c>
      <c r="G330" s="38" t="n">
        <v>6</v>
      </c>
      <c r="H330" s="641" t="n">
        <v>4.2</v>
      </c>
      <c r="I330" s="641" t="n">
        <v>4.43</v>
      </c>
      <c r="J330" s="38" t="n">
        <v>156</v>
      </c>
      <c r="K330" s="39" t="inlineStr">
        <is>
          <t>СК2</t>
        </is>
      </c>
      <c r="L330" s="38" t="n">
        <v>45</v>
      </c>
      <c r="M330" s="828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N330" s="643" t="n"/>
      <c r="O330" s="643" t="n"/>
      <c r="P330" s="643" t="n"/>
      <c r="Q330" s="609" t="n"/>
      <c r="R330" s="40" t="inlineStr"/>
      <c r="S330" s="40" t="inlineStr"/>
      <c r="T330" s="41" t="inlineStr">
        <is>
          <t>кг</t>
        </is>
      </c>
      <c r="U330" s="644" t="n">
        <v>100</v>
      </c>
      <c r="V330" s="645">
        <f>IFERROR(IF(U330="",0,CEILING((U330/$H330),1)*$H330),"")</f>
        <v/>
      </c>
      <c r="W330" s="42">
        <f>IFERROR(IF(V330=0,"",ROUNDUP(V330/H330,0)*0.00753),"")</f>
        <v/>
      </c>
      <c r="X330" s="69" t="inlineStr"/>
      <c r="Y330" s="70" t="inlineStr"/>
      <c r="AC330" s="254" t="inlineStr">
        <is>
          <t>КИ</t>
        </is>
      </c>
    </row>
    <row r="331" ht="27" customHeight="1">
      <c r="A331" s="64" t="inlineStr">
        <is>
          <t>SU002538</t>
        </is>
      </c>
      <c r="B331" s="64" t="inlineStr">
        <is>
          <t>P003139</t>
        </is>
      </c>
      <c r="C331" s="37" t="n">
        <v>4301031178</v>
      </c>
      <c r="D331" s="308" t="n">
        <v>4607091384338</v>
      </c>
      <c r="E331" s="609" t="n"/>
      <c r="F331" s="641" t="n">
        <v>0.35</v>
      </c>
      <c r="G331" s="38" t="n">
        <v>6</v>
      </c>
      <c r="H331" s="641" t="n">
        <v>2.1</v>
      </c>
      <c r="I331" s="641" t="n">
        <v>2.23</v>
      </c>
      <c r="J331" s="38" t="n">
        <v>234</v>
      </c>
      <c r="K331" s="39" t="inlineStr">
        <is>
          <t>СК2</t>
        </is>
      </c>
      <c r="L331" s="38" t="n">
        <v>45</v>
      </c>
      <c r="M331" s="829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N331" s="643" t="n"/>
      <c r="O331" s="643" t="n"/>
      <c r="P331" s="643" t="n"/>
      <c r="Q331" s="609" t="n"/>
      <c r="R331" s="40" t="inlineStr"/>
      <c r="S331" s="40" t="inlineStr"/>
      <c r="T331" s="41" t="inlineStr">
        <is>
          <t>кг</t>
        </is>
      </c>
      <c r="U331" s="644" t="n">
        <v>140</v>
      </c>
      <c r="V331" s="645">
        <f>IFERROR(IF(U331="",0,CEILING((U331/$H331),1)*$H331),"")</f>
        <v/>
      </c>
      <c r="W331" s="42">
        <f>IFERROR(IF(V331=0,"",ROUNDUP(V331/H331,0)*0.00502),"")</f>
        <v/>
      </c>
      <c r="X331" s="69" t="inlineStr"/>
      <c r="Y331" s="70" t="inlineStr"/>
      <c r="AC331" s="255" t="inlineStr">
        <is>
          <t>КИ</t>
        </is>
      </c>
    </row>
    <row r="332" ht="37.5" customHeight="1">
      <c r="A332" s="64" t="inlineStr">
        <is>
          <t>SU002602</t>
        </is>
      </c>
      <c r="B332" s="64" t="inlineStr">
        <is>
          <t>P003132</t>
        </is>
      </c>
      <c r="C332" s="37" t="n">
        <v>4301031171</v>
      </c>
      <c r="D332" s="308" t="n">
        <v>4607091389524</v>
      </c>
      <c r="E332" s="609" t="n"/>
      <c r="F332" s="641" t="n">
        <v>0.35</v>
      </c>
      <c r="G332" s="38" t="n">
        <v>6</v>
      </c>
      <c r="H332" s="641" t="n">
        <v>2.1</v>
      </c>
      <c r="I332" s="641" t="n">
        <v>2.23</v>
      </c>
      <c r="J332" s="38" t="n">
        <v>234</v>
      </c>
      <c r="K332" s="39" t="inlineStr">
        <is>
          <t>СК2</t>
        </is>
      </c>
      <c r="L332" s="38" t="n">
        <v>45</v>
      </c>
      <c r="M332" s="830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N332" s="643" t="n"/>
      <c r="O332" s="643" t="n"/>
      <c r="P332" s="643" t="n"/>
      <c r="Q332" s="609" t="n"/>
      <c r="R332" s="40" t="inlineStr"/>
      <c r="S332" s="40" t="inlineStr"/>
      <c r="T332" s="41" t="inlineStr">
        <is>
          <t>кг</t>
        </is>
      </c>
      <c r="U332" s="644" t="n">
        <v>70</v>
      </c>
      <c r="V332" s="645">
        <f>IFERROR(IF(U332="",0,CEILING((U332/$H332),1)*$H332),"")</f>
        <v/>
      </c>
      <c r="W332" s="42">
        <f>IFERROR(IF(V332=0,"",ROUNDUP(V332/H332,0)*0.00502),"")</f>
        <v/>
      </c>
      <c r="X332" s="69" t="inlineStr"/>
      <c r="Y332" s="70" t="inlineStr"/>
      <c r="AC332" s="256" t="inlineStr">
        <is>
          <t>КИ</t>
        </is>
      </c>
    </row>
    <row r="333" ht="27" customHeight="1">
      <c r="A333" s="64" t="inlineStr">
        <is>
          <t>SU002603</t>
        </is>
      </c>
      <c r="B333" s="64" t="inlineStr">
        <is>
          <t>P003131</t>
        </is>
      </c>
      <c r="C333" s="37" t="n">
        <v>4301031170</v>
      </c>
      <c r="D333" s="308" t="n">
        <v>4607091384345</v>
      </c>
      <c r="E333" s="609" t="n"/>
      <c r="F333" s="641" t="n">
        <v>0.35</v>
      </c>
      <c r="G333" s="38" t="n">
        <v>6</v>
      </c>
      <c r="H333" s="641" t="n">
        <v>2.1</v>
      </c>
      <c r="I333" s="641" t="n">
        <v>2.23</v>
      </c>
      <c r="J333" s="38" t="n">
        <v>234</v>
      </c>
      <c r="K333" s="39" t="inlineStr">
        <is>
          <t>СК2</t>
        </is>
      </c>
      <c r="L333" s="38" t="n">
        <v>45</v>
      </c>
      <c r="M333" s="831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N333" s="643" t="n"/>
      <c r="O333" s="643" t="n"/>
      <c r="P333" s="643" t="n"/>
      <c r="Q333" s="609" t="n"/>
      <c r="R333" s="40" t="inlineStr"/>
      <c r="S333" s="40" t="inlineStr"/>
      <c r="T333" s="41" t="inlineStr">
        <is>
          <t>кг</t>
        </is>
      </c>
      <c r="U333" s="644" t="n">
        <v>0</v>
      </c>
      <c r="V333" s="645">
        <f>IFERROR(IF(U333="",0,CEILING((U333/$H333),1)*$H333),"")</f>
        <v/>
      </c>
      <c r="W333" s="42">
        <f>IFERROR(IF(V333=0,"",ROUNDUP(V333/H333,0)*0.00502),"")</f>
        <v/>
      </c>
      <c r="X333" s="69" t="inlineStr"/>
      <c r="Y333" s="70" t="inlineStr"/>
      <c r="AC333" s="257" t="inlineStr">
        <is>
          <t>КИ</t>
        </is>
      </c>
    </row>
    <row r="334" ht="27" customHeight="1">
      <c r="A334" s="64" t="inlineStr">
        <is>
          <t>SU002606</t>
        </is>
      </c>
      <c r="B334" s="64" t="inlineStr">
        <is>
          <t>P003134</t>
        </is>
      </c>
      <c r="C334" s="37" t="n">
        <v>4301031172</v>
      </c>
      <c r="D334" s="308" t="n">
        <v>4607091389531</v>
      </c>
      <c r="E334" s="609" t="n"/>
      <c r="F334" s="641" t="n">
        <v>0.35</v>
      </c>
      <c r="G334" s="38" t="n">
        <v>6</v>
      </c>
      <c r="H334" s="641" t="n">
        <v>2.1</v>
      </c>
      <c r="I334" s="641" t="n">
        <v>2.23</v>
      </c>
      <c r="J334" s="38" t="n">
        <v>234</v>
      </c>
      <c r="K334" s="39" t="inlineStr">
        <is>
          <t>СК2</t>
        </is>
      </c>
      <c r="L334" s="38" t="n">
        <v>45</v>
      </c>
      <c r="M334" s="832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N334" s="643" t="n"/>
      <c r="O334" s="643" t="n"/>
      <c r="P334" s="643" t="n"/>
      <c r="Q334" s="609" t="n"/>
      <c r="R334" s="40" t="inlineStr"/>
      <c r="S334" s="40" t="inlineStr"/>
      <c r="T334" s="41" t="inlineStr">
        <is>
          <t>кг</t>
        </is>
      </c>
      <c r="U334" s="644" t="n">
        <v>105</v>
      </c>
      <c r="V334" s="645">
        <f>IFERROR(IF(U334="",0,CEILING((U334/$H334),1)*$H334),"")</f>
        <v/>
      </c>
      <c r="W334" s="42">
        <f>IFERROR(IF(V334=0,"",ROUNDUP(V334/H334,0)*0.00502),"")</f>
        <v/>
      </c>
      <c r="X334" s="69" t="inlineStr"/>
      <c r="Y334" s="70" t="inlineStr"/>
      <c r="AC334" s="258" t="inlineStr">
        <is>
          <t>КИ</t>
        </is>
      </c>
    </row>
    <row r="335">
      <c r="A335" s="317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646" t="n"/>
      <c r="M335" s="647" t="inlineStr">
        <is>
          <t>Итого</t>
        </is>
      </c>
      <c r="N335" s="617" t="n"/>
      <c r="O335" s="617" t="n"/>
      <c r="P335" s="617" t="n"/>
      <c r="Q335" s="617" t="n"/>
      <c r="R335" s="617" t="n"/>
      <c r="S335" s="618" t="n"/>
      <c r="T335" s="43" t="inlineStr">
        <is>
          <t>кор</t>
        </is>
      </c>
      <c r="U335" s="648">
        <f>IFERROR(U328/H328,"0")+IFERROR(U329/H329,"0")+IFERROR(U330/H330,"0")+IFERROR(U331/H331,"0")+IFERROR(U332/H332,"0")+IFERROR(U333/H333,"0")+IFERROR(U334/H334,"0")</f>
        <v/>
      </c>
      <c r="V335" s="648">
        <f>IFERROR(V328/H328,"0")+IFERROR(V329/H329,"0")+IFERROR(V330/H330,"0")+IFERROR(V331/H331,"0")+IFERROR(V332/H332,"0")+IFERROR(V333/H333,"0")+IFERROR(V334/H334,"0")</f>
        <v/>
      </c>
      <c r="W335" s="648">
        <f>IFERROR(IF(W328="",0,W328),"0")+IFERROR(IF(W329="",0,W329),"0")+IFERROR(IF(W330="",0,W330),"0")+IFERROR(IF(W331="",0,W331),"0")+IFERROR(IF(W332="",0,W332),"0")+IFERROR(IF(W333="",0,W333),"0")+IFERROR(IF(W334="",0,W334),"0")</f>
        <v/>
      </c>
      <c r="X335" s="649" t="n"/>
      <c r="Y335" s="649" t="n"/>
    </row>
    <row r="336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646" t="n"/>
      <c r="M336" s="647" t="inlineStr">
        <is>
          <t>Итого</t>
        </is>
      </c>
      <c r="N336" s="617" t="n"/>
      <c r="O336" s="617" t="n"/>
      <c r="P336" s="617" t="n"/>
      <c r="Q336" s="617" t="n"/>
      <c r="R336" s="617" t="n"/>
      <c r="S336" s="618" t="n"/>
      <c r="T336" s="43" t="inlineStr">
        <is>
          <t>кг</t>
        </is>
      </c>
      <c r="U336" s="648">
        <f>IFERROR(SUM(U328:U334),"0")</f>
        <v/>
      </c>
      <c r="V336" s="648">
        <f>IFERROR(SUM(V328:V334),"0")</f>
        <v/>
      </c>
      <c r="W336" s="43" t="n"/>
      <c r="X336" s="649" t="n"/>
      <c r="Y336" s="649" t="n"/>
    </row>
    <row r="337" ht="14.25" customHeight="1">
      <c r="A337" s="318" t="inlineStr">
        <is>
          <t>Сосиски</t>
        </is>
      </c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318" t="n"/>
      <c r="Y337" s="318" t="n"/>
    </row>
    <row r="338" ht="27" customHeight="1">
      <c r="A338" s="64" t="inlineStr">
        <is>
          <t>SU002448</t>
        </is>
      </c>
      <c r="B338" s="64" t="inlineStr">
        <is>
          <t>P002914</t>
        </is>
      </c>
      <c r="C338" s="37" t="n">
        <v>4301051258</v>
      </c>
      <c r="D338" s="308" t="n">
        <v>4607091389685</v>
      </c>
      <c r="E338" s="609" t="n"/>
      <c r="F338" s="641" t="n">
        <v>1.3</v>
      </c>
      <c r="G338" s="38" t="n">
        <v>6</v>
      </c>
      <c r="H338" s="641" t="n">
        <v>7.8</v>
      </c>
      <c r="I338" s="641" t="n">
        <v>8.346</v>
      </c>
      <c r="J338" s="38" t="n">
        <v>56</v>
      </c>
      <c r="K338" s="39" t="inlineStr">
        <is>
          <t>СК3</t>
        </is>
      </c>
      <c r="L338" s="38" t="n">
        <v>45</v>
      </c>
      <c r="M338" s="833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N338" s="643" t="n"/>
      <c r="O338" s="643" t="n"/>
      <c r="P338" s="643" t="n"/>
      <c r="Q338" s="609" t="n"/>
      <c r="R338" s="40" t="inlineStr"/>
      <c r="S338" s="40" t="inlineStr"/>
      <c r="T338" s="41" t="inlineStr">
        <is>
          <t>кг</t>
        </is>
      </c>
      <c r="U338" s="644" t="n">
        <v>0</v>
      </c>
      <c r="V338" s="645">
        <f>IFERROR(IF(U338="",0,CEILING((U338/$H338),1)*$H338),"")</f>
        <v/>
      </c>
      <c r="W338" s="42">
        <f>IFERROR(IF(V338=0,"",ROUNDUP(V338/H338,0)*0.02175),"")</f>
        <v/>
      </c>
      <c r="X338" s="69" t="inlineStr"/>
      <c r="Y338" s="70" t="inlineStr"/>
      <c r="AC338" s="259" t="inlineStr">
        <is>
          <t>КИ</t>
        </is>
      </c>
    </row>
    <row r="339" ht="27" customHeight="1">
      <c r="A339" s="64" t="inlineStr">
        <is>
          <t>SU002557</t>
        </is>
      </c>
      <c r="B339" s="64" t="inlineStr">
        <is>
          <t>P003318</t>
        </is>
      </c>
      <c r="C339" s="37" t="n">
        <v>4301051431</v>
      </c>
      <c r="D339" s="308" t="n">
        <v>4607091389654</v>
      </c>
      <c r="E339" s="609" t="n"/>
      <c r="F339" s="641" t="n">
        <v>0.33</v>
      </c>
      <c r="G339" s="38" t="n">
        <v>6</v>
      </c>
      <c r="H339" s="641" t="n">
        <v>1.98</v>
      </c>
      <c r="I339" s="641" t="n">
        <v>2.258</v>
      </c>
      <c r="J339" s="38" t="n">
        <v>156</v>
      </c>
      <c r="K339" s="39" t="inlineStr">
        <is>
          <t>СК3</t>
        </is>
      </c>
      <c r="L339" s="38" t="n">
        <v>45</v>
      </c>
      <c r="M339" s="834" t="inlineStr">
        <is>
          <t>Сосиски Баварушки (с грудкой ГОСТ 31962-2013) Филейбургская Фикс.вес 0,33 П/а мгс Баварушка</t>
        </is>
      </c>
      <c r="N339" s="643" t="n"/>
      <c r="O339" s="643" t="n"/>
      <c r="P339" s="643" t="n"/>
      <c r="Q339" s="609" t="n"/>
      <c r="R339" s="40" t="inlineStr"/>
      <c r="S339" s="40" t="inlineStr"/>
      <c r="T339" s="41" t="inlineStr">
        <is>
          <t>кг</t>
        </is>
      </c>
      <c r="U339" s="644" t="n">
        <v>0</v>
      </c>
      <c r="V339" s="645">
        <f>IFERROR(IF(U339="",0,CEILING((U339/$H339),1)*$H339),"")</f>
        <v/>
      </c>
      <c r="W339" s="42">
        <f>IFERROR(IF(V339=0,"",ROUNDUP(V339/H339,0)*0.00753),"")</f>
        <v/>
      </c>
      <c r="X339" s="69" t="inlineStr"/>
      <c r="Y339" s="70" t="inlineStr"/>
      <c r="AC339" s="260" t="inlineStr">
        <is>
          <t>КИ</t>
        </is>
      </c>
    </row>
    <row r="340" ht="27" customHeight="1">
      <c r="A340" s="64" t="inlineStr">
        <is>
          <t>SU002285</t>
        </is>
      </c>
      <c r="B340" s="64" t="inlineStr">
        <is>
          <t>P002969</t>
        </is>
      </c>
      <c r="C340" s="37" t="n">
        <v>4301051284</v>
      </c>
      <c r="D340" s="308" t="n">
        <v>4607091384352</v>
      </c>
      <c r="E340" s="609" t="n"/>
      <c r="F340" s="641" t="n">
        <v>0.6</v>
      </c>
      <c r="G340" s="38" t="n">
        <v>4</v>
      </c>
      <c r="H340" s="641" t="n">
        <v>2.4</v>
      </c>
      <c r="I340" s="641" t="n">
        <v>2.646</v>
      </c>
      <c r="J340" s="38" t="n">
        <v>120</v>
      </c>
      <c r="K340" s="39" t="inlineStr">
        <is>
          <t>СК3</t>
        </is>
      </c>
      <c r="L340" s="38" t="n">
        <v>45</v>
      </c>
      <c r="M340" s="835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N340" s="643" t="n"/>
      <c r="O340" s="643" t="n"/>
      <c r="P340" s="643" t="n"/>
      <c r="Q340" s="609" t="n"/>
      <c r="R340" s="40" t="inlineStr"/>
      <c r="S340" s="40" t="inlineStr"/>
      <c r="T340" s="41" t="inlineStr">
        <is>
          <t>кг</t>
        </is>
      </c>
      <c r="U340" s="644" t="n">
        <v>0</v>
      </c>
      <c r="V340" s="645">
        <f>IFERROR(IF(U340="",0,CEILING((U340/$H340),1)*$H340),"")</f>
        <v/>
      </c>
      <c r="W340" s="42">
        <f>IFERROR(IF(V340=0,"",ROUNDUP(V340/H340,0)*0.00937),"")</f>
        <v/>
      </c>
      <c r="X340" s="69" t="inlineStr"/>
      <c r="Y340" s="70" t="inlineStr"/>
      <c r="AC340" s="261" t="inlineStr">
        <is>
          <t>КИ</t>
        </is>
      </c>
    </row>
    <row r="341" ht="27" customHeight="1">
      <c r="A341" s="64" t="inlineStr">
        <is>
          <t>SU002419</t>
        </is>
      </c>
      <c r="B341" s="64" t="inlineStr">
        <is>
          <t>P002913</t>
        </is>
      </c>
      <c r="C341" s="37" t="n">
        <v>4301051257</v>
      </c>
      <c r="D341" s="308" t="n">
        <v>4607091389661</v>
      </c>
      <c r="E341" s="609" t="n"/>
      <c r="F341" s="641" t="n">
        <v>0.55</v>
      </c>
      <c r="G341" s="38" t="n">
        <v>4</v>
      </c>
      <c r="H341" s="641" t="n">
        <v>2.2</v>
      </c>
      <c r="I341" s="641" t="n">
        <v>2.492</v>
      </c>
      <c r="J341" s="38" t="n">
        <v>120</v>
      </c>
      <c r="K341" s="39" t="inlineStr">
        <is>
          <t>СК3</t>
        </is>
      </c>
      <c r="L341" s="38" t="n">
        <v>45</v>
      </c>
      <c r="M341" s="836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N341" s="643" t="n"/>
      <c r="O341" s="643" t="n"/>
      <c r="P341" s="643" t="n"/>
      <c r="Q341" s="609" t="n"/>
      <c r="R341" s="40" t="inlineStr"/>
      <c r="S341" s="40" t="inlineStr"/>
      <c r="T341" s="41" t="inlineStr">
        <is>
          <t>кг</t>
        </is>
      </c>
      <c r="U341" s="644" t="n">
        <v>0</v>
      </c>
      <c r="V341" s="645">
        <f>IFERROR(IF(U341="",0,CEILING((U341/$H341),1)*$H341),"")</f>
        <v/>
      </c>
      <c r="W341" s="42">
        <f>IFERROR(IF(V341=0,"",ROUNDUP(V341/H341,0)*0.00937),"")</f>
        <v/>
      </c>
      <c r="X341" s="69" t="inlineStr"/>
      <c r="Y341" s="70" t="inlineStr"/>
      <c r="AC341" s="262" t="inlineStr">
        <is>
          <t>КИ</t>
        </is>
      </c>
    </row>
    <row r="342">
      <c r="A342" s="317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646" t="n"/>
      <c r="M342" s="647" t="inlineStr">
        <is>
          <t>Итого</t>
        </is>
      </c>
      <c r="N342" s="617" t="n"/>
      <c r="O342" s="617" t="n"/>
      <c r="P342" s="617" t="n"/>
      <c r="Q342" s="617" t="n"/>
      <c r="R342" s="617" t="n"/>
      <c r="S342" s="618" t="n"/>
      <c r="T342" s="43" t="inlineStr">
        <is>
          <t>кор</t>
        </is>
      </c>
      <c r="U342" s="648">
        <f>IFERROR(U338/H338,"0")+IFERROR(U339/H339,"0")+IFERROR(U340/H340,"0")+IFERROR(U341/H341,"0")</f>
        <v/>
      </c>
      <c r="V342" s="648">
        <f>IFERROR(V338/H338,"0")+IFERROR(V339/H339,"0")+IFERROR(V340/H340,"0")+IFERROR(V341/H341,"0")</f>
        <v/>
      </c>
      <c r="W342" s="648">
        <f>IFERROR(IF(W338="",0,W338),"0")+IFERROR(IF(W339="",0,W339),"0")+IFERROR(IF(W340="",0,W340),"0")+IFERROR(IF(W341="",0,W341),"0")</f>
        <v/>
      </c>
      <c r="X342" s="649" t="n"/>
      <c r="Y342" s="649" t="n"/>
    </row>
    <row r="343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646" t="n"/>
      <c r="M343" s="647" t="inlineStr">
        <is>
          <t>Итого</t>
        </is>
      </c>
      <c r="N343" s="617" t="n"/>
      <c r="O343" s="617" t="n"/>
      <c r="P343" s="617" t="n"/>
      <c r="Q343" s="617" t="n"/>
      <c r="R343" s="617" t="n"/>
      <c r="S343" s="618" t="n"/>
      <c r="T343" s="43" t="inlineStr">
        <is>
          <t>кг</t>
        </is>
      </c>
      <c r="U343" s="648">
        <f>IFERROR(SUM(U338:U341),"0")</f>
        <v/>
      </c>
      <c r="V343" s="648">
        <f>IFERROR(SUM(V338:V341),"0")</f>
        <v/>
      </c>
      <c r="W343" s="43" t="n"/>
      <c r="X343" s="649" t="n"/>
      <c r="Y343" s="649" t="n"/>
    </row>
    <row r="344" ht="14.25" customHeight="1">
      <c r="A344" s="318" t="inlineStr">
        <is>
          <t>Сардельки</t>
        </is>
      </c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318" t="n"/>
      <c r="Y344" s="318" t="n"/>
    </row>
    <row r="345" ht="27" customHeight="1">
      <c r="A345" s="64" t="inlineStr">
        <is>
          <t>SU002846</t>
        </is>
      </c>
      <c r="B345" s="64" t="inlineStr">
        <is>
          <t>P003254</t>
        </is>
      </c>
      <c r="C345" s="37" t="n">
        <v>4301060352</v>
      </c>
      <c r="D345" s="308" t="n">
        <v>4680115881648</v>
      </c>
      <c r="E345" s="609" t="n"/>
      <c r="F345" s="641" t="n">
        <v>1</v>
      </c>
      <c r="G345" s="38" t="n">
        <v>4</v>
      </c>
      <c r="H345" s="641" t="n">
        <v>4</v>
      </c>
      <c r="I345" s="641" t="n">
        <v>4.404</v>
      </c>
      <c r="J345" s="38" t="n">
        <v>104</v>
      </c>
      <c r="K345" s="39" t="inlineStr">
        <is>
          <t>СК2</t>
        </is>
      </c>
      <c r="L345" s="38" t="n">
        <v>35</v>
      </c>
      <c r="M345" s="837" t="inlineStr">
        <is>
          <t>Сардельки "Шпикачки Филейбургские" весовые н/о ТМ "Баварушка"</t>
        </is>
      </c>
      <c r="N345" s="643" t="n"/>
      <c r="O345" s="643" t="n"/>
      <c r="P345" s="643" t="n"/>
      <c r="Q345" s="609" t="n"/>
      <c r="R345" s="40" t="inlineStr"/>
      <c r="S345" s="40" t="inlineStr"/>
      <c r="T345" s="41" t="inlineStr">
        <is>
          <t>кг</t>
        </is>
      </c>
      <c r="U345" s="644" t="n">
        <v>0</v>
      </c>
      <c r="V345" s="645">
        <f>IFERROR(IF(U345="",0,CEILING((U345/$H345),1)*$H345),"")</f>
        <v/>
      </c>
      <c r="W345" s="42">
        <f>IFERROR(IF(V345=0,"",ROUNDUP(V345/H345,0)*0.01196),"")</f>
        <v/>
      </c>
      <c r="X345" s="69" t="inlineStr"/>
      <c r="Y345" s="70" t="inlineStr"/>
      <c r="AC345" s="263" t="inlineStr">
        <is>
          <t>КИ</t>
        </is>
      </c>
    </row>
    <row r="346">
      <c r="A346" s="317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646" t="n"/>
      <c r="M346" s="647" t="inlineStr">
        <is>
          <t>Итого</t>
        </is>
      </c>
      <c r="N346" s="617" t="n"/>
      <c r="O346" s="617" t="n"/>
      <c r="P346" s="617" t="n"/>
      <c r="Q346" s="617" t="n"/>
      <c r="R346" s="617" t="n"/>
      <c r="S346" s="618" t="n"/>
      <c r="T346" s="43" t="inlineStr">
        <is>
          <t>кор</t>
        </is>
      </c>
      <c r="U346" s="648">
        <f>IFERROR(U345/H345,"0")</f>
        <v/>
      </c>
      <c r="V346" s="648">
        <f>IFERROR(V345/H345,"0")</f>
        <v/>
      </c>
      <c r="W346" s="648">
        <f>IFERROR(IF(W345="",0,W345),"0")</f>
        <v/>
      </c>
      <c r="X346" s="649" t="n"/>
      <c r="Y346" s="649" t="n"/>
    </row>
    <row r="347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646" t="n"/>
      <c r="M347" s="647" t="inlineStr">
        <is>
          <t>Итого</t>
        </is>
      </c>
      <c r="N347" s="617" t="n"/>
      <c r="O347" s="617" t="n"/>
      <c r="P347" s="617" t="n"/>
      <c r="Q347" s="617" t="n"/>
      <c r="R347" s="617" t="n"/>
      <c r="S347" s="618" t="n"/>
      <c r="T347" s="43" t="inlineStr">
        <is>
          <t>кг</t>
        </is>
      </c>
      <c r="U347" s="648">
        <f>IFERROR(SUM(U345:U345),"0")</f>
        <v/>
      </c>
      <c r="V347" s="648">
        <f>IFERROR(SUM(V345:V345),"0")</f>
        <v/>
      </c>
      <c r="W347" s="43" t="n"/>
      <c r="X347" s="649" t="n"/>
      <c r="Y347" s="649" t="n"/>
    </row>
    <row r="348" ht="16.5" customHeight="1">
      <c r="A348" s="324" t="inlineStr">
        <is>
          <t>Балыкбургская</t>
        </is>
      </c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324" t="n"/>
      <c r="Y348" s="324" t="n"/>
    </row>
    <row r="349" ht="14.25" customHeight="1">
      <c r="A349" s="318" t="inlineStr">
        <is>
          <t>Ветчины</t>
        </is>
      </c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318" t="n"/>
      <c r="Y349" s="318" t="n"/>
    </row>
    <row r="350" ht="27" customHeight="1">
      <c r="A350" s="64" t="inlineStr">
        <is>
          <t>SU002542</t>
        </is>
      </c>
      <c r="B350" s="64" t="inlineStr">
        <is>
          <t>P002847</t>
        </is>
      </c>
      <c r="C350" s="37" t="n">
        <v>4301020196</v>
      </c>
      <c r="D350" s="308" t="n">
        <v>4607091389388</v>
      </c>
      <c r="E350" s="609" t="n"/>
      <c r="F350" s="641" t="n">
        <v>1.3</v>
      </c>
      <c r="G350" s="38" t="n">
        <v>4</v>
      </c>
      <c r="H350" s="641" t="n">
        <v>5.2</v>
      </c>
      <c r="I350" s="641" t="n">
        <v>5.608</v>
      </c>
      <c r="J350" s="38" t="n">
        <v>104</v>
      </c>
      <c r="K350" s="39" t="inlineStr">
        <is>
          <t>СК3</t>
        </is>
      </c>
      <c r="L350" s="38" t="n">
        <v>35</v>
      </c>
      <c r="M350" s="838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N350" s="643" t="n"/>
      <c r="O350" s="643" t="n"/>
      <c r="P350" s="643" t="n"/>
      <c r="Q350" s="609" t="n"/>
      <c r="R350" s="40" t="inlineStr"/>
      <c r="S350" s="40" t="inlineStr"/>
      <c r="T350" s="41" t="inlineStr">
        <is>
          <t>кг</t>
        </is>
      </c>
      <c r="U350" s="644" t="n">
        <v>0</v>
      </c>
      <c r="V350" s="645">
        <f>IFERROR(IF(U350="",0,CEILING((U350/$H350),1)*$H350),"")</f>
        <v/>
      </c>
      <c r="W350" s="42">
        <f>IFERROR(IF(V350=0,"",ROUNDUP(V350/H350,0)*0.01196),"")</f>
        <v/>
      </c>
      <c r="X350" s="69" t="inlineStr"/>
      <c r="Y350" s="70" t="inlineStr"/>
      <c r="AC350" s="264" t="inlineStr">
        <is>
          <t>КИ</t>
        </is>
      </c>
    </row>
    <row r="351" ht="27" customHeight="1">
      <c r="A351" s="64" t="inlineStr">
        <is>
          <t>SU002319</t>
        </is>
      </c>
      <c r="B351" s="64" t="inlineStr">
        <is>
          <t>P002597</t>
        </is>
      </c>
      <c r="C351" s="37" t="n">
        <v>4301020185</v>
      </c>
      <c r="D351" s="308" t="n">
        <v>4607091389364</v>
      </c>
      <c r="E351" s="609" t="n"/>
      <c r="F351" s="641" t="n">
        <v>0.42</v>
      </c>
      <c r="G351" s="38" t="n">
        <v>6</v>
      </c>
      <c r="H351" s="641" t="n">
        <v>2.52</v>
      </c>
      <c r="I351" s="641" t="n">
        <v>2.75</v>
      </c>
      <c r="J351" s="38" t="n">
        <v>156</v>
      </c>
      <c r="K351" s="39" t="inlineStr">
        <is>
          <t>СК3</t>
        </is>
      </c>
      <c r="L351" s="38" t="n">
        <v>35</v>
      </c>
      <c r="M351" s="839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N351" s="643" t="n"/>
      <c r="O351" s="643" t="n"/>
      <c r="P351" s="643" t="n"/>
      <c r="Q351" s="609" t="n"/>
      <c r="R351" s="40" t="inlineStr"/>
      <c r="S351" s="40" t="inlineStr"/>
      <c r="T351" s="41" t="inlineStr">
        <is>
          <t>кг</t>
        </is>
      </c>
      <c r="U351" s="644" t="n">
        <v>0</v>
      </c>
      <c r="V351" s="645">
        <f>IFERROR(IF(U351="",0,CEILING((U351/$H351),1)*$H351),"")</f>
        <v/>
      </c>
      <c r="W351" s="42">
        <f>IFERROR(IF(V351=0,"",ROUNDUP(V351/H351,0)*0.00753),"")</f>
        <v/>
      </c>
      <c r="X351" s="69" t="inlineStr"/>
      <c r="Y351" s="70" t="inlineStr"/>
      <c r="AC351" s="265" t="inlineStr">
        <is>
          <t>КИ</t>
        </is>
      </c>
    </row>
    <row r="352">
      <c r="A352" s="317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646" t="n"/>
      <c r="M352" s="647" t="inlineStr">
        <is>
          <t>Итого</t>
        </is>
      </c>
      <c r="N352" s="617" t="n"/>
      <c r="O352" s="617" t="n"/>
      <c r="P352" s="617" t="n"/>
      <c r="Q352" s="617" t="n"/>
      <c r="R352" s="617" t="n"/>
      <c r="S352" s="618" t="n"/>
      <c r="T352" s="43" t="inlineStr">
        <is>
          <t>кор</t>
        </is>
      </c>
      <c r="U352" s="648">
        <f>IFERROR(U350/H350,"0")+IFERROR(U351/H351,"0")</f>
        <v/>
      </c>
      <c r="V352" s="648">
        <f>IFERROR(V350/H350,"0")+IFERROR(V351/H351,"0")</f>
        <v/>
      </c>
      <c r="W352" s="648">
        <f>IFERROR(IF(W350="",0,W350),"0")+IFERROR(IF(W351="",0,W351),"0")</f>
        <v/>
      </c>
      <c r="X352" s="649" t="n"/>
      <c r="Y352" s="649" t="n"/>
    </row>
    <row r="353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646" t="n"/>
      <c r="M353" s="647" t="inlineStr">
        <is>
          <t>Итого</t>
        </is>
      </c>
      <c r="N353" s="617" t="n"/>
      <c r="O353" s="617" t="n"/>
      <c r="P353" s="617" t="n"/>
      <c r="Q353" s="617" t="n"/>
      <c r="R353" s="617" t="n"/>
      <c r="S353" s="618" t="n"/>
      <c r="T353" s="43" t="inlineStr">
        <is>
          <t>кг</t>
        </is>
      </c>
      <c r="U353" s="648">
        <f>IFERROR(SUM(U350:U351),"0")</f>
        <v/>
      </c>
      <c r="V353" s="648">
        <f>IFERROR(SUM(V350:V351),"0")</f>
        <v/>
      </c>
      <c r="W353" s="43" t="n"/>
      <c r="X353" s="649" t="n"/>
      <c r="Y353" s="649" t="n"/>
    </row>
    <row r="354" ht="14.25" customHeight="1">
      <c r="A354" s="318" t="inlineStr">
        <is>
          <t>Копченые колбасы</t>
        </is>
      </c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318" t="n"/>
      <c r="Y354" s="318" t="n"/>
    </row>
    <row r="355" ht="27" customHeight="1">
      <c r="A355" s="64" t="inlineStr">
        <is>
          <t>SU002612</t>
        </is>
      </c>
      <c r="B355" s="64" t="inlineStr">
        <is>
          <t>P003140</t>
        </is>
      </c>
      <c r="C355" s="37" t="n">
        <v>4301031195</v>
      </c>
      <c r="D355" s="308" t="n">
        <v>4607091389739</v>
      </c>
      <c r="E355" s="609" t="n"/>
      <c r="F355" s="641" t="n">
        <v>0.7</v>
      </c>
      <c r="G355" s="38" t="n">
        <v>6</v>
      </c>
      <c r="H355" s="641" t="n">
        <v>4.2</v>
      </c>
      <c r="I355" s="641" t="n">
        <v>4.43</v>
      </c>
      <c r="J355" s="38" t="n">
        <v>156</v>
      </c>
      <c r="K355" s="39" t="inlineStr">
        <is>
          <t>СК2</t>
        </is>
      </c>
      <c r="L355" s="38" t="n">
        <v>45</v>
      </c>
      <c r="M355" s="840">
        <f>HYPERLINK("https://abi.ru/products/Охлажденные/Баварушка/Балыкбургская/Копченые колбасы/P003140/","В/к колбасы Балыкбургская Балыкбургская Весовые фиброуз в/у Баварушка")</f>
        <v/>
      </c>
      <c r="N355" s="643" t="n"/>
      <c r="O355" s="643" t="n"/>
      <c r="P355" s="643" t="n"/>
      <c r="Q355" s="609" t="n"/>
      <c r="R355" s="40" t="inlineStr"/>
      <c r="S355" s="40" t="inlineStr"/>
      <c r="T355" s="41" t="inlineStr">
        <is>
          <t>кг</t>
        </is>
      </c>
      <c r="U355" s="644" t="n">
        <v>100</v>
      </c>
      <c r="V355" s="645">
        <f>IFERROR(IF(U355="",0,CEILING((U355/$H355),1)*$H355),"")</f>
        <v/>
      </c>
      <c r="W355" s="42">
        <f>IFERROR(IF(V355=0,"",ROUNDUP(V355/H355,0)*0.00753),"")</f>
        <v/>
      </c>
      <c r="X355" s="69" t="inlineStr"/>
      <c r="Y355" s="70" t="inlineStr"/>
      <c r="AC355" s="266" t="inlineStr">
        <is>
          <t>КИ</t>
        </is>
      </c>
    </row>
    <row r="356" ht="27" customHeight="1">
      <c r="A356" s="64" t="inlineStr">
        <is>
          <t>SU002545</t>
        </is>
      </c>
      <c r="B356" s="64" t="inlineStr">
        <is>
          <t>P003137</t>
        </is>
      </c>
      <c r="C356" s="37" t="n">
        <v>4301031176</v>
      </c>
      <c r="D356" s="308" t="n">
        <v>4607091389425</v>
      </c>
      <c r="E356" s="609" t="n"/>
      <c r="F356" s="641" t="n">
        <v>0.35</v>
      </c>
      <c r="G356" s="38" t="n">
        <v>6</v>
      </c>
      <c r="H356" s="641" t="n">
        <v>2.1</v>
      </c>
      <c r="I356" s="641" t="n">
        <v>2.23</v>
      </c>
      <c r="J356" s="38" t="n">
        <v>234</v>
      </c>
      <c r="K356" s="39" t="inlineStr">
        <is>
          <t>СК2</t>
        </is>
      </c>
      <c r="L356" s="38" t="n">
        <v>45</v>
      </c>
      <c r="M356" s="841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N356" s="643" t="n"/>
      <c r="O356" s="643" t="n"/>
      <c r="P356" s="643" t="n"/>
      <c r="Q356" s="609" t="n"/>
      <c r="R356" s="40" t="inlineStr"/>
      <c r="S356" s="40" t="inlineStr"/>
      <c r="T356" s="41" t="inlineStr">
        <is>
          <t>кг</t>
        </is>
      </c>
      <c r="U356" s="644" t="n">
        <v>0</v>
      </c>
      <c r="V356" s="645">
        <f>IFERROR(IF(U356="",0,CEILING((U356/$H356),1)*$H356),"")</f>
        <v/>
      </c>
      <c r="W356" s="42">
        <f>IFERROR(IF(V356=0,"",ROUNDUP(V356/H356,0)*0.00502),"")</f>
        <v/>
      </c>
      <c r="X356" s="69" t="inlineStr"/>
      <c r="Y356" s="70" t="inlineStr"/>
      <c r="AC356" s="267" t="inlineStr">
        <is>
          <t>КИ</t>
        </is>
      </c>
    </row>
    <row r="357" ht="27" customHeight="1">
      <c r="A357" s="64" t="inlineStr">
        <is>
          <t>SU002726</t>
        </is>
      </c>
      <c r="B357" s="64" t="inlineStr">
        <is>
          <t>P003095</t>
        </is>
      </c>
      <c r="C357" s="37" t="n">
        <v>4301031167</v>
      </c>
      <c r="D357" s="308" t="n">
        <v>4680115880771</v>
      </c>
      <c r="E357" s="609" t="n"/>
      <c r="F357" s="641" t="n">
        <v>0.28</v>
      </c>
      <c r="G357" s="38" t="n">
        <v>6</v>
      </c>
      <c r="H357" s="641" t="n">
        <v>1.68</v>
      </c>
      <c r="I357" s="641" t="n">
        <v>1.81</v>
      </c>
      <c r="J357" s="38" t="n">
        <v>234</v>
      </c>
      <c r="K357" s="39" t="inlineStr">
        <is>
          <t>СК2</t>
        </is>
      </c>
      <c r="L357" s="38" t="n">
        <v>45</v>
      </c>
      <c r="M357" s="842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N357" s="643" t="n"/>
      <c r="O357" s="643" t="n"/>
      <c r="P357" s="643" t="n"/>
      <c r="Q357" s="609" t="n"/>
      <c r="R357" s="40" t="inlineStr"/>
      <c r="S357" s="40" t="inlineStr"/>
      <c r="T357" s="41" t="inlineStr">
        <is>
          <t>кг</t>
        </is>
      </c>
      <c r="U357" s="644" t="n">
        <v>0</v>
      </c>
      <c r="V357" s="645">
        <f>IFERROR(IF(U357="",0,CEILING((U357/$H357),1)*$H357),"")</f>
        <v/>
      </c>
      <c r="W357" s="42">
        <f>IFERROR(IF(V357=0,"",ROUNDUP(V357/H357,0)*0.00502),"")</f>
        <v/>
      </c>
      <c r="X357" s="69" t="inlineStr"/>
      <c r="Y357" s="70" t="inlineStr"/>
      <c r="AC357" s="268" t="inlineStr">
        <is>
          <t>КИ</t>
        </is>
      </c>
    </row>
    <row r="358" ht="27" customHeight="1">
      <c r="A358" s="64" t="inlineStr">
        <is>
          <t>SU002604</t>
        </is>
      </c>
      <c r="B358" s="64" t="inlineStr">
        <is>
          <t>P003135</t>
        </is>
      </c>
      <c r="C358" s="37" t="n">
        <v>4301031173</v>
      </c>
      <c r="D358" s="308" t="n">
        <v>4607091389500</v>
      </c>
      <c r="E358" s="609" t="n"/>
      <c r="F358" s="641" t="n">
        <v>0.35</v>
      </c>
      <c r="G358" s="38" t="n">
        <v>6</v>
      </c>
      <c r="H358" s="641" t="n">
        <v>2.1</v>
      </c>
      <c r="I358" s="641" t="n">
        <v>2.23</v>
      </c>
      <c r="J358" s="38" t="n">
        <v>234</v>
      </c>
      <c r="K358" s="39" t="inlineStr">
        <is>
          <t>СК2</t>
        </is>
      </c>
      <c r="L358" s="38" t="n">
        <v>45</v>
      </c>
      <c r="M358" s="843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N358" s="643" t="n"/>
      <c r="O358" s="643" t="n"/>
      <c r="P358" s="643" t="n"/>
      <c r="Q358" s="609" t="n"/>
      <c r="R358" s="40" t="inlineStr"/>
      <c r="S358" s="40" t="inlineStr"/>
      <c r="T358" s="41" t="inlineStr">
        <is>
          <t>кг</t>
        </is>
      </c>
      <c r="U358" s="644" t="n">
        <v>35</v>
      </c>
      <c r="V358" s="645">
        <f>IFERROR(IF(U358="",0,CEILING((U358/$H358),1)*$H358),"")</f>
        <v/>
      </c>
      <c r="W358" s="42">
        <f>IFERROR(IF(V358=0,"",ROUNDUP(V358/H358,0)*0.00502),"")</f>
        <v/>
      </c>
      <c r="X358" s="69" t="inlineStr"/>
      <c r="Y358" s="70" t="inlineStr"/>
      <c r="AC358" s="269" t="inlineStr">
        <is>
          <t>КИ</t>
        </is>
      </c>
    </row>
    <row r="359" ht="27" customHeight="1">
      <c r="A359" s="64" t="inlineStr">
        <is>
          <t>SU002358</t>
        </is>
      </c>
      <c r="B359" s="64" t="inlineStr">
        <is>
          <t>P002642</t>
        </is>
      </c>
      <c r="C359" s="37" t="n">
        <v>4301031103</v>
      </c>
      <c r="D359" s="308" t="n">
        <v>4680115881983</v>
      </c>
      <c r="E359" s="609" t="n"/>
      <c r="F359" s="641" t="n">
        <v>0.28</v>
      </c>
      <c r="G359" s="38" t="n">
        <v>4</v>
      </c>
      <c r="H359" s="641" t="n">
        <v>1.12</v>
      </c>
      <c r="I359" s="641" t="n">
        <v>1.252</v>
      </c>
      <c r="J359" s="38" t="n">
        <v>234</v>
      </c>
      <c r="K359" s="39" t="inlineStr">
        <is>
          <t>СК2</t>
        </is>
      </c>
      <c r="L359" s="38" t="n">
        <v>40</v>
      </c>
      <c r="M359" s="844" t="inlineStr">
        <is>
          <t>Колбаса Балыкбургская по-краковски с копченым балыком в натуральной оболочке 0,28 кг</t>
        </is>
      </c>
      <c r="N359" s="643" t="n"/>
      <c r="O359" s="643" t="n"/>
      <c r="P359" s="643" t="n"/>
      <c r="Q359" s="609" t="n"/>
      <c r="R359" s="40" t="inlineStr"/>
      <c r="S359" s="40" t="inlineStr"/>
      <c r="T359" s="41" t="inlineStr">
        <is>
          <t>кг</t>
        </is>
      </c>
      <c r="U359" s="644" t="n">
        <v>0</v>
      </c>
      <c r="V359" s="645">
        <f>IFERROR(IF(U359="",0,CEILING((U359/$H359),1)*$H359),"")</f>
        <v/>
      </c>
      <c r="W359" s="42">
        <f>IFERROR(IF(V359=0,"",ROUNDUP(V359/H359,0)*0.00502),"")</f>
        <v/>
      </c>
      <c r="X359" s="69" t="inlineStr"/>
      <c r="Y359" s="70" t="inlineStr"/>
      <c r="AC359" s="270" t="inlineStr">
        <is>
          <t>КИ</t>
        </is>
      </c>
    </row>
    <row r="360">
      <c r="A360" s="317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646" t="n"/>
      <c r="M360" s="647" t="inlineStr">
        <is>
          <t>Итого</t>
        </is>
      </c>
      <c r="N360" s="617" t="n"/>
      <c r="O360" s="617" t="n"/>
      <c r="P360" s="617" t="n"/>
      <c r="Q360" s="617" t="n"/>
      <c r="R360" s="617" t="n"/>
      <c r="S360" s="618" t="n"/>
      <c r="T360" s="43" t="inlineStr">
        <is>
          <t>кор</t>
        </is>
      </c>
      <c r="U360" s="648">
        <f>IFERROR(U355/H355,"0")+IFERROR(U356/H356,"0")+IFERROR(U357/H357,"0")+IFERROR(U358/H358,"0")+IFERROR(U359/H359,"0")</f>
        <v/>
      </c>
      <c r="V360" s="648">
        <f>IFERROR(V355/H355,"0")+IFERROR(V356/H356,"0")+IFERROR(V357/H357,"0")+IFERROR(V358/H358,"0")+IFERROR(V359/H359,"0")</f>
        <v/>
      </c>
      <c r="W360" s="648">
        <f>IFERROR(IF(W355="",0,W355),"0")+IFERROR(IF(W356="",0,W356),"0")+IFERROR(IF(W357="",0,W357),"0")+IFERROR(IF(W358="",0,W358),"0")+IFERROR(IF(W359="",0,W359),"0")</f>
        <v/>
      </c>
      <c r="X360" s="649" t="n"/>
      <c r="Y360" s="649" t="n"/>
    </row>
    <row r="361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646" t="n"/>
      <c r="M361" s="647" t="inlineStr">
        <is>
          <t>Итого</t>
        </is>
      </c>
      <c r="N361" s="617" t="n"/>
      <c r="O361" s="617" t="n"/>
      <c r="P361" s="617" t="n"/>
      <c r="Q361" s="617" t="n"/>
      <c r="R361" s="617" t="n"/>
      <c r="S361" s="618" t="n"/>
      <c r="T361" s="43" t="inlineStr">
        <is>
          <t>кг</t>
        </is>
      </c>
      <c r="U361" s="648">
        <f>IFERROR(SUM(U355:U359),"0")</f>
        <v/>
      </c>
      <c r="V361" s="648">
        <f>IFERROR(SUM(V355:V359),"0")</f>
        <v/>
      </c>
      <c r="W361" s="43" t="n"/>
      <c r="X361" s="649" t="n"/>
      <c r="Y361" s="649" t="n"/>
    </row>
    <row r="362" ht="27.75" customHeight="1">
      <c r="A362" s="323" t="inlineStr">
        <is>
          <t>Дугушка</t>
        </is>
      </c>
      <c r="B362" s="640" t="n"/>
      <c r="C362" s="640" t="n"/>
      <c r="D362" s="640" t="n"/>
      <c r="E362" s="640" t="n"/>
      <c r="F362" s="640" t="n"/>
      <c r="G362" s="640" t="n"/>
      <c r="H362" s="640" t="n"/>
      <c r="I362" s="640" t="n"/>
      <c r="J362" s="640" t="n"/>
      <c r="K362" s="640" t="n"/>
      <c r="L362" s="640" t="n"/>
      <c r="M362" s="640" t="n"/>
      <c r="N362" s="640" t="n"/>
      <c r="O362" s="640" t="n"/>
      <c r="P362" s="640" t="n"/>
      <c r="Q362" s="640" t="n"/>
      <c r="R362" s="640" t="n"/>
      <c r="S362" s="640" t="n"/>
      <c r="T362" s="640" t="n"/>
      <c r="U362" s="640" t="n"/>
      <c r="V362" s="640" t="n"/>
      <c r="W362" s="640" t="n"/>
      <c r="X362" s="55" t="n"/>
      <c r="Y362" s="55" t="n"/>
    </row>
    <row r="363" ht="16.5" customHeight="1">
      <c r="A363" s="324" t="inlineStr">
        <is>
          <t>Дугушка</t>
        </is>
      </c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324" t="n"/>
      <c r="Y363" s="324" t="n"/>
    </row>
    <row r="364" ht="14.25" customHeight="1">
      <c r="A364" s="318" t="inlineStr">
        <is>
          <t>Вареные колбасы</t>
        </is>
      </c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318" t="n"/>
      <c r="Y364" s="318" t="n"/>
    </row>
    <row r="365" ht="27" customHeight="1">
      <c r="A365" s="64" t="inlineStr">
        <is>
          <t>SU002011</t>
        </is>
      </c>
      <c r="B365" s="64" t="inlineStr">
        <is>
          <t>P002991</t>
        </is>
      </c>
      <c r="C365" s="37" t="n">
        <v>4301011371</v>
      </c>
      <c r="D365" s="308" t="n">
        <v>4607091389067</v>
      </c>
      <c r="E365" s="609" t="n"/>
      <c r="F365" s="641" t="n">
        <v>0.88</v>
      </c>
      <c r="G365" s="38" t="n">
        <v>6</v>
      </c>
      <c r="H365" s="641" t="n">
        <v>5.28</v>
      </c>
      <c r="I365" s="641" t="n">
        <v>5.64</v>
      </c>
      <c r="J365" s="38" t="n">
        <v>104</v>
      </c>
      <c r="K365" s="39" t="inlineStr">
        <is>
          <t>СК3</t>
        </is>
      </c>
      <c r="L365" s="38" t="n">
        <v>55</v>
      </c>
      <c r="M365" s="845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N365" s="643" t="n"/>
      <c r="O365" s="643" t="n"/>
      <c r="P365" s="643" t="n"/>
      <c r="Q365" s="609" t="n"/>
      <c r="R365" s="40" t="inlineStr"/>
      <c r="S365" s="40" t="inlineStr"/>
      <c r="T365" s="41" t="inlineStr">
        <is>
          <t>кг</t>
        </is>
      </c>
      <c r="U365" s="644" t="n">
        <v>200</v>
      </c>
      <c r="V365" s="645">
        <f>IFERROR(IF(U365="",0,CEILING((U365/$H365),1)*$H365),"")</f>
        <v/>
      </c>
      <c r="W365" s="42">
        <f>IFERROR(IF(V365=0,"",ROUNDUP(V365/H365,0)*0.01196),"")</f>
        <v/>
      </c>
      <c r="X365" s="69" t="inlineStr"/>
      <c r="Y365" s="70" t="inlineStr"/>
      <c r="AC365" s="271" t="inlineStr">
        <is>
          <t>КИ</t>
        </is>
      </c>
    </row>
    <row r="366" ht="27" customHeight="1">
      <c r="A366" s="64" t="inlineStr">
        <is>
          <t>SU002094</t>
        </is>
      </c>
      <c r="B366" s="64" t="inlineStr">
        <is>
          <t>P002975</t>
        </is>
      </c>
      <c r="C366" s="37" t="n">
        <v>4301011363</v>
      </c>
      <c r="D366" s="308" t="n">
        <v>4607091383522</v>
      </c>
      <c r="E366" s="609" t="n"/>
      <c r="F366" s="641" t="n">
        <v>0.88</v>
      </c>
      <c r="G366" s="38" t="n">
        <v>6</v>
      </c>
      <c r="H366" s="641" t="n">
        <v>5.28</v>
      </c>
      <c r="I366" s="641" t="n">
        <v>5.64</v>
      </c>
      <c r="J366" s="38" t="n">
        <v>104</v>
      </c>
      <c r="K366" s="39" t="inlineStr">
        <is>
          <t>СК1</t>
        </is>
      </c>
      <c r="L366" s="38" t="n">
        <v>55</v>
      </c>
      <c r="M366" s="846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N366" s="643" t="n"/>
      <c r="O366" s="643" t="n"/>
      <c r="P366" s="643" t="n"/>
      <c r="Q366" s="609" t="n"/>
      <c r="R366" s="40" t="inlineStr"/>
      <c r="S366" s="40" t="inlineStr"/>
      <c r="T366" s="41" t="inlineStr">
        <is>
          <t>кг</t>
        </is>
      </c>
      <c r="U366" s="644" t="n">
        <v>100</v>
      </c>
      <c r="V366" s="645">
        <f>IFERROR(IF(U366="",0,CEILING((U366/$H366),1)*$H366),"")</f>
        <v/>
      </c>
      <c r="W366" s="42">
        <f>IFERROR(IF(V366=0,"",ROUNDUP(V366/H366,0)*0.01196),"")</f>
        <v/>
      </c>
      <c r="X366" s="69" t="inlineStr"/>
      <c r="Y366" s="70" t="inlineStr"/>
      <c r="AC366" s="272" t="inlineStr">
        <is>
          <t>КИ</t>
        </is>
      </c>
    </row>
    <row r="367" ht="27" customHeight="1">
      <c r="A367" s="64" t="inlineStr">
        <is>
          <t>SU002182</t>
        </is>
      </c>
      <c r="B367" s="64" t="inlineStr">
        <is>
          <t>P002990</t>
        </is>
      </c>
      <c r="C367" s="37" t="n">
        <v>4301011431</v>
      </c>
      <c r="D367" s="308" t="n">
        <v>4607091384437</v>
      </c>
      <c r="E367" s="609" t="n"/>
      <c r="F367" s="641" t="n">
        <v>0.88</v>
      </c>
      <c r="G367" s="38" t="n">
        <v>6</v>
      </c>
      <c r="H367" s="641" t="n">
        <v>5.28</v>
      </c>
      <c r="I367" s="641" t="n">
        <v>5.64</v>
      </c>
      <c r="J367" s="38" t="n">
        <v>104</v>
      </c>
      <c r="K367" s="39" t="inlineStr">
        <is>
          <t>СК1</t>
        </is>
      </c>
      <c r="L367" s="38" t="n">
        <v>50</v>
      </c>
      <c r="M367" s="847" t="inlineStr">
        <is>
          <t>Вареные колбасы Дугушка со шпиком Дугушка Весовые Вектор Дугушка</t>
        </is>
      </c>
      <c r="N367" s="643" t="n"/>
      <c r="O367" s="643" t="n"/>
      <c r="P367" s="643" t="n"/>
      <c r="Q367" s="609" t="n"/>
      <c r="R367" s="40" t="inlineStr"/>
      <c r="S367" s="40" t="inlineStr"/>
      <c r="T367" s="41" t="inlineStr">
        <is>
          <t>кг</t>
        </is>
      </c>
      <c r="U367" s="644" t="n">
        <v>0</v>
      </c>
      <c r="V367" s="645">
        <f>IFERROR(IF(U367="",0,CEILING((U367/$H367),1)*$H367),"")</f>
        <v/>
      </c>
      <c r="W367" s="42">
        <f>IFERROR(IF(V367=0,"",ROUNDUP(V367/H367,0)*0.01196),"")</f>
        <v/>
      </c>
      <c r="X367" s="69" t="inlineStr"/>
      <c r="Y367" s="70" t="inlineStr"/>
      <c r="AC367" s="273" t="inlineStr">
        <is>
          <t>КИ</t>
        </is>
      </c>
    </row>
    <row r="368" ht="27" customHeight="1">
      <c r="A368" s="64" t="inlineStr">
        <is>
          <t>SU002010</t>
        </is>
      </c>
      <c r="B368" s="64" t="inlineStr">
        <is>
          <t>P002979</t>
        </is>
      </c>
      <c r="C368" s="37" t="n">
        <v>4301011365</v>
      </c>
      <c r="D368" s="308" t="n">
        <v>4607091389104</v>
      </c>
      <c r="E368" s="609" t="n"/>
      <c r="F368" s="641" t="n">
        <v>0.88</v>
      </c>
      <c r="G368" s="38" t="n">
        <v>6</v>
      </c>
      <c r="H368" s="641" t="n">
        <v>5.28</v>
      </c>
      <c r="I368" s="641" t="n">
        <v>5.64</v>
      </c>
      <c r="J368" s="38" t="n">
        <v>104</v>
      </c>
      <c r="K368" s="39" t="inlineStr">
        <is>
          <t>СК1</t>
        </is>
      </c>
      <c r="L368" s="38" t="n">
        <v>55</v>
      </c>
      <c r="M368" s="848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N368" s="643" t="n"/>
      <c r="O368" s="643" t="n"/>
      <c r="P368" s="643" t="n"/>
      <c r="Q368" s="609" t="n"/>
      <c r="R368" s="40" t="inlineStr"/>
      <c r="S368" s="40" t="inlineStr"/>
      <c r="T368" s="41" t="inlineStr">
        <is>
          <t>кг</t>
        </is>
      </c>
      <c r="U368" s="644" t="n">
        <v>180</v>
      </c>
      <c r="V368" s="645">
        <f>IFERROR(IF(U368="",0,CEILING((U368/$H368),1)*$H368),"")</f>
        <v/>
      </c>
      <c r="W368" s="42">
        <f>IFERROR(IF(V368=0,"",ROUNDUP(V368/H368,0)*0.01196),"")</f>
        <v/>
      </c>
      <c r="X368" s="69" t="inlineStr"/>
      <c r="Y368" s="70" t="inlineStr"/>
      <c r="AC368" s="274" t="inlineStr">
        <is>
          <t>КИ</t>
        </is>
      </c>
    </row>
    <row r="369" ht="27" customHeight="1">
      <c r="A369" s="64" t="inlineStr">
        <is>
          <t>SU002019</t>
        </is>
      </c>
      <c r="B369" s="64" t="inlineStr">
        <is>
          <t>P002306</t>
        </is>
      </c>
      <c r="C369" s="37" t="n">
        <v>4301011142</v>
      </c>
      <c r="D369" s="308" t="n">
        <v>4607091389036</v>
      </c>
      <c r="E369" s="609" t="n"/>
      <c r="F369" s="641" t="n">
        <v>0.4</v>
      </c>
      <c r="G369" s="38" t="n">
        <v>6</v>
      </c>
      <c r="H369" s="641" t="n">
        <v>2.4</v>
      </c>
      <c r="I369" s="641" t="n">
        <v>2.6</v>
      </c>
      <c r="J369" s="38" t="n">
        <v>156</v>
      </c>
      <c r="K369" s="39" t="inlineStr">
        <is>
          <t>СК3</t>
        </is>
      </c>
      <c r="L369" s="38" t="n">
        <v>50</v>
      </c>
      <c r="M369" s="849">
        <f>HYPERLINK("https://abi.ru/products/Охлажденные/Дугушка/Дугушка/Вареные колбасы/P002306/","Вареные колбасы Докторская ГОСТ Дугушка Фикс.вес 0,4 Вектор Дугушка")</f>
        <v/>
      </c>
      <c r="N369" s="643" t="n"/>
      <c r="O369" s="643" t="n"/>
      <c r="P369" s="643" t="n"/>
      <c r="Q369" s="609" t="n"/>
      <c r="R369" s="40" t="inlineStr"/>
      <c r="S369" s="40" t="inlineStr"/>
      <c r="T369" s="41" t="inlineStr">
        <is>
          <t>кг</t>
        </is>
      </c>
      <c r="U369" s="644" t="n">
        <v>0</v>
      </c>
      <c r="V369" s="645">
        <f>IFERROR(IF(U369="",0,CEILING((U369/$H369),1)*$H369),"")</f>
        <v/>
      </c>
      <c r="W369" s="42">
        <f>IFERROR(IF(V369=0,"",ROUNDUP(V369/H369,0)*0.00753),"")</f>
        <v/>
      </c>
      <c r="X369" s="69" t="inlineStr"/>
      <c r="Y369" s="70" t="inlineStr"/>
      <c r="AC369" s="275" t="inlineStr">
        <is>
          <t>КИ</t>
        </is>
      </c>
    </row>
    <row r="370" ht="27" customHeight="1">
      <c r="A370" s="64" t="inlineStr">
        <is>
          <t>SU002632</t>
        </is>
      </c>
      <c r="B370" s="64" t="inlineStr">
        <is>
          <t>P002982</t>
        </is>
      </c>
      <c r="C370" s="37" t="n">
        <v>4301011367</v>
      </c>
      <c r="D370" s="308" t="n">
        <v>4680115880603</v>
      </c>
      <c r="E370" s="609" t="n"/>
      <c r="F370" s="641" t="n">
        <v>0.6</v>
      </c>
      <c r="G370" s="38" t="n">
        <v>6</v>
      </c>
      <c r="H370" s="641" t="n">
        <v>3.6</v>
      </c>
      <c r="I370" s="641" t="n">
        <v>3.84</v>
      </c>
      <c r="J370" s="38" t="n">
        <v>120</v>
      </c>
      <c r="K370" s="39" t="inlineStr">
        <is>
          <t>СК1</t>
        </is>
      </c>
      <c r="L370" s="38" t="n">
        <v>55</v>
      </c>
      <c r="M370" s="850" t="inlineStr">
        <is>
          <t>Вареные колбасы "Докторская ГОСТ" Фикс.вес 0,6 Вектор ТМ "Дугушка"</t>
        </is>
      </c>
      <c r="N370" s="643" t="n"/>
      <c r="O370" s="643" t="n"/>
      <c r="P370" s="643" t="n"/>
      <c r="Q370" s="609" t="n"/>
      <c r="R370" s="40" t="inlineStr"/>
      <c r="S370" s="40" t="inlineStr"/>
      <c r="T370" s="41" t="inlineStr">
        <is>
          <t>кг</t>
        </is>
      </c>
      <c r="U370" s="644" t="n">
        <v>0</v>
      </c>
      <c r="V370" s="645">
        <f>IFERROR(IF(U370="",0,CEILING((U370/$H370),1)*$H370),"")</f>
        <v/>
      </c>
      <c r="W370" s="42">
        <f>IFERROR(IF(V370=0,"",ROUNDUP(V370/H370,0)*0.00937),"")</f>
        <v/>
      </c>
      <c r="X370" s="69" t="inlineStr"/>
      <c r="Y370" s="70" t="inlineStr"/>
      <c r="AC370" s="276" t="inlineStr">
        <is>
          <t>КИ</t>
        </is>
      </c>
    </row>
    <row r="371" ht="27" customHeight="1">
      <c r="A371" s="64" t="inlineStr">
        <is>
          <t>SU002220</t>
        </is>
      </c>
      <c r="B371" s="64" t="inlineStr">
        <is>
          <t>P002404</t>
        </is>
      </c>
      <c r="C371" s="37" t="n">
        <v>4301011168</v>
      </c>
      <c r="D371" s="308" t="n">
        <v>4607091389999</v>
      </c>
      <c r="E371" s="609" t="n"/>
      <c r="F371" s="641" t="n">
        <v>0.6</v>
      </c>
      <c r="G371" s="38" t="n">
        <v>6</v>
      </c>
      <c r="H371" s="641" t="n">
        <v>3.6</v>
      </c>
      <c r="I371" s="641" t="n">
        <v>3.84</v>
      </c>
      <c r="J371" s="38" t="n">
        <v>120</v>
      </c>
      <c r="K371" s="39" t="inlineStr">
        <is>
          <t>СК1</t>
        </is>
      </c>
      <c r="L371" s="38" t="n">
        <v>55</v>
      </c>
      <c r="M371" s="851" t="inlineStr">
        <is>
          <t>Вареные колбасы "Докторская Дугушка" Фикс.вес 0,6 П/а ТМ "Дугушка"</t>
        </is>
      </c>
      <c r="N371" s="643" t="n"/>
      <c r="O371" s="643" t="n"/>
      <c r="P371" s="643" t="n"/>
      <c r="Q371" s="609" t="n"/>
      <c r="R371" s="40" t="inlineStr"/>
      <c r="S371" s="40" t="inlineStr"/>
      <c r="T371" s="41" t="inlineStr">
        <is>
          <t>кг</t>
        </is>
      </c>
      <c r="U371" s="644" t="n">
        <v>0</v>
      </c>
      <c r="V371" s="645">
        <f>IFERROR(IF(U371="",0,CEILING((U371/$H371),1)*$H371),"")</f>
        <v/>
      </c>
      <c r="W371" s="42">
        <f>IFERROR(IF(V371=0,"",ROUNDUP(V371/H371,0)*0.00937),"")</f>
        <v/>
      </c>
      <c r="X371" s="69" t="inlineStr"/>
      <c r="Y371" s="70" t="inlineStr"/>
      <c r="AC371" s="277" t="inlineStr">
        <is>
          <t>КИ</t>
        </is>
      </c>
    </row>
    <row r="372" ht="27" customHeight="1">
      <c r="A372" s="64" t="inlineStr">
        <is>
          <t>SU002635</t>
        </is>
      </c>
      <c r="B372" s="64" t="inlineStr">
        <is>
          <t>P002992</t>
        </is>
      </c>
      <c r="C372" s="37" t="n">
        <v>4301011372</v>
      </c>
      <c r="D372" s="308" t="n">
        <v>4680115882782</v>
      </c>
      <c r="E372" s="609" t="n"/>
      <c r="F372" s="641" t="n">
        <v>0.6</v>
      </c>
      <c r="G372" s="38" t="n">
        <v>6</v>
      </c>
      <c r="H372" s="641" t="n">
        <v>3.6</v>
      </c>
      <c r="I372" s="641" t="n">
        <v>3.84</v>
      </c>
      <c r="J372" s="38" t="n">
        <v>120</v>
      </c>
      <c r="K372" s="39" t="inlineStr">
        <is>
          <t>СК1</t>
        </is>
      </c>
      <c r="L372" s="38" t="n">
        <v>50</v>
      </c>
      <c r="M372" s="852" t="inlineStr">
        <is>
          <t>Вареные колбасы "Дугушка со шпиком" Фикс.вес 0,6 П/а ТМ "Дугушка"</t>
        </is>
      </c>
      <c r="N372" s="643" t="n"/>
      <c r="O372" s="643" t="n"/>
      <c r="P372" s="643" t="n"/>
      <c r="Q372" s="609" t="n"/>
      <c r="R372" s="40" t="inlineStr"/>
      <c r="S372" s="40" t="inlineStr"/>
      <c r="T372" s="41" t="inlineStr">
        <is>
          <t>кг</t>
        </is>
      </c>
      <c r="U372" s="644" t="n">
        <v>0</v>
      </c>
      <c r="V372" s="645">
        <f>IFERROR(IF(U372="",0,CEILING((U372/$H372),1)*$H372),"")</f>
        <v/>
      </c>
      <c r="W372" s="42">
        <f>IFERROR(IF(V372=0,"",ROUNDUP(V372/H372,0)*0.00937),"")</f>
        <v/>
      </c>
      <c r="X372" s="69" t="inlineStr"/>
      <c r="Y372" s="70" t="inlineStr"/>
      <c r="AC372" s="278" t="inlineStr">
        <is>
          <t>КИ</t>
        </is>
      </c>
    </row>
    <row r="373" ht="27" customHeight="1">
      <c r="A373" s="64" t="inlineStr">
        <is>
          <t>SU002020</t>
        </is>
      </c>
      <c r="B373" s="64" t="inlineStr">
        <is>
          <t>P002308</t>
        </is>
      </c>
      <c r="C373" s="37" t="n">
        <v>4301011190</v>
      </c>
      <c r="D373" s="308" t="n">
        <v>4607091389098</v>
      </c>
      <c r="E373" s="609" t="n"/>
      <c r="F373" s="641" t="n">
        <v>0.4</v>
      </c>
      <c r="G373" s="38" t="n">
        <v>6</v>
      </c>
      <c r="H373" s="641" t="n">
        <v>2.4</v>
      </c>
      <c r="I373" s="641" t="n">
        <v>2.6</v>
      </c>
      <c r="J373" s="38" t="n">
        <v>156</v>
      </c>
      <c r="K373" s="39" t="inlineStr">
        <is>
          <t>СК3</t>
        </is>
      </c>
      <c r="L373" s="38" t="n">
        <v>50</v>
      </c>
      <c r="M373" s="853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N373" s="643" t="n"/>
      <c r="O373" s="643" t="n"/>
      <c r="P373" s="643" t="n"/>
      <c r="Q373" s="609" t="n"/>
      <c r="R373" s="40" t="inlineStr"/>
      <c r="S373" s="40" t="inlineStr"/>
      <c r="T373" s="41" t="inlineStr">
        <is>
          <t>кг</t>
        </is>
      </c>
      <c r="U373" s="644" t="n">
        <v>0</v>
      </c>
      <c r="V373" s="645">
        <f>IFERROR(IF(U373="",0,CEILING((U373/$H373),1)*$H373),"")</f>
        <v/>
      </c>
      <c r="W373" s="42">
        <f>IFERROR(IF(V373=0,"",ROUNDUP(V373/H373,0)*0.00753),"")</f>
        <v/>
      </c>
      <c r="X373" s="69" t="inlineStr"/>
      <c r="Y373" s="70" t="inlineStr"/>
      <c r="AC373" s="279" t="inlineStr">
        <is>
          <t>КИ</t>
        </is>
      </c>
    </row>
    <row r="374" ht="27" customHeight="1">
      <c r="A374" s="64" t="inlineStr">
        <is>
          <t>SU002631</t>
        </is>
      </c>
      <c r="B374" s="64" t="inlineStr">
        <is>
          <t>P002981</t>
        </is>
      </c>
      <c r="C374" s="37" t="n">
        <v>4301011366</v>
      </c>
      <c r="D374" s="308" t="n">
        <v>4607091389982</v>
      </c>
      <c r="E374" s="609" t="n"/>
      <c r="F374" s="641" t="n">
        <v>0.6</v>
      </c>
      <c r="G374" s="38" t="n">
        <v>6</v>
      </c>
      <c r="H374" s="641" t="n">
        <v>3.6</v>
      </c>
      <c r="I374" s="641" t="n">
        <v>3.84</v>
      </c>
      <c r="J374" s="38" t="n">
        <v>120</v>
      </c>
      <c r="K374" s="39" t="inlineStr">
        <is>
          <t>СК1</t>
        </is>
      </c>
      <c r="L374" s="38" t="n">
        <v>55</v>
      </c>
      <c r="M374" s="854" t="inlineStr">
        <is>
          <t>Вареные колбасы "Молочная Дугушка" Фикс.вес 0,6 П/а ТМ "Дугушка"</t>
        </is>
      </c>
      <c r="N374" s="643" t="n"/>
      <c r="O374" s="643" t="n"/>
      <c r="P374" s="643" t="n"/>
      <c r="Q374" s="609" t="n"/>
      <c r="R374" s="40" t="inlineStr"/>
      <c r="S374" s="40" t="inlineStr"/>
      <c r="T374" s="41" t="inlineStr">
        <is>
          <t>кг</t>
        </is>
      </c>
      <c r="U374" s="644" t="n">
        <v>0</v>
      </c>
      <c r="V374" s="645">
        <f>IFERROR(IF(U374="",0,CEILING((U374/$H374),1)*$H374),"")</f>
        <v/>
      </c>
      <c r="W374" s="42">
        <f>IFERROR(IF(V374=0,"",ROUNDUP(V374/H374,0)*0.00937),"")</f>
        <v/>
      </c>
      <c r="X374" s="69" t="inlineStr"/>
      <c r="Y374" s="70" t="inlineStr"/>
      <c r="AC374" s="280" t="inlineStr">
        <is>
          <t>КИ</t>
        </is>
      </c>
    </row>
    <row r="375">
      <c r="A375" s="317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646" t="n"/>
      <c r="M375" s="647" t="inlineStr">
        <is>
          <t>Итого</t>
        </is>
      </c>
      <c r="N375" s="617" t="n"/>
      <c r="O375" s="617" t="n"/>
      <c r="P375" s="617" t="n"/>
      <c r="Q375" s="617" t="n"/>
      <c r="R375" s="617" t="n"/>
      <c r="S375" s="618" t="n"/>
      <c r="T375" s="43" t="inlineStr">
        <is>
          <t>кор</t>
        </is>
      </c>
      <c r="U375" s="648">
        <f>IFERROR(U365/H365,"0")+IFERROR(U366/H366,"0")+IFERROR(U367/H367,"0")+IFERROR(U368/H368,"0")+IFERROR(U369/H369,"0")+IFERROR(U370/H370,"0")+IFERROR(U371/H371,"0")+IFERROR(U372/H372,"0")+IFERROR(U373/H373,"0")+IFERROR(U374/H374,"0")</f>
        <v/>
      </c>
      <c r="V375" s="648">
        <f>IFERROR(V365/H365,"0")+IFERROR(V366/H366,"0")+IFERROR(V367/H367,"0")+IFERROR(V368/H368,"0")+IFERROR(V369/H369,"0")+IFERROR(V370/H370,"0")+IFERROR(V371/H371,"0")+IFERROR(V372/H372,"0")+IFERROR(V373/H373,"0")+IFERROR(V374/H374,"0")</f>
        <v/>
      </c>
      <c r="W375" s="648">
        <f>IFERROR(IF(W365="",0,W365),"0")+IFERROR(IF(W366="",0,W366),"0")+IFERROR(IF(W367="",0,W367),"0")+IFERROR(IF(W368="",0,W368),"0")+IFERROR(IF(W369="",0,W369),"0")+IFERROR(IF(W370="",0,W370),"0")+IFERROR(IF(W371="",0,W371),"0")+IFERROR(IF(W372="",0,W372),"0")+IFERROR(IF(W373="",0,W373),"0")+IFERROR(IF(W374="",0,W374),"0")</f>
        <v/>
      </c>
      <c r="X375" s="649" t="n"/>
      <c r="Y375" s="649" t="n"/>
    </row>
    <row r="376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646" t="n"/>
      <c r="M376" s="647" t="inlineStr">
        <is>
          <t>Итого</t>
        </is>
      </c>
      <c r="N376" s="617" t="n"/>
      <c r="O376" s="617" t="n"/>
      <c r="P376" s="617" t="n"/>
      <c r="Q376" s="617" t="n"/>
      <c r="R376" s="617" t="n"/>
      <c r="S376" s="618" t="n"/>
      <c r="T376" s="43" t="inlineStr">
        <is>
          <t>кг</t>
        </is>
      </c>
      <c r="U376" s="648">
        <f>IFERROR(SUM(U365:U374),"0")</f>
        <v/>
      </c>
      <c r="V376" s="648">
        <f>IFERROR(SUM(V365:V374),"0")</f>
        <v/>
      </c>
      <c r="W376" s="43" t="n"/>
      <c r="X376" s="649" t="n"/>
      <c r="Y376" s="649" t="n"/>
    </row>
    <row r="377" ht="14.25" customHeight="1">
      <c r="A377" s="318" t="inlineStr">
        <is>
          <t>Ветчины</t>
        </is>
      </c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318" t="n"/>
      <c r="Y377" s="318" t="n"/>
    </row>
    <row r="378" ht="16.5" customHeight="1">
      <c r="A378" s="64" t="inlineStr">
        <is>
          <t>SU002035</t>
        </is>
      </c>
      <c r="B378" s="64" t="inlineStr">
        <is>
          <t>P003146</t>
        </is>
      </c>
      <c r="C378" s="37" t="n">
        <v>4301020222</v>
      </c>
      <c r="D378" s="308" t="n">
        <v>4607091388930</v>
      </c>
      <c r="E378" s="609" t="n"/>
      <c r="F378" s="641" t="n">
        <v>0.88</v>
      </c>
      <c r="G378" s="38" t="n">
        <v>6</v>
      </c>
      <c r="H378" s="641" t="n">
        <v>5.28</v>
      </c>
      <c r="I378" s="641" t="n">
        <v>5.64</v>
      </c>
      <c r="J378" s="38" t="n">
        <v>104</v>
      </c>
      <c r="K378" s="39" t="inlineStr">
        <is>
          <t>СК1</t>
        </is>
      </c>
      <c r="L378" s="38" t="n">
        <v>55</v>
      </c>
      <c r="M378" s="855">
        <f>HYPERLINK("https://abi.ru/products/Охлажденные/Дугушка/Дугушка/Ветчины/P003146/","Ветчины Дугушка Дугушка Вес б/о Дугушка")</f>
        <v/>
      </c>
      <c r="N378" s="643" t="n"/>
      <c r="O378" s="643" t="n"/>
      <c r="P378" s="643" t="n"/>
      <c r="Q378" s="609" t="n"/>
      <c r="R378" s="40" t="inlineStr"/>
      <c r="S378" s="40" t="inlineStr"/>
      <c r="T378" s="41" t="inlineStr">
        <is>
          <t>кг</t>
        </is>
      </c>
      <c r="U378" s="644" t="n">
        <v>150</v>
      </c>
      <c r="V378" s="645">
        <f>IFERROR(IF(U378="",0,CEILING((U378/$H378),1)*$H378),"")</f>
        <v/>
      </c>
      <c r="W378" s="42">
        <f>IFERROR(IF(V378=0,"",ROUNDUP(V378/H378,0)*0.01196),"")</f>
        <v/>
      </c>
      <c r="X378" s="69" t="inlineStr"/>
      <c r="Y378" s="70" t="inlineStr"/>
      <c r="AC378" s="281" t="inlineStr">
        <is>
          <t>КИ</t>
        </is>
      </c>
    </row>
    <row r="379" ht="16.5" customHeight="1">
      <c r="A379" s="64" t="inlineStr">
        <is>
          <t>SU002643</t>
        </is>
      </c>
      <c r="B379" s="64" t="inlineStr">
        <is>
          <t>P002993</t>
        </is>
      </c>
      <c r="C379" s="37" t="n">
        <v>4301020206</v>
      </c>
      <c r="D379" s="308" t="n">
        <v>4680115880054</v>
      </c>
      <c r="E379" s="609" t="n"/>
      <c r="F379" s="641" t="n">
        <v>0.6</v>
      </c>
      <c r="G379" s="38" t="n">
        <v>6</v>
      </c>
      <c r="H379" s="641" t="n">
        <v>3.6</v>
      </c>
      <c r="I379" s="641" t="n">
        <v>3.84</v>
      </c>
      <c r="J379" s="38" t="n">
        <v>120</v>
      </c>
      <c r="K379" s="39" t="inlineStr">
        <is>
          <t>СК1</t>
        </is>
      </c>
      <c r="L379" s="38" t="n">
        <v>55</v>
      </c>
      <c r="M379" s="856" t="inlineStr">
        <is>
          <t>Ветчины "Дугушка" Фикс.вес 0,6 П/а ТМ "Дугушка"</t>
        </is>
      </c>
      <c r="N379" s="643" t="n"/>
      <c r="O379" s="643" t="n"/>
      <c r="P379" s="643" t="n"/>
      <c r="Q379" s="609" t="n"/>
      <c r="R379" s="40" t="inlineStr"/>
      <c r="S379" s="40" t="inlineStr"/>
      <c r="T379" s="41" t="inlineStr">
        <is>
          <t>кг</t>
        </is>
      </c>
      <c r="U379" s="644" t="n">
        <v>0</v>
      </c>
      <c r="V379" s="645">
        <f>IFERROR(IF(U379="",0,CEILING((U379/$H379),1)*$H379),"")</f>
        <v/>
      </c>
      <c r="W379" s="42">
        <f>IFERROR(IF(V379=0,"",ROUNDUP(V379/H379,0)*0.00937),"")</f>
        <v/>
      </c>
      <c r="X379" s="69" t="inlineStr"/>
      <c r="Y379" s="70" t="inlineStr"/>
      <c r="AC379" s="282" t="inlineStr">
        <is>
          <t>КИ</t>
        </is>
      </c>
    </row>
    <row r="380">
      <c r="A380" s="317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646" t="n"/>
      <c r="M380" s="647" t="inlineStr">
        <is>
          <t>Итого</t>
        </is>
      </c>
      <c r="N380" s="617" t="n"/>
      <c r="O380" s="617" t="n"/>
      <c r="P380" s="617" t="n"/>
      <c r="Q380" s="617" t="n"/>
      <c r="R380" s="617" t="n"/>
      <c r="S380" s="618" t="n"/>
      <c r="T380" s="43" t="inlineStr">
        <is>
          <t>кор</t>
        </is>
      </c>
      <c r="U380" s="648">
        <f>IFERROR(U378/H378,"0")+IFERROR(U379/H379,"0")</f>
        <v/>
      </c>
      <c r="V380" s="648">
        <f>IFERROR(V378/H378,"0")+IFERROR(V379/H379,"0")</f>
        <v/>
      </c>
      <c r="W380" s="648">
        <f>IFERROR(IF(W378="",0,W378),"0")+IFERROR(IF(W379="",0,W379),"0")</f>
        <v/>
      </c>
      <c r="X380" s="649" t="n"/>
      <c r="Y380" s="649" t="n"/>
    </row>
    <row r="381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646" t="n"/>
      <c r="M381" s="647" t="inlineStr">
        <is>
          <t>Итого</t>
        </is>
      </c>
      <c r="N381" s="617" t="n"/>
      <c r="O381" s="617" t="n"/>
      <c r="P381" s="617" t="n"/>
      <c r="Q381" s="617" t="n"/>
      <c r="R381" s="617" t="n"/>
      <c r="S381" s="618" t="n"/>
      <c r="T381" s="43" t="inlineStr">
        <is>
          <t>кг</t>
        </is>
      </c>
      <c r="U381" s="648">
        <f>IFERROR(SUM(U378:U379),"0")</f>
        <v/>
      </c>
      <c r="V381" s="648">
        <f>IFERROR(SUM(V378:V379),"0")</f>
        <v/>
      </c>
      <c r="W381" s="43" t="n"/>
      <c r="X381" s="649" t="n"/>
      <c r="Y381" s="649" t="n"/>
    </row>
    <row r="382" ht="14.25" customHeight="1">
      <c r="A382" s="318" t="inlineStr">
        <is>
          <t>Копченые колбасы</t>
        </is>
      </c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318" t="n"/>
      <c r="Y382" s="318" t="n"/>
    </row>
    <row r="383" ht="27" customHeight="1">
      <c r="A383" s="64" t="inlineStr">
        <is>
          <t>SU002150</t>
        </is>
      </c>
      <c r="B383" s="64" t="inlineStr">
        <is>
          <t>P003249</t>
        </is>
      </c>
      <c r="C383" s="37" t="n">
        <v>4301031198</v>
      </c>
      <c r="D383" s="308" t="n">
        <v>4607091383348</v>
      </c>
      <c r="E383" s="609" t="n"/>
      <c r="F383" s="641" t="n">
        <v>0.88</v>
      </c>
      <c r="G383" s="38" t="n">
        <v>6</v>
      </c>
      <c r="H383" s="641" t="n">
        <v>5.28</v>
      </c>
      <c r="I383" s="641" t="n">
        <v>5.64</v>
      </c>
      <c r="J383" s="38" t="n">
        <v>104</v>
      </c>
      <c r="K383" s="39" t="inlineStr">
        <is>
          <t>СК1</t>
        </is>
      </c>
      <c r="L383" s="38" t="n">
        <v>55</v>
      </c>
      <c r="M383" s="857">
        <f>HYPERLINK("https://abi.ru/products/Охлажденные/Дугушка/Дугушка/Копченые колбасы/P003249/","В/к колбасы Рубленая Запеченная Дугушка Весовые Вектор Дугушка")</f>
        <v/>
      </c>
      <c r="N383" s="643" t="n"/>
      <c r="O383" s="643" t="n"/>
      <c r="P383" s="643" t="n"/>
      <c r="Q383" s="609" t="n"/>
      <c r="R383" s="40" t="inlineStr"/>
      <c r="S383" s="40" t="inlineStr"/>
      <c r="T383" s="41" t="inlineStr">
        <is>
          <t>кг</t>
        </is>
      </c>
      <c r="U383" s="644" t="n">
        <v>50</v>
      </c>
      <c r="V383" s="645">
        <f>IFERROR(IF(U383="",0,CEILING((U383/$H383),1)*$H383),"")</f>
        <v/>
      </c>
      <c r="W383" s="42">
        <f>IFERROR(IF(V383=0,"",ROUNDUP(V383/H383,0)*0.01196),"")</f>
        <v/>
      </c>
      <c r="X383" s="69" t="inlineStr"/>
      <c r="Y383" s="70" t="inlineStr"/>
      <c r="AC383" s="283" t="inlineStr">
        <is>
          <t>КИ</t>
        </is>
      </c>
    </row>
    <row r="384" ht="27" customHeight="1">
      <c r="A384" s="64" t="inlineStr">
        <is>
          <t>SU002158</t>
        </is>
      </c>
      <c r="B384" s="64" t="inlineStr">
        <is>
          <t>P003152</t>
        </is>
      </c>
      <c r="C384" s="37" t="n">
        <v>4301031188</v>
      </c>
      <c r="D384" s="308" t="n">
        <v>4607091383386</v>
      </c>
      <c r="E384" s="609" t="n"/>
      <c r="F384" s="641" t="n">
        <v>0.88</v>
      </c>
      <c r="G384" s="38" t="n">
        <v>6</v>
      </c>
      <c r="H384" s="641" t="n">
        <v>5.28</v>
      </c>
      <c r="I384" s="641" t="n">
        <v>5.64</v>
      </c>
      <c r="J384" s="38" t="n">
        <v>104</v>
      </c>
      <c r="K384" s="39" t="inlineStr">
        <is>
          <t>СК2</t>
        </is>
      </c>
      <c r="L384" s="38" t="n">
        <v>55</v>
      </c>
      <c r="M384" s="858">
        <f>HYPERLINK("https://abi.ru/products/Охлажденные/Дугушка/Дугушка/Копченые колбасы/P003152/","В/к колбасы Салями Запеченая Дугушка Весовые Вектор Дугушка")</f>
        <v/>
      </c>
      <c r="N384" s="643" t="n"/>
      <c r="O384" s="643" t="n"/>
      <c r="P384" s="643" t="n"/>
      <c r="Q384" s="609" t="n"/>
      <c r="R384" s="40" t="inlineStr"/>
      <c r="S384" s="40" t="inlineStr"/>
      <c r="T384" s="41" t="inlineStr">
        <is>
          <t>кг</t>
        </is>
      </c>
      <c r="U384" s="644" t="n">
        <v>100</v>
      </c>
      <c r="V384" s="645">
        <f>IFERROR(IF(U384="",0,CEILING((U384/$H384),1)*$H384),"")</f>
        <v/>
      </c>
      <c r="W384" s="42">
        <f>IFERROR(IF(V384=0,"",ROUNDUP(V384/H384,0)*0.01196),"")</f>
        <v/>
      </c>
      <c r="X384" s="69" t="inlineStr"/>
      <c r="Y384" s="70" t="inlineStr"/>
      <c r="AC384" s="284" t="inlineStr">
        <is>
          <t>КИ</t>
        </is>
      </c>
    </row>
    <row r="385" ht="27" customHeight="1">
      <c r="A385" s="64" t="inlineStr">
        <is>
          <t>SU002151</t>
        </is>
      </c>
      <c r="B385" s="64" t="inlineStr">
        <is>
          <t>P003153</t>
        </is>
      </c>
      <c r="C385" s="37" t="n">
        <v>4301031189</v>
      </c>
      <c r="D385" s="308" t="n">
        <v>4607091383355</v>
      </c>
      <c r="E385" s="609" t="n"/>
      <c r="F385" s="641" t="n">
        <v>0.88</v>
      </c>
      <c r="G385" s="38" t="n">
        <v>6</v>
      </c>
      <c r="H385" s="641" t="n">
        <v>5.28</v>
      </c>
      <c r="I385" s="641" t="n">
        <v>5.64</v>
      </c>
      <c r="J385" s="38" t="n">
        <v>104</v>
      </c>
      <c r="K385" s="39" t="inlineStr">
        <is>
          <t>СК2</t>
        </is>
      </c>
      <c r="L385" s="38" t="n">
        <v>55</v>
      </c>
      <c r="M385" s="859">
        <f>HYPERLINK("https://abi.ru/products/Охлажденные/Дугушка/Дугушка/Копченые колбасы/P003153/","В/к колбасы Сервелат Запеченный Дугушка Вес Вектор Дугушка")</f>
        <v/>
      </c>
      <c r="N385" s="643" t="n"/>
      <c r="O385" s="643" t="n"/>
      <c r="P385" s="643" t="n"/>
      <c r="Q385" s="609" t="n"/>
      <c r="R385" s="40" t="inlineStr"/>
      <c r="S385" s="40" t="inlineStr"/>
      <c r="T385" s="41" t="inlineStr">
        <is>
          <t>кг</t>
        </is>
      </c>
      <c r="U385" s="644" t="n">
        <v>280</v>
      </c>
      <c r="V385" s="645">
        <f>IFERROR(IF(U385="",0,CEILING((U385/$H385),1)*$H385),"")</f>
        <v/>
      </c>
      <c r="W385" s="42">
        <f>IFERROR(IF(V385=0,"",ROUNDUP(V385/H385,0)*0.01196),"")</f>
        <v/>
      </c>
      <c r="X385" s="69" t="inlineStr"/>
      <c r="Y385" s="70" t="inlineStr"/>
      <c r="AC385" s="285" t="inlineStr">
        <is>
          <t>КИ</t>
        </is>
      </c>
    </row>
    <row r="386" ht="27" customHeight="1">
      <c r="A386" s="64" t="inlineStr">
        <is>
          <t>SU002916</t>
        </is>
      </c>
      <c r="B386" s="64" t="inlineStr">
        <is>
          <t>P003342</t>
        </is>
      </c>
      <c r="C386" s="37" t="n">
        <v>4301031214</v>
      </c>
      <c r="D386" s="308" t="n">
        <v>4680115882072</v>
      </c>
      <c r="E386" s="609" t="n"/>
      <c r="F386" s="641" t="n">
        <v>0.6</v>
      </c>
      <c r="G386" s="38" t="n">
        <v>6</v>
      </c>
      <c r="H386" s="641" t="n">
        <v>3.6</v>
      </c>
      <c r="I386" s="641" t="n">
        <v>3.84</v>
      </c>
      <c r="J386" s="38" t="n">
        <v>120</v>
      </c>
      <c r="K386" s="39" t="inlineStr">
        <is>
          <t>СК1</t>
        </is>
      </c>
      <c r="L386" s="38" t="n">
        <v>55</v>
      </c>
      <c r="M386" s="860" t="inlineStr">
        <is>
          <t>В/к колбасы "Рубленая Запеченная" Фикс.вес 0,6 Вектор ТМ "Дугушка"</t>
        </is>
      </c>
      <c r="N386" s="643" t="n"/>
      <c r="O386" s="643" t="n"/>
      <c r="P386" s="643" t="n"/>
      <c r="Q386" s="609" t="n"/>
      <c r="R386" s="40" t="inlineStr"/>
      <c r="S386" s="40" t="inlineStr"/>
      <c r="T386" s="41" t="inlineStr">
        <is>
          <t>кг</t>
        </is>
      </c>
      <c r="U386" s="644" t="n">
        <v>0</v>
      </c>
      <c r="V386" s="645">
        <f>IFERROR(IF(U386="",0,CEILING((U386/$H386),1)*$H386),"")</f>
        <v/>
      </c>
      <c r="W386" s="42">
        <f>IFERROR(IF(V386=0,"",ROUNDUP(V386/H386,0)*0.00937),"")</f>
        <v/>
      </c>
      <c r="X386" s="69" t="inlineStr"/>
      <c r="Y386" s="70" t="inlineStr"/>
      <c r="AC386" s="286" t="inlineStr">
        <is>
          <t>КИ</t>
        </is>
      </c>
    </row>
    <row r="387" ht="27" customHeight="1">
      <c r="A387" s="64" t="inlineStr">
        <is>
          <t>SU002919</t>
        </is>
      </c>
      <c r="B387" s="64" t="inlineStr">
        <is>
          <t>P003345</t>
        </is>
      </c>
      <c r="C387" s="37" t="n">
        <v>4301031217</v>
      </c>
      <c r="D387" s="308" t="n">
        <v>4680115882102</v>
      </c>
      <c r="E387" s="609" t="n"/>
      <c r="F387" s="641" t="n">
        <v>0.6</v>
      </c>
      <c r="G387" s="38" t="n">
        <v>6</v>
      </c>
      <c r="H387" s="641" t="n">
        <v>3.6</v>
      </c>
      <c r="I387" s="641" t="n">
        <v>3.81</v>
      </c>
      <c r="J387" s="38" t="n">
        <v>120</v>
      </c>
      <c r="K387" s="39" t="inlineStr">
        <is>
          <t>СК2</t>
        </is>
      </c>
      <c r="L387" s="38" t="n">
        <v>55</v>
      </c>
      <c r="M387" s="861" t="inlineStr">
        <is>
          <t>В/к колбасы "Салями Запеченая" Фикс.вес 0,6 Вектор ТМ "Дугушка"</t>
        </is>
      </c>
      <c r="N387" s="643" t="n"/>
      <c r="O387" s="643" t="n"/>
      <c r="P387" s="643" t="n"/>
      <c r="Q387" s="609" t="n"/>
      <c r="R387" s="40" t="inlineStr"/>
      <c r="S387" s="40" t="inlineStr"/>
      <c r="T387" s="41" t="inlineStr">
        <is>
          <t>кг</t>
        </is>
      </c>
      <c r="U387" s="644" t="n">
        <v>0</v>
      </c>
      <c r="V387" s="645">
        <f>IFERROR(IF(U387="",0,CEILING((U387/$H387),1)*$H387),"")</f>
        <v/>
      </c>
      <c r="W387" s="42">
        <f>IFERROR(IF(V387=0,"",ROUNDUP(V387/H387,0)*0.00937),"")</f>
        <v/>
      </c>
      <c r="X387" s="69" t="inlineStr"/>
      <c r="Y387" s="70" t="inlineStr"/>
      <c r="AC387" s="287" t="inlineStr">
        <is>
          <t>КИ</t>
        </is>
      </c>
    </row>
    <row r="388" ht="27" customHeight="1">
      <c r="A388" s="64" t="inlineStr">
        <is>
          <t>SU002918</t>
        </is>
      </c>
      <c r="B388" s="64" t="inlineStr">
        <is>
          <t>P003344</t>
        </is>
      </c>
      <c r="C388" s="37" t="n">
        <v>4301031216</v>
      </c>
      <c r="D388" s="308" t="n">
        <v>4680115882096</v>
      </c>
      <c r="E388" s="609" t="n"/>
      <c r="F388" s="641" t="n">
        <v>0.6</v>
      </c>
      <c r="G388" s="38" t="n">
        <v>6</v>
      </c>
      <c r="H388" s="641" t="n">
        <v>3.6</v>
      </c>
      <c r="I388" s="641" t="n">
        <v>3.81</v>
      </c>
      <c r="J388" s="38" t="n">
        <v>120</v>
      </c>
      <c r="K388" s="39" t="inlineStr">
        <is>
          <t>СК2</t>
        </is>
      </c>
      <c r="L388" s="38" t="n">
        <v>55</v>
      </c>
      <c r="M388" s="862" t="inlineStr">
        <is>
          <t>В/к колбасы "Сервелат Запеченный" Фикс.вес 0,6 Вектор ТМ "Дугушка"</t>
        </is>
      </c>
      <c r="N388" s="643" t="n"/>
      <c r="O388" s="643" t="n"/>
      <c r="P388" s="643" t="n"/>
      <c r="Q388" s="609" t="n"/>
      <c r="R388" s="40" t="inlineStr"/>
      <c r="S388" s="40" t="inlineStr"/>
      <c r="T388" s="41" t="inlineStr">
        <is>
          <t>кг</t>
        </is>
      </c>
      <c r="U388" s="644" t="n">
        <v>0</v>
      </c>
      <c r="V388" s="645">
        <f>IFERROR(IF(U388="",0,CEILING((U388/$H388),1)*$H388),"")</f>
        <v/>
      </c>
      <c r="W388" s="42">
        <f>IFERROR(IF(V388=0,"",ROUNDUP(V388/H388,0)*0.00937),"")</f>
        <v/>
      </c>
      <c r="X388" s="69" t="inlineStr"/>
      <c r="Y388" s="70" t="inlineStr"/>
      <c r="AC388" s="288" t="inlineStr">
        <is>
          <t>КИ</t>
        </is>
      </c>
    </row>
    <row r="389">
      <c r="A389" s="317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646" t="n"/>
      <c r="M389" s="647" t="inlineStr">
        <is>
          <t>Итого</t>
        </is>
      </c>
      <c r="N389" s="617" t="n"/>
      <c r="O389" s="617" t="n"/>
      <c r="P389" s="617" t="n"/>
      <c r="Q389" s="617" t="n"/>
      <c r="R389" s="617" t="n"/>
      <c r="S389" s="618" t="n"/>
      <c r="T389" s="43" t="inlineStr">
        <is>
          <t>кор</t>
        </is>
      </c>
      <c r="U389" s="648">
        <f>IFERROR(U383/H383,"0")+IFERROR(U384/H384,"0")+IFERROR(U385/H385,"0")+IFERROR(U386/H386,"0")+IFERROR(U387/H387,"0")+IFERROR(U388/H388,"0")</f>
        <v/>
      </c>
      <c r="V389" s="648">
        <f>IFERROR(V383/H383,"0")+IFERROR(V384/H384,"0")+IFERROR(V385/H385,"0")+IFERROR(V386/H386,"0")+IFERROR(V387/H387,"0")+IFERROR(V388/H388,"0")</f>
        <v/>
      </c>
      <c r="W389" s="648">
        <f>IFERROR(IF(W383="",0,W383),"0")+IFERROR(IF(W384="",0,W384),"0")+IFERROR(IF(W385="",0,W385),"0")+IFERROR(IF(W386="",0,W386),"0")+IFERROR(IF(W387="",0,W387),"0")+IFERROR(IF(W388="",0,W388),"0")</f>
        <v/>
      </c>
      <c r="X389" s="649" t="n"/>
      <c r="Y389" s="649" t="n"/>
    </row>
    <row r="390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646" t="n"/>
      <c r="M390" s="647" t="inlineStr">
        <is>
          <t>Итого</t>
        </is>
      </c>
      <c r="N390" s="617" t="n"/>
      <c r="O390" s="617" t="n"/>
      <c r="P390" s="617" t="n"/>
      <c r="Q390" s="617" t="n"/>
      <c r="R390" s="617" t="n"/>
      <c r="S390" s="618" t="n"/>
      <c r="T390" s="43" t="inlineStr">
        <is>
          <t>кг</t>
        </is>
      </c>
      <c r="U390" s="648">
        <f>IFERROR(SUM(U383:U388),"0")</f>
        <v/>
      </c>
      <c r="V390" s="648">
        <f>IFERROR(SUM(V383:V388),"0")</f>
        <v/>
      </c>
      <c r="W390" s="43" t="n"/>
      <c r="X390" s="649" t="n"/>
      <c r="Y390" s="649" t="n"/>
    </row>
    <row r="391" ht="14.25" customHeight="1">
      <c r="A391" s="318" t="inlineStr">
        <is>
          <t>Сосиски</t>
        </is>
      </c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318" t="n"/>
      <c r="Y391" s="318" t="n"/>
    </row>
    <row r="392" ht="16.5" customHeight="1">
      <c r="A392" s="64" t="inlineStr">
        <is>
          <t>SU002218</t>
        </is>
      </c>
      <c r="B392" s="64" t="inlineStr">
        <is>
          <t>P002854</t>
        </is>
      </c>
      <c r="C392" s="37" t="n">
        <v>4301051230</v>
      </c>
      <c r="D392" s="308" t="n">
        <v>4607091383409</v>
      </c>
      <c r="E392" s="609" t="n"/>
      <c r="F392" s="641" t="n">
        <v>1.3</v>
      </c>
      <c r="G392" s="38" t="n">
        <v>6</v>
      </c>
      <c r="H392" s="641" t="n">
        <v>7.8</v>
      </c>
      <c r="I392" s="641" t="n">
        <v>8.346</v>
      </c>
      <c r="J392" s="38" t="n">
        <v>56</v>
      </c>
      <c r="K392" s="39" t="inlineStr">
        <is>
          <t>СК2</t>
        </is>
      </c>
      <c r="L392" s="38" t="n">
        <v>45</v>
      </c>
      <c r="M392" s="863">
        <f>HYPERLINK("https://abi.ru/products/Охлажденные/Дугушка/Дугушка/Сосиски/P002854/","Сосиски Молочные Дугушки Дугушка Весовые П/а мгс Дугушка")</f>
        <v/>
      </c>
      <c r="N392" s="643" t="n"/>
      <c r="O392" s="643" t="n"/>
      <c r="P392" s="643" t="n"/>
      <c r="Q392" s="609" t="n"/>
      <c r="R392" s="40" t="inlineStr"/>
      <c r="S392" s="40" t="inlineStr"/>
      <c r="T392" s="41" t="inlineStr">
        <is>
          <t>кг</t>
        </is>
      </c>
      <c r="U392" s="644" t="n">
        <v>0</v>
      </c>
      <c r="V392" s="645">
        <f>IFERROR(IF(U392="",0,CEILING((U392/$H392),1)*$H392),"")</f>
        <v/>
      </c>
      <c r="W392" s="42">
        <f>IFERROR(IF(V392=0,"",ROUNDUP(V392/H392,0)*0.02175),"")</f>
        <v/>
      </c>
      <c r="X392" s="69" t="inlineStr"/>
      <c r="Y392" s="70" t="inlineStr"/>
      <c r="AC392" s="289" t="inlineStr">
        <is>
          <t>КИ</t>
        </is>
      </c>
    </row>
    <row r="393" ht="16.5" customHeight="1">
      <c r="A393" s="64" t="inlineStr">
        <is>
          <t>SU002219</t>
        </is>
      </c>
      <c r="B393" s="64" t="inlineStr">
        <is>
          <t>P002855</t>
        </is>
      </c>
      <c r="C393" s="37" t="n">
        <v>4301051231</v>
      </c>
      <c r="D393" s="308" t="n">
        <v>4607091383416</v>
      </c>
      <c r="E393" s="609" t="n"/>
      <c r="F393" s="641" t="n">
        <v>1.3</v>
      </c>
      <c r="G393" s="38" t="n">
        <v>6</v>
      </c>
      <c r="H393" s="641" t="n">
        <v>7.8</v>
      </c>
      <c r="I393" s="641" t="n">
        <v>8.346</v>
      </c>
      <c r="J393" s="38" t="n">
        <v>56</v>
      </c>
      <c r="K393" s="39" t="inlineStr">
        <is>
          <t>СК2</t>
        </is>
      </c>
      <c r="L393" s="38" t="n">
        <v>45</v>
      </c>
      <c r="M393" s="864">
        <f>HYPERLINK("https://abi.ru/products/Охлажденные/Дугушка/Дугушка/Сосиски/P002855/","Сосиски Сливочные Дугушки Дугушка Весовые П/а мгс Дугушка")</f>
        <v/>
      </c>
      <c r="N393" s="643" t="n"/>
      <c r="O393" s="643" t="n"/>
      <c r="P393" s="643" t="n"/>
      <c r="Q393" s="609" t="n"/>
      <c r="R393" s="40" t="inlineStr"/>
      <c r="S393" s="40" t="inlineStr"/>
      <c r="T393" s="41" t="inlineStr">
        <is>
          <t>кг</t>
        </is>
      </c>
      <c r="U393" s="644" t="n">
        <v>0</v>
      </c>
      <c r="V393" s="645">
        <f>IFERROR(IF(U393="",0,CEILING((U393/$H393),1)*$H393),"")</f>
        <v/>
      </c>
      <c r="W393" s="42">
        <f>IFERROR(IF(V393=0,"",ROUNDUP(V393/H393,0)*0.02175),"")</f>
        <v/>
      </c>
      <c r="X393" s="69" t="inlineStr"/>
      <c r="Y393" s="70" t="inlineStr"/>
      <c r="AC393" s="290" t="inlineStr">
        <is>
          <t>КИ</t>
        </is>
      </c>
    </row>
    <row r="394">
      <c r="A394" s="317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646" t="n"/>
      <c r="M394" s="647" t="inlineStr">
        <is>
          <t>Итого</t>
        </is>
      </c>
      <c r="N394" s="617" t="n"/>
      <c r="O394" s="617" t="n"/>
      <c r="P394" s="617" t="n"/>
      <c r="Q394" s="617" t="n"/>
      <c r="R394" s="617" t="n"/>
      <c r="S394" s="618" t="n"/>
      <c r="T394" s="43" t="inlineStr">
        <is>
          <t>кор</t>
        </is>
      </c>
      <c r="U394" s="648">
        <f>IFERROR(U392/H392,"0")+IFERROR(U393/H393,"0")</f>
        <v/>
      </c>
      <c r="V394" s="648">
        <f>IFERROR(V392/H392,"0")+IFERROR(V393/H393,"0")</f>
        <v/>
      </c>
      <c r="W394" s="648">
        <f>IFERROR(IF(W392="",0,W392),"0")+IFERROR(IF(W393="",0,W393),"0")</f>
        <v/>
      </c>
      <c r="X394" s="649" t="n"/>
      <c r="Y394" s="649" t="n"/>
    </row>
    <row r="395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646" t="n"/>
      <c r="M395" s="647" t="inlineStr">
        <is>
          <t>Итого</t>
        </is>
      </c>
      <c r="N395" s="617" t="n"/>
      <c r="O395" s="617" t="n"/>
      <c r="P395" s="617" t="n"/>
      <c r="Q395" s="617" t="n"/>
      <c r="R395" s="617" t="n"/>
      <c r="S395" s="618" t="n"/>
      <c r="T395" s="43" t="inlineStr">
        <is>
          <t>кг</t>
        </is>
      </c>
      <c r="U395" s="648">
        <f>IFERROR(SUM(U392:U393),"0")</f>
        <v/>
      </c>
      <c r="V395" s="648">
        <f>IFERROR(SUM(V392:V393),"0")</f>
        <v/>
      </c>
      <c r="W395" s="43" t="n"/>
      <c r="X395" s="649" t="n"/>
      <c r="Y395" s="649" t="n"/>
    </row>
    <row r="396" ht="27.75" customHeight="1">
      <c r="A396" s="323" t="inlineStr">
        <is>
          <t>Зареченские</t>
        </is>
      </c>
      <c r="B396" s="640" t="n"/>
      <c r="C396" s="640" t="n"/>
      <c r="D396" s="640" t="n"/>
      <c r="E396" s="640" t="n"/>
      <c r="F396" s="640" t="n"/>
      <c r="G396" s="640" t="n"/>
      <c r="H396" s="640" t="n"/>
      <c r="I396" s="640" t="n"/>
      <c r="J396" s="640" t="n"/>
      <c r="K396" s="640" t="n"/>
      <c r="L396" s="640" t="n"/>
      <c r="M396" s="640" t="n"/>
      <c r="N396" s="640" t="n"/>
      <c r="O396" s="640" t="n"/>
      <c r="P396" s="640" t="n"/>
      <c r="Q396" s="640" t="n"/>
      <c r="R396" s="640" t="n"/>
      <c r="S396" s="640" t="n"/>
      <c r="T396" s="640" t="n"/>
      <c r="U396" s="640" t="n"/>
      <c r="V396" s="640" t="n"/>
      <c r="W396" s="640" t="n"/>
      <c r="X396" s="55" t="n"/>
      <c r="Y396" s="55" t="n"/>
    </row>
    <row r="397" ht="16.5" customHeight="1">
      <c r="A397" s="324" t="inlineStr">
        <is>
          <t>Зареченские продукты</t>
        </is>
      </c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324" t="n"/>
      <c r="Y397" s="324" t="n"/>
    </row>
    <row r="398" ht="14.25" customHeight="1">
      <c r="A398" s="318" t="inlineStr">
        <is>
          <t>Вареные колбасы</t>
        </is>
      </c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318" t="n"/>
      <c r="Y398" s="318" t="n"/>
    </row>
    <row r="399" ht="27" customHeight="1">
      <c r="A399" s="64" t="inlineStr">
        <is>
          <t>SU002807</t>
        </is>
      </c>
      <c r="B399" s="64" t="inlineStr">
        <is>
          <t>P003210</t>
        </is>
      </c>
      <c r="C399" s="37" t="n">
        <v>4301011434</v>
      </c>
      <c r="D399" s="308" t="n">
        <v>4680115881099</v>
      </c>
      <c r="E399" s="609" t="n"/>
      <c r="F399" s="641" t="n">
        <v>1.5</v>
      </c>
      <c r="G399" s="38" t="n">
        <v>8</v>
      </c>
      <c r="H399" s="641" t="n">
        <v>12</v>
      </c>
      <c r="I399" s="641" t="n">
        <v>12.48</v>
      </c>
      <c r="J399" s="38" t="n">
        <v>56</v>
      </c>
      <c r="K399" s="39" t="inlineStr">
        <is>
          <t>СК1</t>
        </is>
      </c>
      <c r="L399" s="38" t="n">
        <v>50</v>
      </c>
      <c r="M399" s="865" t="inlineStr">
        <is>
          <t>Вареные колбасы "Муромская" Весовой п/а ТМ "Зареченские"</t>
        </is>
      </c>
      <c r="N399" s="643" t="n"/>
      <c r="O399" s="643" t="n"/>
      <c r="P399" s="643" t="n"/>
      <c r="Q399" s="609" t="n"/>
      <c r="R399" s="40" t="inlineStr"/>
      <c r="S399" s="40" t="inlineStr"/>
      <c r="T399" s="41" t="inlineStr">
        <is>
          <t>кг</t>
        </is>
      </c>
      <c r="U399" s="644" t="n">
        <v>0</v>
      </c>
      <c r="V399" s="645">
        <f>IFERROR(IF(U399="",0,CEILING((U399/$H399),1)*$H399),"")</f>
        <v/>
      </c>
      <c r="W399" s="42">
        <f>IFERROR(IF(V399=0,"",ROUNDUP(V399/H399,0)*0.02175),"")</f>
        <v/>
      </c>
      <c r="X399" s="69" t="inlineStr"/>
      <c r="Y399" s="70" t="inlineStr"/>
      <c r="AC399" s="291" t="inlineStr">
        <is>
          <t>КИ</t>
        </is>
      </c>
    </row>
    <row r="400" ht="27" customHeight="1">
      <c r="A400" s="64" t="inlineStr">
        <is>
          <t>SU002808</t>
        </is>
      </c>
      <c r="B400" s="64" t="inlineStr">
        <is>
          <t>P003214</t>
        </is>
      </c>
      <c r="C400" s="37" t="n">
        <v>4301011435</v>
      </c>
      <c r="D400" s="308" t="n">
        <v>4680115881150</v>
      </c>
      <c r="E400" s="609" t="n"/>
      <c r="F400" s="641" t="n">
        <v>1.5</v>
      </c>
      <c r="G400" s="38" t="n">
        <v>8</v>
      </c>
      <c r="H400" s="641" t="n">
        <v>12</v>
      </c>
      <c r="I400" s="641" t="n">
        <v>12.48</v>
      </c>
      <c r="J400" s="38" t="n">
        <v>56</v>
      </c>
      <c r="K400" s="39" t="inlineStr">
        <is>
          <t>СК1</t>
        </is>
      </c>
      <c r="L400" s="38" t="n">
        <v>50</v>
      </c>
      <c r="M400" s="866" t="inlineStr">
        <is>
          <t>Вареные колбасы "Нежная" НТУ Весовые П/а ТМ "Зареченские"</t>
        </is>
      </c>
      <c r="N400" s="643" t="n"/>
      <c r="O400" s="643" t="n"/>
      <c r="P400" s="643" t="n"/>
      <c r="Q400" s="609" t="n"/>
      <c r="R400" s="40" t="inlineStr"/>
      <c r="S400" s="40" t="inlineStr"/>
      <c r="T400" s="41" t="inlineStr">
        <is>
          <t>кг</t>
        </is>
      </c>
      <c r="U400" s="644" t="n">
        <v>100</v>
      </c>
      <c r="V400" s="645">
        <f>IFERROR(IF(U400="",0,CEILING((U400/$H400),1)*$H400),"")</f>
        <v/>
      </c>
      <c r="W400" s="42">
        <f>IFERROR(IF(V400=0,"",ROUNDUP(V400/H400,0)*0.02175),"")</f>
        <v/>
      </c>
      <c r="X400" s="69" t="inlineStr"/>
      <c r="Y400" s="70" t="inlineStr"/>
      <c r="AC400" s="292" t="inlineStr">
        <is>
          <t>КИ</t>
        </is>
      </c>
    </row>
    <row r="401">
      <c r="A401" s="317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646" t="n"/>
      <c r="M401" s="647" t="inlineStr">
        <is>
          <t>Итого</t>
        </is>
      </c>
      <c r="N401" s="617" t="n"/>
      <c r="O401" s="617" t="n"/>
      <c r="P401" s="617" t="n"/>
      <c r="Q401" s="617" t="n"/>
      <c r="R401" s="617" t="n"/>
      <c r="S401" s="618" t="n"/>
      <c r="T401" s="43" t="inlineStr">
        <is>
          <t>кор</t>
        </is>
      </c>
      <c r="U401" s="648">
        <f>IFERROR(U399/H399,"0")+IFERROR(U400/H400,"0")</f>
        <v/>
      </c>
      <c r="V401" s="648">
        <f>IFERROR(V399/H399,"0")+IFERROR(V400/H400,"0")</f>
        <v/>
      </c>
      <c r="W401" s="648">
        <f>IFERROR(IF(W399="",0,W399),"0")+IFERROR(IF(W400="",0,W400),"0")</f>
        <v/>
      </c>
      <c r="X401" s="649" t="n"/>
      <c r="Y401" s="649" t="n"/>
    </row>
    <row r="402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646" t="n"/>
      <c r="M402" s="647" t="inlineStr">
        <is>
          <t>Итого</t>
        </is>
      </c>
      <c r="N402" s="617" t="n"/>
      <c r="O402" s="617" t="n"/>
      <c r="P402" s="617" t="n"/>
      <c r="Q402" s="617" t="n"/>
      <c r="R402" s="617" t="n"/>
      <c r="S402" s="618" t="n"/>
      <c r="T402" s="43" t="inlineStr">
        <is>
          <t>кг</t>
        </is>
      </c>
      <c r="U402" s="648">
        <f>IFERROR(SUM(U399:U400),"0")</f>
        <v/>
      </c>
      <c r="V402" s="648">
        <f>IFERROR(SUM(V399:V400),"0")</f>
        <v/>
      </c>
      <c r="W402" s="43" t="n"/>
      <c r="X402" s="649" t="n"/>
      <c r="Y402" s="649" t="n"/>
    </row>
    <row r="403" ht="14.25" customHeight="1">
      <c r="A403" s="318" t="inlineStr">
        <is>
          <t>Ветчины</t>
        </is>
      </c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318" t="n"/>
      <c r="Y403" s="318" t="n"/>
    </row>
    <row r="404" ht="16.5" customHeight="1">
      <c r="A404" s="64" t="inlineStr">
        <is>
          <t>SU002806</t>
        </is>
      </c>
      <c r="B404" s="64" t="inlineStr">
        <is>
          <t>P003207</t>
        </is>
      </c>
      <c r="C404" s="37" t="n">
        <v>4301020230</v>
      </c>
      <c r="D404" s="308" t="n">
        <v>4680115881112</v>
      </c>
      <c r="E404" s="609" t="n"/>
      <c r="F404" s="641" t="n">
        <v>1.35</v>
      </c>
      <c r="G404" s="38" t="n">
        <v>8</v>
      </c>
      <c r="H404" s="641" t="n">
        <v>10.8</v>
      </c>
      <c r="I404" s="641" t="n">
        <v>11.28</v>
      </c>
      <c r="J404" s="38" t="n">
        <v>56</v>
      </c>
      <c r="K404" s="39" t="inlineStr">
        <is>
          <t>СК1</t>
        </is>
      </c>
      <c r="L404" s="38" t="n">
        <v>50</v>
      </c>
      <c r="M404" s="867" t="inlineStr">
        <is>
          <t>Ветчины "Нежная" Весовой п/а ТМ "Зареченские"</t>
        </is>
      </c>
      <c r="N404" s="643" t="n"/>
      <c r="O404" s="643" t="n"/>
      <c r="P404" s="643" t="n"/>
      <c r="Q404" s="609" t="n"/>
      <c r="R404" s="40" t="inlineStr"/>
      <c r="S404" s="40" t="inlineStr"/>
      <c r="T404" s="41" t="inlineStr">
        <is>
          <t>кг</t>
        </is>
      </c>
      <c r="U404" s="644" t="n">
        <v>0</v>
      </c>
      <c r="V404" s="645">
        <f>IFERROR(IF(U404="",0,CEILING((U404/$H404),1)*$H404),"")</f>
        <v/>
      </c>
      <c r="W404" s="42">
        <f>IFERROR(IF(V404=0,"",ROUNDUP(V404/H404,0)*0.02175),"")</f>
        <v/>
      </c>
      <c r="X404" s="69" t="inlineStr"/>
      <c r="Y404" s="70" t="inlineStr"/>
      <c r="AC404" s="293" t="inlineStr">
        <is>
          <t>КИ</t>
        </is>
      </c>
    </row>
    <row r="405" ht="27" customHeight="1">
      <c r="A405" s="64" t="inlineStr">
        <is>
          <t>SU002811</t>
        </is>
      </c>
      <c r="B405" s="64" t="inlineStr">
        <is>
          <t>P003208</t>
        </is>
      </c>
      <c r="C405" s="37" t="n">
        <v>4301020231</v>
      </c>
      <c r="D405" s="308" t="n">
        <v>4680115881129</v>
      </c>
      <c r="E405" s="609" t="n"/>
      <c r="F405" s="641" t="n">
        <v>1.8</v>
      </c>
      <c r="G405" s="38" t="n">
        <v>6</v>
      </c>
      <c r="H405" s="641" t="n">
        <v>10.8</v>
      </c>
      <c r="I405" s="641" t="n">
        <v>11.28</v>
      </c>
      <c r="J405" s="38" t="n">
        <v>56</v>
      </c>
      <c r="K405" s="39" t="inlineStr">
        <is>
          <t>СК1</t>
        </is>
      </c>
      <c r="L405" s="38" t="n">
        <v>50</v>
      </c>
      <c r="M405" s="868" t="inlineStr">
        <is>
          <t>Ветчины "Нежная" Весовой п/а ТМ "Зареченские" большой батон</t>
        </is>
      </c>
      <c r="N405" s="643" t="n"/>
      <c r="O405" s="643" t="n"/>
      <c r="P405" s="643" t="n"/>
      <c r="Q405" s="609" t="n"/>
      <c r="R405" s="40" t="inlineStr"/>
      <c r="S405" s="40" t="inlineStr"/>
      <c r="T405" s="41" t="inlineStr">
        <is>
          <t>кг</t>
        </is>
      </c>
      <c r="U405" s="644" t="n">
        <v>0</v>
      </c>
      <c r="V405" s="645">
        <f>IFERROR(IF(U405="",0,CEILING((U405/$H405),1)*$H405),"")</f>
        <v/>
      </c>
      <c r="W405" s="42">
        <f>IFERROR(IF(V405=0,"",ROUNDUP(V405/H405,0)*0.02175),"")</f>
        <v/>
      </c>
      <c r="X405" s="69" t="inlineStr"/>
      <c r="Y405" s="70" t="inlineStr"/>
      <c r="AC405" s="294" t="inlineStr">
        <is>
          <t>КИ</t>
        </is>
      </c>
    </row>
    <row r="406">
      <c r="A406" s="317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646" t="n"/>
      <c r="M406" s="647" t="inlineStr">
        <is>
          <t>Итого</t>
        </is>
      </c>
      <c r="N406" s="617" t="n"/>
      <c r="O406" s="617" t="n"/>
      <c r="P406" s="617" t="n"/>
      <c r="Q406" s="617" t="n"/>
      <c r="R406" s="617" t="n"/>
      <c r="S406" s="618" t="n"/>
      <c r="T406" s="43" t="inlineStr">
        <is>
          <t>кор</t>
        </is>
      </c>
      <c r="U406" s="648">
        <f>IFERROR(U404/H404,"0")+IFERROR(U405/H405,"0")</f>
        <v/>
      </c>
      <c r="V406" s="648">
        <f>IFERROR(V404/H404,"0")+IFERROR(V405/H405,"0")</f>
        <v/>
      </c>
      <c r="W406" s="648">
        <f>IFERROR(IF(W404="",0,W404),"0")+IFERROR(IF(W405="",0,W405),"0")</f>
        <v/>
      </c>
      <c r="X406" s="649" t="n"/>
      <c r="Y406" s="649" t="n"/>
    </row>
    <row r="407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646" t="n"/>
      <c r="M407" s="647" t="inlineStr">
        <is>
          <t>Итого</t>
        </is>
      </c>
      <c r="N407" s="617" t="n"/>
      <c r="O407" s="617" t="n"/>
      <c r="P407" s="617" t="n"/>
      <c r="Q407" s="617" t="n"/>
      <c r="R407" s="617" t="n"/>
      <c r="S407" s="618" t="n"/>
      <c r="T407" s="43" t="inlineStr">
        <is>
          <t>кг</t>
        </is>
      </c>
      <c r="U407" s="648">
        <f>IFERROR(SUM(U404:U405),"0")</f>
        <v/>
      </c>
      <c r="V407" s="648">
        <f>IFERROR(SUM(V404:V405),"0")</f>
        <v/>
      </c>
      <c r="W407" s="43" t="n"/>
      <c r="X407" s="649" t="n"/>
      <c r="Y407" s="649" t="n"/>
    </row>
    <row r="408" ht="14.25" customHeight="1">
      <c r="A408" s="318" t="inlineStr">
        <is>
          <t>Копченые колбасы</t>
        </is>
      </c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318" t="n"/>
      <c r="Y408" s="318" t="n"/>
    </row>
    <row r="409" ht="27" customHeight="1">
      <c r="A409" s="64" t="inlineStr">
        <is>
          <t>SU002805</t>
        </is>
      </c>
      <c r="B409" s="64" t="inlineStr">
        <is>
          <t>P003206</t>
        </is>
      </c>
      <c r="C409" s="37" t="n">
        <v>4301031192</v>
      </c>
      <c r="D409" s="308" t="n">
        <v>4680115881167</v>
      </c>
      <c r="E409" s="609" t="n"/>
      <c r="F409" s="641" t="n">
        <v>0.63</v>
      </c>
      <c r="G409" s="38" t="n">
        <v>6</v>
      </c>
      <c r="H409" s="641" t="n">
        <v>3.78</v>
      </c>
      <c r="I409" s="641" t="n">
        <v>4.04</v>
      </c>
      <c r="J409" s="38" t="n">
        <v>156</v>
      </c>
      <c r="K409" s="39" t="inlineStr">
        <is>
          <t>СК2</t>
        </is>
      </c>
      <c r="L409" s="38" t="n">
        <v>40</v>
      </c>
      <c r="M409" s="869" t="inlineStr">
        <is>
          <t>Копченые колбасы Пражский Зареченские продукты Весовой фиброуз Зареченские</t>
        </is>
      </c>
      <c r="N409" s="643" t="n"/>
      <c r="O409" s="643" t="n"/>
      <c r="P409" s="643" t="n"/>
      <c r="Q409" s="609" t="n"/>
      <c r="R409" s="40" t="inlineStr"/>
      <c r="S409" s="40" t="inlineStr"/>
      <c r="T409" s="41" t="inlineStr">
        <is>
          <t>кг</t>
        </is>
      </c>
      <c r="U409" s="644" t="n">
        <v>0</v>
      </c>
      <c r="V409" s="645">
        <f>IFERROR(IF(U409="",0,CEILING((U409/$H409),1)*$H409),"")</f>
        <v/>
      </c>
      <c r="W409" s="42">
        <f>IFERROR(IF(V409=0,"",ROUNDUP(V409/H409,0)*0.00753),"")</f>
        <v/>
      </c>
      <c r="X409" s="69" t="inlineStr"/>
      <c r="Y409" s="70" t="inlineStr"/>
      <c r="AC409" s="295" t="inlineStr">
        <is>
          <t>КИ</t>
        </is>
      </c>
    </row>
    <row r="410" ht="16.5" customHeight="1">
      <c r="A410" s="64" t="inlineStr">
        <is>
          <t>SU002809</t>
        </is>
      </c>
      <c r="B410" s="64" t="inlineStr">
        <is>
          <t>P003216</t>
        </is>
      </c>
      <c r="C410" s="37" t="n">
        <v>4301031193</v>
      </c>
      <c r="D410" s="308" t="n">
        <v>4680115881136</v>
      </c>
      <c r="E410" s="609" t="n"/>
      <c r="F410" s="641" t="n">
        <v>0.63</v>
      </c>
      <c r="G410" s="38" t="n">
        <v>6</v>
      </c>
      <c r="H410" s="641" t="n">
        <v>3.78</v>
      </c>
      <c r="I410" s="641" t="n">
        <v>4.04</v>
      </c>
      <c r="J410" s="38" t="n">
        <v>156</v>
      </c>
      <c r="K410" s="39" t="inlineStr">
        <is>
          <t>СК2</t>
        </is>
      </c>
      <c r="L410" s="38" t="n">
        <v>40</v>
      </c>
      <c r="M410" s="870" t="inlineStr">
        <is>
          <t>В/к колбасы "Рижский" НТУ Весовые Фиброуз в/у ТМ "Зареченские"</t>
        </is>
      </c>
      <c r="N410" s="643" t="n"/>
      <c r="O410" s="643" t="n"/>
      <c r="P410" s="643" t="n"/>
      <c r="Q410" s="609" t="n"/>
      <c r="R410" s="40" t="inlineStr"/>
      <c r="S410" s="40" t="inlineStr"/>
      <c r="T410" s="41" t="inlineStr">
        <is>
          <t>кг</t>
        </is>
      </c>
      <c r="U410" s="644" t="n">
        <v>0</v>
      </c>
      <c r="V410" s="645">
        <f>IFERROR(IF(U410="",0,CEILING((U410/$H410),1)*$H410),"")</f>
        <v/>
      </c>
      <c r="W410" s="42">
        <f>IFERROR(IF(V410=0,"",ROUNDUP(V410/H410,0)*0.00753),"")</f>
        <v/>
      </c>
      <c r="X410" s="69" t="inlineStr"/>
      <c r="Y410" s="70" t="inlineStr"/>
      <c r="AC410" s="296" t="inlineStr">
        <is>
          <t>КИ</t>
        </is>
      </c>
    </row>
    <row r="411">
      <c r="A411" s="317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646" t="n"/>
      <c r="M411" s="647" t="inlineStr">
        <is>
          <t>Итого</t>
        </is>
      </c>
      <c r="N411" s="617" t="n"/>
      <c r="O411" s="617" t="n"/>
      <c r="P411" s="617" t="n"/>
      <c r="Q411" s="617" t="n"/>
      <c r="R411" s="617" t="n"/>
      <c r="S411" s="618" t="n"/>
      <c r="T411" s="43" t="inlineStr">
        <is>
          <t>кор</t>
        </is>
      </c>
      <c r="U411" s="648">
        <f>IFERROR(U409/H409,"0")+IFERROR(U410/H410,"0")</f>
        <v/>
      </c>
      <c r="V411" s="648">
        <f>IFERROR(V409/H409,"0")+IFERROR(V410/H410,"0")</f>
        <v/>
      </c>
      <c r="W411" s="648">
        <f>IFERROR(IF(W409="",0,W409),"0")+IFERROR(IF(W410="",0,W410),"0")</f>
        <v/>
      </c>
      <c r="X411" s="649" t="n"/>
      <c r="Y411" s="649" t="n"/>
    </row>
    <row r="412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646" t="n"/>
      <c r="M412" s="647" t="inlineStr">
        <is>
          <t>Итого</t>
        </is>
      </c>
      <c r="N412" s="617" t="n"/>
      <c r="O412" s="617" t="n"/>
      <c r="P412" s="617" t="n"/>
      <c r="Q412" s="617" t="n"/>
      <c r="R412" s="617" t="n"/>
      <c r="S412" s="618" t="n"/>
      <c r="T412" s="43" t="inlineStr">
        <is>
          <t>кг</t>
        </is>
      </c>
      <c r="U412" s="648">
        <f>IFERROR(SUM(U409:U410),"0")</f>
        <v/>
      </c>
      <c r="V412" s="648">
        <f>IFERROR(SUM(V409:V410),"0")</f>
        <v/>
      </c>
      <c r="W412" s="43" t="n"/>
      <c r="X412" s="649" t="n"/>
      <c r="Y412" s="649" t="n"/>
    </row>
    <row r="413" ht="14.25" customHeight="1">
      <c r="A413" s="318" t="inlineStr">
        <is>
          <t>Сосиски</t>
        </is>
      </c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318" t="n"/>
      <c r="Y413" s="318" t="n"/>
    </row>
    <row r="414" ht="27" customHeight="1">
      <c r="A414" s="64" t="inlineStr">
        <is>
          <t>SU002810</t>
        </is>
      </c>
      <c r="B414" s="64" t="inlineStr">
        <is>
          <t>P003215</t>
        </is>
      </c>
      <c r="C414" s="37" t="n">
        <v>4301051383</v>
      </c>
      <c r="D414" s="308" t="n">
        <v>4680115881143</v>
      </c>
      <c r="E414" s="609" t="n"/>
      <c r="F414" s="641" t="n">
        <v>1.3</v>
      </c>
      <c r="G414" s="38" t="n">
        <v>6</v>
      </c>
      <c r="H414" s="641" t="n">
        <v>7.8</v>
      </c>
      <c r="I414" s="641" t="n">
        <v>8.364000000000001</v>
      </c>
      <c r="J414" s="38" t="n">
        <v>56</v>
      </c>
      <c r="K414" s="39" t="inlineStr">
        <is>
          <t>СК2</t>
        </is>
      </c>
      <c r="L414" s="38" t="n">
        <v>40</v>
      </c>
      <c r="M414" s="871" t="inlineStr">
        <is>
          <t>Сосиски "Датские" НТУ Весовые П/а мгс ТМ "Зареченские"</t>
        </is>
      </c>
      <c r="N414" s="643" t="n"/>
      <c r="O414" s="643" t="n"/>
      <c r="P414" s="643" t="n"/>
      <c r="Q414" s="609" t="n"/>
      <c r="R414" s="40" t="inlineStr"/>
      <c r="S414" s="40" t="inlineStr"/>
      <c r="T414" s="41" t="inlineStr">
        <is>
          <t>кг</t>
        </is>
      </c>
      <c r="U414" s="644" t="n">
        <v>400</v>
      </c>
      <c r="V414" s="645">
        <f>IFERROR(IF(U414="",0,CEILING((U414/$H414),1)*$H414),"")</f>
        <v/>
      </c>
      <c r="W414" s="42">
        <f>IFERROR(IF(V414=0,"",ROUNDUP(V414/H414,0)*0.02175),"")</f>
        <v/>
      </c>
      <c r="X414" s="69" t="inlineStr"/>
      <c r="Y414" s="70" t="inlineStr"/>
      <c r="AC414" s="297" t="inlineStr">
        <is>
          <t>КИ</t>
        </is>
      </c>
    </row>
    <row r="415" ht="27" customHeight="1">
      <c r="A415" s="64" t="inlineStr">
        <is>
          <t>SU002803</t>
        </is>
      </c>
      <c r="B415" s="64" t="inlineStr">
        <is>
          <t>P003204</t>
        </is>
      </c>
      <c r="C415" s="37" t="n">
        <v>4301051381</v>
      </c>
      <c r="D415" s="308" t="n">
        <v>4680115881068</v>
      </c>
      <c r="E415" s="609" t="n"/>
      <c r="F415" s="641" t="n">
        <v>1.3</v>
      </c>
      <c r="G415" s="38" t="n">
        <v>6</v>
      </c>
      <c r="H415" s="641" t="n">
        <v>7.8</v>
      </c>
      <c r="I415" s="641" t="n">
        <v>8.279999999999999</v>
      </c>
      <c r="J415" s="38" t="n">
        <v>56</v>
      </c>
      <c r="K415" s="39" t="inlineStr">
        <is>
          <t>СК2</t>
        </is>
      </c>
      <c r="L415" s="38" t="n">
        <v>30</v>
      </c>
      <c r="M415" s="872" t="inlineStr">
        <is>
          <t>Сосиски "Сочные" Весовой п/а ТМ "Зареченские"</t>
        </is>
      </c>
      <c r="N415" s="643" t="n"/>
      <c r="O415" s="643" t="n"/>
      <c r="P415" s="643" t="n"/>
      <c r="Q415" s="609" t="n"/>
      <c r="R415" s="40" t="inlineStr"/>
      <c r="S415" s="40" t="inlineStr"/>
      <c r="T415" s="41" t="inlineStr">
        <is>
          <t>кг</t>
        </is>
      </c>
      <c r="U415" s="644" t="n">
        <v>0</v>
      </c>
      <c r="V415" s="645">
        <f>IFERROR(IF(U415="",0,CEILING((U415/$H415),1)*$H415),"")</f>
        <v/>
      </c>
      <c r="W415" s="42">
        <f>IFERROR(IF(V415=0,"",ROUNDUP(V415/H415,0)*0.02175),"")</f>
        <v/>
      </c>
      <c r="X415" s="69" t="inlineStr"/>
      <c r="Y415" s="70" t="inlineStr"/>
      <c r="AC415" s="298" t="inlineStr">
        <is>
          <t>КИ</t>
        </is>
      </c>
    </row>
    <row r="416" ht="27" customHeight="1">
      <c r="A416" s="64" t="inlineStr">
        <is>
          <t>SU002804</t>
        </is>
      </c>
      <c r="B416" s="64" t="inlineStr">
        <is>
          <t>P003205</t>
        </is>
      </c>
      <c r="C416" s="37" t="n">
        <v>4301051382</v>
      </c>
      <c r="D416" s="308" t="n">
        <v>4680115881075</v>
      </c>
      <c r="E416" s="609" t="n"/>
      <c r="F416" s="641" t="n">
        <v>0.5</v>
      </c>
      <c r="G416" s="38" t="n">
        <v>6</v>
      </c>
      <c r="H416" s="641" t="n">
        <v>3</v>
      </c>
      <c r="I416" s="641" t="n">
        <v>3.2</v>
      </c>
      <c r="J416" s="38" t="n">
        <v>156</v>
      </c>
      <c r="K416" s="39" t="inlineStr">
        <is>
          <t>СК2</t>
        </is>
      </c>
      <c r="L416" s="38" t="n">
        <v>30</v>
      </c>
      <c r="M416" s="873" t="inlineStr">
        <is>
          <t>Сосиски "Сочные" Фикс.вес 0,5 п/а ТМ "Зареченские"</t>
        </is>
      </c>
      <c r="N416" s="643" t="n"/>
      <c r="O416" s="643" t="n"/>
      <c r="P416" s="643" t="n"/>
      <c r="Q416" s="609" t="n"/>
      <c r="R416" s="40" t="inlineStr"/>
      <c r="S416" s="40" t="inlineStr"/>
      <c r="T416" s="41" t="inlineStr">
        <is>
          <t>кг</t>
        </is>
      </c>
      <c r="U416" s="644" t="n">
        <v>0</v>
      </c>
      <c r="V416" s="645">
        <f>IFERROR(IF(U416="",0,CEILING((U416/$H416),1)*$H416),"")</f>
        <v/>
      </c>
      <c r="W416" s="42">
        <f>IFERROR(IF(V416=0,"",ROUNDUP(V416/H416,0)*0.00753),"")</f>
        <v/>
      </c>
      <c r="X416" s="69" t="inlineStr"/>
      <c r="Y416" s="70" t="inlineStr"/>
      <c r="AC416" s="299" t="inlineStr">
        <is>
          <t>КИ</t>
        </is>
      </c>
    </row>
    <row r="417">
      <c r="A417" s="317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646" t="n"/>
      <c r="M417" s="647" t="inlineStr">
        <is>
          <t>Итого</t>
        </is>
      </c>
      <c r="N417" s="617" t="n"/>
      <c r="O417" s="617" t="n"/>
      <c r="P417" s="617" t="n"/>
      <c r="Q417" s="617" t="n"/>
      <c r="R417" s="617" t="n"/>
      <c r="S417" s="618" t="n"/>
      <c r="T417" s="43" t="inlineStr">
        <is>
          <t>кор</t>
        </is>
      </c>
      <c r="U417" s="648">
        <f>IFERROR(U414/H414,"0")+IFERROR(U415/H415,"0")+IFERROR(U416/H416,"0")</f>
        <v/>
      </c>
      <c r="V417" s="648">
        <f>IFERROR(V414/H414,"0")+IFERROR(V415/H415,"0")+IFERROR(V416/H416,"0")</f>
        <v/>
      </c>
      <c r="W417" s="648">
        <f>IFERROR(IF(W414="",0,W414),"0")+IFERROR(IF(W415="",0,W415),"0")+IFERROR(IF(W416="",0,W416),"0")</f>
        <v/>
      </c>
      <c r="X417" s="649" t="n"/>
      <c r="Y417" s="649" t="n"/>
    </row>
    <row r="41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646" t="n"/>
      <c r="M418" s="647" t="inlineStr">
        <is>
          <t>Итого</t>
        </is>
      </c>
      <c r="N418" s="617" t="n"/>
      <c r="O418" s="617" t="n"/>
      <c r="P418" s="617" t="n"/>
      <c r="Q418" s="617" t="n"/>
      <c r="R418" s="617" t="n"/>
      <c r="S418" s="618" t="n"/>
      <c r="T418" s="43" t="inlineStr">
        <is>
          <t>кг</t>
        </is>
      </c>
      <c r="U418" s="648">
        <f>IFERROR(SUM(U414:U416),"0")</f>
        <v/>
      </c>
      <c r="V418" s="648">
        <f>IFERROR(SUM(V414:V416),"0")</f>
        <v/>
      </c>
      <c r="W418" s="43" t="n"/>
      <c r="X418" s="649" t="n"/>
      <c r="Y418" s="649" t="n"/>
    </row>
    <row r="419" ht="15" customHeight="1">
      <c r="A419" s="307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606" t="n"/>
      <c r="M419" s="874" t="inlineStr">
        <is>
          <t>ИТОГО НЕТТО</t>
        </is>
      </c>
      <c r="N419" s="600" t="n"/>
      <c r="O419" s="600" t="n"/>
      <c r="P419" s="600" t="n"/>
      <c r="Q419" s="600" t="n"/>
      <c r="R419" s="600" t="n"/>
      <c r="S419" s="601" t="n"/>
      <c r="T419" s="43" t="inlineStr">
        <is>
          <t>кг</t>
        </is>
      </c>
      <c r="U419" s="648">
        <f>IFERROR(U24+U33+U38+U42+U46+U53+U60+U80+U89+U101+U111+U118+U126+U134+U154+U159+U178+U202+U211+U217+U224+U235+U240+U246+U252+U256+U260+U264+U277+U282+U287+U291+U295+U303+U308+U315+U319+U326+U336+U343+U347+U353+U361+U376+U381+U390+U395+U402+U407+U412+U418,"0")</f>
        <v/>
      </c>
      <c r="V419" s="648">
        <f>IFERROR(V24+V33+V38+V42+V46+V53+V60+V80+V89+V101+V111+V118+V126+V134+V154+V159+V178+V202+V211+V217+V224+V235+V240+V246+V252+V256+V260+V264+V277+V282+V287+V291+V295+V303+V308+V315+V319+V326+V336+V343+V347+V353+V361+V376+V381+V390+V395+V402+V407+V412+V418,"0")</f>
        <v/>
      </c>
      <c r="W419" s="43" t="n"/>
      <c r="X419" s="649" t="n"/>
      <c r="Y419" s="649" t="n"/>
    </row>
    <row r="420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606" t="n"/>
      <c r="M420" s="874" t="inlineStr">
        <is>
          <t>ИТОГО БРУТТО</t>
        </is>
      </c>
      <c r="N420" s="600" t="n"/>
      <c r="O420" s="600" t="n"/>
      <c r="P420" s="600" t="n"/>
      <c r="Q420" s="600" t="n"/>
      <c r="R420" s="600" t="n"/>
      <c r="S420" s="601" t="n"/>
      <c r="T420" s="43" t="inlineStr">
        <is>
          <t>кг</t>
        </is>
      </c>
      <c r="U420" s="648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82*I82/H82,"0")+IFERROR(U83*I83/H83,"0")+IFERROR(U84*I84/H84,"0")+IFERROR(U85*I85/H85,"0")+IFERROR(U86*I86/H86,"0")+IFERROR(U87*I87/H87,"0")+IFERROR(U91*I91/H91,"0")+IFERROR(U92*I92/H92,"0")+IFERROR(U93*I93/H93,"0")+IFERROR(U94*I94/H94,"0")+IFERROR(U95*I95/H95,"0")+IFERROR(U96*I96/H96,"0")+IFERROR(U97*I97/H97,"0")+IFERROR(U98*I98/H98,"0")+IFERROR(U99*I99/H99,"0")+IFERROR(U103*I103/H103,"0")+IFERROR(U104*I104/H104,"0")+IFERROR(U105*I105/H105,"0")+IFERROR(U106*I106/H106,"0")+IFERROR(U107*I107/H107,"0")+IFERROR(U108*I108/H108,"0")+IFERROR(U109*I109/H109,"0")+IFERROR(U113*I113/H113,"0")+IFERROR(U114*I114/H114,"0")+IFERROR(U115*I115/H115,"0")+IFERROR(U116*I116/H116,"0")+IFERROR(U121*I121/H121,"0")+IFERROR(U122*I122/H122,"0")+IFERROR(U123*I123/H123,"0")+IFERROR(U124*I124/H124,"0")+IFERROR(U130*I130/H130,"0")+IFERROR(U131*I131/H131,"0")+IFERROR(U132*I132/H132,"0")+IFERROR(U137*I137/H137,"0")+IFERROR(U138*I138/H138,"0")+IFERROR(U139*I139/H139,"0")+IFERROR(U140*I140/H140,"0")+IFERROR(U141*I141/H141,"0")+IFERROR(U142*I142/H142,"0")+IFERROR(U143*I143/H143,"0")+IFERROR(U144*I144/H144,"0")+IFERROR(U145*I145/H145,"0")+IFERROR(U146*I146/H146,"0")+IFERROR(U147*I147/H147,"0")+IFERROR(U148*I148/H148,"0")+IFERROR(U149*I149/H149,"0")+IFERROR(U150*I150/H150,"0")+IFERROR(U151*I151/H151,"0")+IFERROR(U152*I152/H152,"0")+IFERROR(U156*I156/H156,"0")+IFERROR(U157*I157/H157,"0")+IFERROR(U161*I161/H161,"0")+IFERROR(U162*I162/H162,"0")+IFERROR(U163*I163/H163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180*I180/H180,"0")+IFERROR(U181*I181/H181,"0")+IFERROR(U182*I182/H182,"0")+IFERROR(U183*I183/H183,"0")+IFERROR(U184*I184/H184,"0")+IFERROR(U185*I185/H185,"0")+IFERROR(U186*I186/H186,"0")+IFERROR(U187*I187/H187,"0")+IFERROR(U188*I188/H188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204*I204/H204,"0")+IFERROR(U205*I205/H205,"0")+IFERROR(U206*I206/H206,"0")+IFERROR(U207*I207/H207,"0")+IFERROR(U208*I208/H208,"0")+IFERROR(U209*I209/H209,"0")+IFERROR(U213*I213/H213,"0")+IFERROR(U214*I214/H214,"0")+IFERROR(U215*I215/H215,"0")+IFERROR(U219*I219/H219,"0")+IFERROR(U220*I220/H220,"0")+IFERROR(U221*I221/H221,"0")+IFERROR(U222*I222/H222,"0")+IFERROR(U227*I227/H227,"0")+IFERROR(U228*I228/H228,"0")+IFERROR(U229*I229/H229,"0")+IFERROR(U230*I230/H230,"0")+IFERROR(U231*I231/H231,"0")+IFERROR(U232*I232/H232,"0")+IFERROR(U233*I233/H233,"0")+IFERROR(U237*I237/H237,"0")+IFERROR(U238*I238/H238,"0")+IFERROR(U243*I243/H243,"0")+IFERROR(U244*I244/H244,"0")+IFERROR(U248*I248/H248,"0")+IFERROR(U249*I249/H249,"0")+IFERROR(U250*I250/H250,"0")+IFERROR(U254*I254/H254,"0")+IFERROR(U258*I258/H258,"0")+IFERROR(U262*I262/H262,"0")+IFERROR(U268*I268/H268,"0")+IFERROR(U269*I269/H269,"0")+IFERROR(U270*I270/H270,"0")+IFERROR(U271*I271/H271,"0")+IFERROR(U272*I272/H272,"0")+IFERROR(U273*I273/H273,"0")+IFERROR(U274*I274/H274,"0")+IFERROR(U275*I275/H275,"0")+IFERROR(U279*I279/H279,"0")+IFERROR(U280*I280/H280,"0")+IFERROR(U284*I284/H284,"0")+IFERROR(U285*I285/H285,"0")+IFERROR(U289*I289/H289,"0")+IFERROR(U293*I293/H293,"0")+IFERROR(U298*I298/H298,"0")+IFERROR(U299*I299/H299,"0")+IFERROR(U300*I300/H300,"0")+IFERROR(U301*I301/H301,"0")+IFERROR(U305*I305/H305,"0")+IFERROR(U306*I306/H306,"0")+IFERROR(U310*I310/H310,"0")+IFERROR(U311*I311/H311,"0")+IFERROR(U312*I312/H312,"0")+IFERROR(U313*I313/H313,"0")+IFERROR(U317*I317/H317,"0")+IFERROR(U323*I323/H323,"0")+IFERROR(U324*I324/H324,"0")+IFERROR(U328*I328/H328,"0")+IFERROR(U329*I329/H329,"0")+IFERROR(U330*I330/H330,"0")+IFERROR(U331*I331/H331,"0")+IFERROR(U332*I332/H332,"0")+IFERROR(U333*I333/H333,"0")+IFERROR(U334*I334/H334,"0")+IFERROR(U338*I338/H338,"0")+IFERROR(U339*I339/H339,"0")+IFERROR(U340*I340/H340,"0")+IFERROR(U341*I341/H341,"0")+IFERROR(U345*I345/H345,"0")+IFERROR(U350*I350/H350,"0")+IFERROR(U351*I351/H351,"0")+IFERROR(U355*I355/H355,"0")+IFERROR(U356*I356/H356,"0")+IFERROR(U357*I357/H357,"0")+IFERROR(U358*I358/H358,"0")+IFERROR(U359*I359/H359,"0")+IFERROR(U365*I365/H365,"0")+IFERROR(U366*I366/H366,"0")+IFERROR(U367*I367/H367,"0")+IFERROR(U368*I368/H368,"0")+IFERROR(U369*I369/H369,"0")+IFERROR(U370*I370/H370,"0")+IFERROR(U371*I371/H371,"0")+IFERROR(U372*I372/H372,"0")+IFERROR(U373*I373/H373,"0")+IFERROR(U374*I374/H374,"0")+IFERROR(U378*I378/H378,"0")+IFERROR(U379*I379/H379,"0")+IFERROR(U383*I383/H383,"0")+IFERROR(U384*I384/H384,"0")+IFERROR(U385*I385/H385,"0")+IFERROR(U386*I386/H386,"0")+IFERROR(U387*I387/H387,"0")+IFERROR(U388*I388/H388,"0")+IFERROR(U392*I392/H392,"0")+IFERROR(U393*I393/H393,"0")+IFERROR(U399*I399/H399,"0")+IFERROR(U400*I400/H400,"0")+IFERROR(U404*I404/H404,"0")+IFERROR(U405*I405/H405,"0")+IFERROR(U409*I409/H409,"0")+IFERROR(U410*I410/H410,"0")+IFERROR(U414*I414/H414,"0")+IFERROR(U415*I415/H415,"0")+IFERROR(U416*I416/H416,"0"),"0")</f>
        <v/>
      </c>
      <c r="V420" s="648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91*I91/H91,"0")+IFERROR(V92*I92/H92,"0")+IFERROR(V93*I93/H93,"0")+IFERROR(V94*I94/H94,"0")+IFERROR(V95*I95/H95,"0")+IFERROR(V96*I96/H96,"0")+IFERROR(V97*I97/H97,"0")+IFERROR(V98*I98/H98,"0")+IFERROR(V99*I99/H99,"0")+IFERROR(V103*I103/H103,"0")+IFERROR(V104*I104/H104,"0")+IFERROR(V105*I105/H105,"0")+IFERROR(V106*I106/H106,"0")+IFERROR(V107*I107/H107,"0")+IFERROR(V108*I108/H108,"0")+IFERROR(V109*I109/H109,"0")+IFERROR(V113*I113/H113,"0")+IFERROR(V114*I114/H114,"0")+IFERROR(V115*I115/H115,"0")+IFERROR(V116*I116/H116,"0")+IFERROR(V121*I121/H121,"0")+IFERROR(V122*I122/H122,"0")+IFERROR(V123*I123/H123,"0")+IFERROR(V124*I124/H124,"0")+IFERROR(V130*I130/H130,"0")+IFERROR(V131*I131/H131,"0")+IFERROR(V132*I132/H132,"0")+IFERROR(V137*I137/H137,"0")+IFERROR(V138*I138/H138,"0")+IFERROR(V139*I139/H139,"0")+IFERROR(V140*I140/H140,"0")+IFERROR(V141*I141/H141,"0")+IFERROR(V142*I142/H142,"0")+IFERROR(V143*I143/H143,"0")+IFERROR(V144*I144/H144,"0")+IFERROR(V145*I145/H145,"0")+IFERROR(V146*I146/H146,"0")+IFERROR(V147*I147/H147,"0")+IFERROR(V148*I148/H148,"0")+IFERROR(V149*I149/H149,"0")+IFERROR(V150*I150/H150,"0")+IFERROR(V151*I151/H151,"0")+IFERROR(V152*I152/H152,"0")+IFERROR(V156*I156/H156,"0")+IFERROR(V157*I157/H157,"0")+IFERROR(V161*I161/H161,"0")+IFERROR(V162*I162/H162,"0")+IFERROR(V163*I163/H163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204*I204/H204,"0")+IFERROR(V205*I205/H205,"0")+IFERROR(V206*I206/H206,"0")+IFERROR(V207*I207/H207,"0")+IFERROR(V208*I208/H208,"0")+IFERROR(V209*I209/H209,"0")+IFERROR(V213*I213/H213,"0")+IFERROR(V214*I214/H214,"0")+IFERROR(V215*I215/H215,"0")+IFERROR(V219*I219/H219,"0")+IFERROR(V220*I220/H220,"0")+IFERROR(V221*I221/H221,"0")+IFERROR(V222*I222/H222,"0")+IFERROR(V227*I227/H227,"0")+IFERROR(V228*I228/H228,"0")+IFERROR(V229*I229/H229,"0")+IFERROR(V230*I230/H230,"0")+IFERROR(V231*I231/H231,"0")+IFERROR(V232*I232/H232,"0")+IFERROR(V233*I233/H233,"0")+IFERROR(V237*I237/H237,"0")+IFERROR(V238*I238/H238,"0")+IFERROR(V243*I243/H243,"0")+IFERROR(V244*I244/H244,"0")+IFERROR(V248*I248/H248,"0")+IFERROR(V249*I249/H249,"0")+IFERROR(V250*I250/H250,"0")+IFERROR(V254*I254/H254,"0")+IFERROR(V258*I258/H258,"0")+IFERROR(V262*I262/H262,"0")+IFERROR(V268*I268/H268,"0")+IFERROR(V269*I269/H269,"0")+IFERROR(V270*I270/H270,"0")+IFERROR(V271*I271/H271,"0")+IFERROR(V272*I272/H272,"0")+IFERROR(V273*I273/H273,"0")+IFERROR(V274*I274/H274,"0")+IFERROR(V275*I275/H275,"0")+IFERROR(V279*I279/H279,"0")+IFERROR(V280*I280/H280,"0")+IFERROR(V284*I284/H284,"0")+IFERROR(V285*I285/H285,"0")+IFERROR(V289*I289/H289,"0")+IFERROR(V293*I293/H293,"0")+IFERROR(V298*I298/H298,"0")+IFERROR(V299*I299/H299,"0")+IFERROR(V300*I300/H300,"0")+IFERROR(V301*I301/H301,"0")+IFERROR(V305*I305/H305,"0")+IFERROR(V306*I306/H306,"0")+IFERROR(V310*I310/H310,"0")+IFERROR(V311*I311/H311,"0")+IFERROR(V312*I312/H312,"0")+IFERROR(V313*I313/H313,"0")+IFERROR(V317*I317/H317,"0")+IFERROR(V323*I323/H323,"0")+IFERROR(V324*I324/H324,"0")+IFERROR(V328*I328/H328,"0")+IFERROR(V329*I329/H329,"0")+IFERROR(V330*I330/H330,"0")+IFERROR(V331*I331/H331,"0")+IFERROR(V332*I332/H332,"0")+IFERROR(V333*I333/H333,"0")+IFERROR(V334*I334/H334,"0")+IFERROR(V338*I338/H338,"0")+IFERROR(V339*I339/H339,"0")+IFERROR(V340*I340/H340,"0")+IFERROR(V341*I341/H341,"0")+IFERROR(V345*I345/H345,"0")+IFERROR(V350*I350/H350,"0")+IFERROR(V351*I351/H351,"0")+IFERROR(V355*I355/H355,"0")+IFERROR(V356*I356/H356,"0")+IFERROR(V357*I357/H357,"0")+IFERROR(V358*I358/H358,"0")+IFERROR(V359*I359/H359,"0")+IFERROR(V365*I365/H365,"0")+IFERROR(V366*I366/H366,"0")+IFERROR(V367*I367/H367,"0")+IFERROR(V368*I368/H368,"0")+IFERROR(V369*I369/H369,"0")+IFERROR(V370*I370/H370,"0")+IFERROR(V371*I371/H371,"0")+IFERROR(V372*I372/H372,"0")+IFERROR(V373*I373/H373,"0")+IFERROR(V374*I374/H374,"0")+IFERROR(V378*I378/H378,"0")+IFERROR(V379*I379/H379,"0")+IFERROR(V383*I383/H383,"0")+IFERROR(V384*I384/H384,"0")+IFERROR(V385*I385/H385,"0")+IFERROR(V386*I386/H386,"0")+IFERROR(V387*I387/H387,"0")+IFERROR(V388*I388/H388,"0")+IFERROR(V392*I392/H392,"0")+IFERROR(V393*I393/H393,"0")+IFERROR(V399*I399/H399,"0")+IFERROR(V400*I400/H400,"0")+IFERROR(V404*I404/H404,"0")+IFERROR(V405*I405/H405,"0")+IFERROR(V409*I409/H409,"0")+IFERROR(V410*I410/H410,"0")+IFERROR(V414*I414/H414,"0")+IFERROR(V415*I415/H415,"0")+IFERROR(V416*I416/H416,"0"),"0")</f>
        <v/>
      </c>
      <c r="W420" s="43" t="n"/>
      <c r="X420" s="649" t="n"/>
      <c r="Y420" s="649" t="n"/>
    </row>
    <row r="421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606" t="n"/>
      <c r="M421" s="874" t="inlineStr">
        <is>
          <t>Кол-во паллет</t>
        </is>
      </c>
      <c r="N421" s="600" t="n"/>
      <c r="O421" s="600" t="n"/>
      <c r="P421" s="600" t="n"/>
      <c r="Q421" s="600" t="n"/>
      <c r="R421" s="600" t="n"/>
      <c r="S421" s="601" t="n"/>
      <c r="T421" s="43" t="inlineStr">
        <is>
          <t>шт</t>
        </is>
      </c>
      <c r="U421" s="45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78*(U63:U78/H63:H78)),"0")+IFERROR(SUMPRODUCT(1/J82:J87*(U82:U87/H82:H87)),"0")+IFERROR(SUMPRODUCT(1/J91:J99*(U91:U99/H91:H99)),"0")+IFERROR(SUMPRODUCT(1/J103:J109*(U103:U109/H103:H109)),"0")+IFERROR(SUMPRODUCT(1/J113:J116*(U113:U116/H113:H116)),"0")+IFERROR(SUMPRODUCT(1/J121:J124*(U121:U124/H121:H124)),"0")+IFERROR(SUMPRODUCT(1/J130:J132*(U130:U132/H130:H132)),"0")+IFERROR(SUMPRODUCT(1/J137:J152*(U137:U152/H137:H152)),"0")+IFERROR(SUMPRODUCT(1/J156:J157*(U156:U157/H156:H157)),"0")+IFERROR(SUMPRODUCT(1/J161:J176*(U161:U176/H161:H176)),"0")+IFERROR(SUMPRODUCT(1/J180:J200*(U180:U200/H180:H200)),"0")+IFERROR(SUMPRODUCT(1/J204:J209*(U204:U209/H204:H209)),"0")+IFERROR(SUMPRODUCT(1/J213:J215*(U213:U215/H213:H215)),"0")+IFERROR(SUMPRODUCT(1/J219:J222*(U219:U222/H219:H222)),"0")+IFERROR(SUMPRODUCT(1/J227:J233*(U227:U233/H227:H233)),"0")+IFERROR(SUMPRODUCT(1/J237:J238*(U237:U238/H237:H238)),"0")+IFERROR(SUMPRODUCT(1/J243:J244*(U243:U244/H243:H244)),"0")+IFERROR(SUMPRODUCT(1/J248:J250*(U248:U250/H248:H250)),"0")+IFERROR(SUMPRODUCT(1/J254:J254*(U254:U254/H254:H254)),"0")+IFERROR(SUMPRODUCT(1/J258:J258*(U258:U258/H258:H258)),"0")+IFERROR(SUMPRODUCT(1/J262:J262*(U262:U262/H262:H262)),"0")+IFERROR(SUMPRODUCT(1/J268:J275*(U268:U275/H268:H275)),"0")+IFERROR(SUMPRODUCT(1/J279:J280*(U279:U280/H279:H280)),"0")+IFERROR(SUMPRODUCT(1/J284:J285*(U284:U285/H284:H285)),"0")+IFERROR(SUMPRODUCT(1/J289:J289*(U289:U289/H289:H289)),"0")+IFERROR(SUMPRODUCT(1/J293:J293*(U293:U293/H293:H293)),"0")+IFERROR(SUMPRODUCT(1/J298:J301*(U298:U301/H298:H301)),"0")+IFERROR(SUMPRODUCT(1/J305:J306*(U305:U306/H305:H306)),"0")+IFERROR(SUMPRODUCT(1/J310:J313*(U310:U313/H310:H313)),"0")+IFERROR(SUMPRODUCT(1/J317:J317*(U317:U317/H317:H317)),"0")+IFERROR(SUMPRODUCT(1/J323:J324*(U323:U324/H323:H324)),"0")+IFERROR(SUMPRODUCT(1/J328:J334*(U328:U334/H328:H334)),"0")+IFERROR(SUMPRODUCT(1/J338:J341*(U338:U341/H338:H341)),"0")+IFERROR(SUMPRODUCT(1/J345:J345*(U345:U345/H345:H345)),"0")+IFERROR(SUMPRODUCT(1/J350:J351*(U350:U351/H350:H351)),"0")+IFERROR(SUMPRODUCT(1/J355:J359*(U355:U359/H355:H359)),"0")+IFERROR(SUMPRODUCT(1/J365:J374*(U365:U374/H365:H374)),"0")+IFERROR(SUMPRODUCT(1/J378:J379*(U378:U379/H378:H379)),"0")+IFERROR(SUMPRODUCT(1/J383:J388*(U383:U388/H383:H388)),"0")+IFERROR(SUMPRODUCT(1/J392:J393*(U392:U393/H392:H393)),"0")+IFERROR(SUMPRODUCT(1/J399:J400*(U399:U400/H399:H400)),"0")+IFERROR(SUMPRODUCT(1/J404:J405*(U404:U405/H404:H405)),"0")+IFERROR(SUMPRODUCT(1/J409:J410*(U409:U410/H409:H410)),"0")+IFERROR(SUMPRODUCT(1/J414:J416*(U414:U416/H414:H416)),"0"),0)</f>
        <v/>
      </c>
      <c r="V421" s="45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78*(V63:V78/H63:H78)),"0")+IFERROR(SUMPRODUCT(1/J82:J87*(V82:V87/H82:H87)),"0")+IFERROR(SUMPRODUCT(1/J91:J99*(V91:V99/H91:H99)),"0")+IFERROR(SUMPRODUCT(1/J103:J109*(V103:V109/H103:H109)),"0")+IFERROR(SUMPRODUCT(1/J113:J116*(V113:V116/H113:H116)),"0")+IFERROR(SUMPRODUCT(1/J121:J124*(V121:V124/H121:H124)),"0")+IFERROR(SUMPRODUCT(1/J130:J132*(V130:V132/H130:H132)),"0")+IFERROR(SUMPRODUCT(1/J137:J152*(V137:V152/H137:H152)),"0")+IFERROR(SUMPRODUCT(1/J156:J157*(V156:V157/H156:H157)),"0")+IFERROR(SUMPRODUCT(1/J161:J176*(V161:V176/H161:H176)),"0")+IFERROR(SUMPRODUCT(1/J180:J200*(V180:V200/H180:H200)),"0")+IFERROR(SUMPRODUCT(1/J204:J209*(V204:V209/H204:H209)),"0")+IFERROR(SUMPRODUCT(1/J213:J215*(V213:V215/H213:H215)),"0")+IFERROR(SUMPRODUCT(1/J219:J222*(V219:V222/H219:H222)),"0")+IFERROR(SUMPRODUCT(1/J227:J233*(V227:V233/H227:H233)),"0")+IFERROR(SUMPRODUCT(1/J237:J238*(V237:V238/H237:H238)),"0")+IFERROR(SUMPRODUCT(1/J243:J244*(V243:V244/H243:H244)),"0")+IFERROR(SUMPRODUCT(1/J248:J250*(V248:V250/H248:H250)),"0")+IFERROR(SUMPRODUCT(1/J254:J254*(V254:V254/H254:H254)),"0")+IFERROR(SUMPRODUCT(1/J258:J258*(V258:V258/H258:H258)),"0")+IFERROR(SUMPRODUCT(1/J262:J262*(V262:V262/H262:H262)),"0")+IFERROR(SUMPRODUCT(1/J268:J275*(V268:V275/H268:H275)),"0")+IFERROR(SUMPRODUCT(1/J279:J280*(V279:V280/H279:H280)),"0")+IFERROR(SUMPRODUCT(1/J284:J285*(V284:V285/H284:H285)),"0")+IFERROR(SUMPRODUCT(1/J289:J289*(V289:V289/H289:H289)),"0")+IFERROR(SUMPRODUCT(1/J293:J293*(V293:V293/H293:H293)),"0")+IFERROR(SUMPRODUCT(1/J298:J301*(V298:V301/H298:H301)),"0")+IFERROR(SUMPRODUCT(1/J305:J306*(V305:V306/H305:H306)),"0")+IFERROR(SUMPRODUCT(1/J310:J313*(V310:V313/H310:H313)),"0")+IFERROR(SUMPRODUCT(1/J317:J317*(V317:V317/H317:H317)),"0")+IFERROR(SUMPRODUCT(1/J323:J324*(V323:V324/H323:H324)),"0")+IFERROR(SUMPRODUCT(1/J328:J334*(V328:V334/H328:H334)),"0")+IFERROR(SUMPRODUCT(1/J338:J341*(V338:V341/H338:H341)),"0")+IFERROR(SUMPRODUCT(1/J345:J345*(V345:V345/H345:H345)),"0")+IFERROR(SUMPRODUCT(1/J350:J351*(V350:V351/H350:H351)),"0")+IFERROR(SUMPRODUCT(1/J355:J359*(V355:V359/H355:H359)),"0")+IFERROR(SUMPRODUCT(1/J365:J374*(V365:V374/H365:H374)),"0")+IFERROR(SUMPRODUCT(1/J378:J379*(V378:V379/H378:H379)),"0")+IFERROR(SUMPRODUCT(1/J383:J388*(V383:V388/H383:H388)),"0")+IFERROR(SUMPRODUCT(1/J392:J393*(V392:V393/H392:H393)),"0")+IFERROR(SUMPRODUCT(1/J399:J400*(V399:V400/H399:H400)),"0")+IFERROR(SUMPRODUCT(1/J404:J405*(V404:V405/H404:H405)),"0")+IFERROR(SUMPRODUCT(1/J409:J410*(V409:V410/H409:H410)),"0")+IFERROR(SUMPRODUCT(1/J414:J416*(V414:V416/H414:H416)),"0"),0)</f>
        <v/>
      </c>
      <c r="W421" s="43" t="n"/>
      <c r="X421" s="649" t="n"/>
      <c r="Y421" s="649" t="n"/>
    </row>
    <row r="422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606" t="n"/>
      <c r="M422" s="874" t="inlineStr">
        <is>
          <t>Вес брутто  с паллетами</t>
        </is>
      </c>
      <c r="N422" s="600" t="n"/>
      <c r="O422" s="600" t="n"/>
      <c r="P422" s="600" t="n"/>
      <c r="Q422" s="600" t="n"/>
      <c r="R422" s="600" t="n"/>
      <c r="S422" s="601" t="n"/>
      <c r="T422" s="43" t="inlineStr">
        <is>
          <t>кг</t>
        </is>
      </c>
      <c r="U422" s="648">
        <f>GrossWeightTotal+PalletQtyTotal*25</f>
        <v/>
      </c>
      <c r="V422" s="648">
        <f>GrossWeightTotalR+PalletQtyTotalR*25</f>
        <v/>
      </c>
      <c r="W422" s="43" t="n"/>
      <c r="X422" s="649" t="n"/>
      <c r="Y422" s="649" t="n"/>
    </row>
    <row r="423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606" t="n"/>
      <c r="M423" s="874" t="inlineStr">
        <is>
          <t>Кол-во коробок</t>
        </is>
      </c>
      <c r="N423" s="600" t="n"/>
      <c r="O423" s="600" t="n"/>
      <c r="P423" s="600" t="n"/>
      <c r="Q423" s="600" t="n"/>
      <c r="R423" s="600" t="n"/>
      <c r="S423" s="601" t="n"/>
      <c r="T423" s="43" t="inlineStr">
        <is>
          <t>шт</t>
        </is>
      </c>
      <c r="U423" s="648">
        <f>IFERROR(U23+U32+U37+U41+U45+U52+U59+U79+U88+U100+U110+U117+U125+U133+U153+U158+U177+U201+U210+U216+U223+U234+U239+U245+U251+U255+U259+U263+U276+U281+U286+U290+U294+U302+U307+U314+U318+U325+U335+U342+U346+U352+U360+U375+U380+U389+U394+U401+U406+U411+U417,"0")</f>
        <v/>
      </c>
      <c r="V423" s="648">
        <f>IFERROR(V23+V32+V37+V41+V45+V52+V59+V79+V88+V100+V110+V117+V125+V133+V153+V158+V177+V201+V210+V216+V223+V234+V239+V245+V251+V255+V259+V263+V276+V281+V286+V290+V294+V302+V307+V314+V318+V325+V335+V342+V346+V352+V360+V375+V380+V389+V394+V401+V406+V411+V417,"0")</f>
        <v/>
      </c>
      <c r="W423" s="43" t="n"/>
      <c r="X423" s="649" t="n"/>
      <c r="Y423" s="649" t="n"/>
    </row>
    <row r="424" ht="14.25" customHeight="1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606" t="n"/>
      <c r="M424" s="874" t="inlineStr">
        <is>
          <t>Объем заказа</t>
        </is>
      </c>
      <c r="N424" s="600" t="n"/>
      <c r="O424" s="600" t="n"/>
      <c r="P424" s="600" t="n"/>
      <c r="Q424" s="600" t="n"/>
      <c r="R424" s="600" t="n"/>
      <c r="S424" s="601" t="n"/>
      <c r="T424" s="46" t="inlineStr">
        <is>
          <t>м3</t>
        </is>
      </c>
      <c r="U424" s="43" t="n"/>
      <c r="V424" s="43" t="n"/>
      <c r="W424" s="43">
        <f>IFERROR(W23+W32+W37+W41+W45+W52+W59+W79+W88+W100+W110+W117+W125+W133+W153+W158+W177+W201+W210+W216+W223+W234+W239+W245+W251+W255+W259+W263+W276+W281+W286+W290+W294+W302+W307+W314+W318+W325+W335+W342+W346+W352+W360+W375+W380+W389+W394+W401+W406+W411+W417,"0")</f>
        <v/>
      </c>
      <c r="X424" s="649" t="n"/>
      <c r="Y424" s="649" t="n"/>
    </row>
    <row r="425" ht="13.5" customHeight="1" thickBot="1"/>
    <row r="426" ht="27" customHeight="1" thickBot="1" thickTop="1">
      <c r="A426" s="47" t="inlineStr">
        <is>
          <t>ТОРГОВАЯ МАРКА</t>
        </is>
      </c>
      <c r="B426" s="300" t="inlineStr">
        <is>
          <t>Ядрена копоть</t>
        </is>
      </c>
      <c r="C426" s="300" t="inlineStr">
        <is>
          <t>Вязанка</t>
        </is>
      </c>
      <c r="D426" s="875" t="n"/>
      <c r="E426" s="875" t="n"/>
      <c r="F426" s="876" t="n"/>
      <c r="G426" s="300" t="inlineStr">
        <is>
          <t>Стародворье</t>
        </is>
      </c>
      <c r="H426" s="875" t="n"/>
      <c r="I426" s="875" t="n"/>
      <c r="J426" s="876" t="n"/>
      <c r="K426" s="300" t="inlineStr">
        <is>
          <t>Особый рецепт</t>
        </is>
      </c>
      <c r="L426" s="876" t="n"/>
      <c r="M426" s="300" t="inlineStr">
        <is>
          <t>Баварушка</t>
        </is>
      </c>
      <c r="N426" s="876" t="n"/>
      <c r="O426" s="300" t="inlineStr">
        <is>
          <t>Дугушка</t>
        </is>
      </c>
      <c r="P426" s="300" t="inlineStr">
        <is>
          <t>Зареченские</t>
        </is>
      </c>
      <c r="Q426" s="1" t="n"/>
      <c r="R426" s="1" t="n"/>
      <c r="S426" s="1" t="n"/>
      <c r="T426" s="1" t="n"/>
      <c r="Y426" s="61" t="n"/>
      <c r="AB426" s="1" t="n"/>
    </row>
    <row r="427" ht="14.25" customHeight="1" thickTop="1">
      <c r="A427" s="301" t="inlineStr">
        <is>
          <t>СЕРИЯ</t>
        </is>
      </c>
      <c r="B427" s="300" t="inlineStr">
        <is>
          <t>Ядрена копоть</t>
        </is>
      </c>
      <c r="C427" s="300" t="inlineStr">
        <is>
          <t>Столичная</t>
        </is>
      </c>
      <c r="D427" s="300" t="inlineStr">
        <is>
          <t>Классическая</t>
        </is>
      </c>
      <c r="E427" s="300" t="inlineStr">
        <is>
          <t>Вязанка</t>
        </is>
      </c>
      <c r="F427" s="300" t="inlineStr">
        <is>
          <t>Сливушки</t>
        </is>
      </c>
      <c r="G427" s="300" t="inlineStr">
        <is>
          <t>Золоченная в печи</t>
        </is>
      </c>
      <c r="H427" s="300" t="inlineStr">
        <is>
          <t>Бордо</t>
        </is>
      </c>
      <c r="I427" s="300" t="inlineStr">
        <is>
          <t>Фирменная</t>
        </is>
      </c>
      <c r="J427" s="300" t="inlineStr">
        <is>
          <t>Бавария</t>
        </is>
      </c>
      <c r="K427" s="300" t="inlineStr">
        <is>
          <t>Особая</t>
        </is>
      </c>
      <c r="L427" s="300" t="inlineStr">
        <is>
          <t>Особая Без свинины</t>
        </is>
      </c>
      <c r="M427" s="300" t="inlineStr">
        <is>
          <t>Филейбургская</t>
        </is>
      </c>
      <c r="N427" s="300" t="inlineStr">
        <is>
          <t>Балыкбургская</t>
        </is>
      </c>
      <c r="O427" s="300" t="inlineStr">
        <is>
          <t>Дугушка</t>
        </is>
      </c>
      <c r="P427" s="300" t="inlineStr">
        <is>
          <t>Зареченские продукты</t>
        </is>
      </c>
      <c r="Q427" s="1" t="n"/>
      <c r="R427" s="1" t="n"/>
      <c r="S427" s="1" t="n"/>
      <c r="T427" s="1" t="n"/>
      <c r="Y427" s="61" t="n"/>
      <c r="AB427" s="1" t="n"/>
    </row>
    <row r="428" ht="13.5" customHeight="1" thickBot="1">
      <c r="A428" s="877" t="n"/>
      <c r="B428" s="878" t="n"/>
      <c r="C428" s="878" t="n"/>
      <c r="D428" s="878" t="n"/>
      <c r="E428" s="878" t="n"/>
      <c r="F428" s="878" t="n"/>
      <c r="G428" s="878" t="n"/>
      <c r="H428" s="878" t="n"/>
      <c r="I428" s="878" t="n"/>
      <c r="J428" s="878" t="n"/>
      <c r="K428" s="878" t="n"/>
      <c r="L428" s="878" t="n"/>
      <c r="M428" s="878" t="n"/>
      <c r="N428" s="878" t="n"/>
      <c r="O428" s="878" t="n"/>
      <c r="P428" s="878" t="n"/>
      <c r="Q428" s="1" t="n"/>
      <c r="R428" s="1" t="n"/>
      <c r="S428" s="1" t="n"/>
      <c r="T428" s="1" t="n"/>
      <c r="Y428" s="61" t="n"/>
      <c r="AB428" s="1" t="n"/>
    </row>
    <row r="429" ht="18" customHeight="1" thickBot="1" thickTop="1">
      <c r="A429" s="47" t="inlineStr">
        <is>
          <t>ИТОГО, кг</t>
        </is>
      </c>
      <c r="B429" s="53">
        <f>IFERROR(V22*1,"0")+IFERROR(V26*1,"0")+IFERROR(V27*1,"0")+IFERROR(V28*1,"0")+IFERROR(V29*1,"0")+IFERROR(V30*1,"0")+IFERROR(V31*1,"0")+IFERROR(V35*1,"0")+IFERROR(V36*1,"0")+IFERROR(V40*1,"0")+IFERROR(V44*1,"0")</f>
        <v/>
      </c>
      <c r="C429" s="53">
        <f>IFERROR(V50*1,"0")+IFERROR(V51*1,"0")</f>
        <v/>
      </c>
      <c r="D429" s="53">
        <f>IFERROR(V56*1,"0")+IFERROR(V57*1,"0")+IFERROR(V58*1,"0")</f>
        <v/>
      </c>
      <c r="E429" s="53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82*1,"0")+IFERROR(V83*1,"0")+IFERROR(V84*1,"0")+IFERROR(V85*1,"0")+IFERROR(V86*1,"0")+IFERROR(V87*1,"0")+IFERROR(V91*1,"0")+IFERROR(V92*1,"0")+IFERROR(V93*1,"0")+IFERROR(V94*1,"0")+IFERROR(V95*1,"0")+IFERROR(V96*1,"0")+IFERROR(V97*1,"0")+IFERROR(V98*1,"0")+IFERROR(V99*1,"0")+IFERROR(V103*1,"0")+IFERROR(V104*1,"0")+IFERROR(V105*1,"0")+IFERROR(V106*1,"0")+IFERROR(V107*1,"0")+IFERROR(V108*1,"0")+IFERROR(V109*1,"0")+IFERROR(V113*1,"0")+IFERROR(V114*1,"0")+IFERROR(V115*1,"0")+IFERROR(V116*1,"0")</f>
        <v/>
      </c>
      <c r="F429" s="53">
        <f>IFERROR(V121*1,"0")+IFERROR(V122*1,"0")+IFERROR(V123*1,"0")+IFERROR(V124*1,"0")</f>
        <v/>
      </c>
      <c r="G429" s="53">
        <f>IFERROR(V130*1,"0")+IFERROR(V131*1,"0")+IFERROR(V132*1,"0")</f>
        <v/>
      </c>
      <c r="H429" s="53">
        <f>IFERROR(V137*1,"0")+IFERROR(V138*1,"0")+IFERROR(V139*1,"0")+IFERROR(V140*1,"0")+IFERROR(V141*1,"0")+IFERROR(V142*1,"0")+IFERROR(V143*1,"0")+IFERROR(V144*1,"0")+IFERROR(V145*1,"0")+IFERROR(V146*1,"0")+IFERROR(V147*1,"0")+IFERROR(V148*1,"0")+IFERROR(V149*1,"0")+IFERROR(V150*1,"0")+IFERROR(V151*1,"0")+IFERROR(V152*1,"0")+IFERROR(V156*1,"0")+IFERROR(V157*1,"0")+IFERROR(V161*1,"0")+IFERROR(V162*1,"0")+IFERROR(V163*1,"0")+IFERROR(V164*1,"0")+IFERROR(V165*1,"0")+IFERROR(V166*1,"0")+IFERROR(V167*1,"0")+IFERROR(V168*1,"0")+IFERROR(V169*1,"0")+IFERROR(V170*1,"0")+IFERROR(V171*1,"0")+IFERROR(V172*1,"0")+IFERROR(V173*1,"0")+IFERROR(V174*1,"0")+IFERROR(V175*1,"0")+IFERROR(V176*1,"0")+IFERROR(V180*1,"0")+IFERROR(V181*1,"0")+IFERROR(V182*1,"0")+IFERROR(V183*1,"0")+IFERROR(V184*1,"0")+IFERROR(V185*1,"0")+IFERROR(V186*1,"0")+IFERROR(V187*1,"0")+IFERROR(V188*1,"0")+IFERROR(V189*1,"0")+IFERROR(V190*1,"0")+IFERROR(V191*1,"0")+IFERROR(V192*1,"0")+IFERROR(V193*1,"0")+IFERROR(V194*1,"0")+IFERROR(V195*1,"0")+IFERROR(V196*1,"0")+IFERROR(V197*1,"0")+IFERROR(V198*1,"0")+IFERROR(V199*1,"0")+IFERROR(V200*1,"0")+IFERROR(V204*1,"0")+IFERROR(V205*1,"0")+IFERROR(V206*1,"0")+IFERROR(V207*1,"0")+IFERROR(V208*1,"0")+IFERROR(V209*1,"0")+IFERROR(V213*1,"0")+IFERROR(V214*1,"0")+IFERROR(V215*1,"0")+IFERROR(V219*1,"0")+IFERROR(V220*1,"0")+IFERROR(V221*1,"0")+IFERROR(V222*1,"0")</f>
        <v/>
      </c>
      <c r="I429" s="53">
        <f>IFERROR(V227*1,"0")+IFERROR(V228*1,"0")+IFERROR(V229*1,"0")+IFERROR(V230*1,"0")+IFERROR(V231*1,"0")+IFERROR(V232*1,"0")+IFERROR(V233*1,"0")+IFERROR(V237*1,"0")+IFERROR(V238*1,"0")</f>
        <v/>
      </c>
      <c r="J429" s="53">
        <f>IFERROR(V243*1,"0")+IFERROR(V244*1,"0")+IFERROR(V248*1,"0")+IFERROR(V249*1,"0")+IFERROR(V250*1,"0")+IFERROR(V254*1,"0")+IFERROR(V258*1,"0")+IFERROR(V262*1,"0")</f>
        <v/>
      </c>
      <c r="K429" s="53">
        <f>IFERROR(V268*1,"0")+IFERROR(V269*1,"0")+IFERROR(V270*1,"0")+IFERROR(V271*1,"0")+IFERROR(V272*1,"0")+IFERROR(V273*1,"0")+IFERROR(V274*1,"0")+IFERROR(V275*1,"0")+IFERROR(V279*1,"0")+IFERROR(V280*1,"0")+IFERROR(V284*1,"0")+IFERROR(V285*1,"0")+IFERROR(V289*1,"0")+IFERROR(V293*1,"0")</f>
        <v/>
      </c>
      <c r="L429" s="53">
        <f>IFERROR(V298*1,"0")+IFERROR(V299*1,"0")+IFERROR(V300*1,"0")+IFERROR(V301*1,"0")+IFERROR(V305*1,"0")+IFERROR(V306*1,"0")+IFERROR(V310*1,"0")+IFERROR(V311*1,"0")+IFERROR(V312*1,"0")+IFERROR(V313*1,"0")+IFERROR(V317*1,"0")</f>
        <v/>
      </c>
      <c r="M429" s="53">
        <f>IFERROR(V323*1,"0")+IFERROR(V324*1,"0")+IFERROR(V328*1,"0")+IFERROR(V329*1,"0")+IFERROR(V330*1,"0")+IFERROR(V331*1,"0")+IFERROR(V332*1,"0")+IFERROR(V333*1,"0")+IFERROR(V334*1,"0")+IFERROR(V338*1,"0")+IFERROR(V339*1,"0")+IFERROR(V340*1,"0")+IFERROR(V341*1,"0")+IFERROR(V345*1,"0")</f>
        <v/>
      </c>
      <c r="N429" s="53">
        <f>IFERROR(V350*1,"0")+IFERROR(V351*1,"0")+IFERROR(V355*1,"0")+IFERROR(V356*1,"0")+IFERROR(V357*1,"0")+IFERROR(V358*1,"0")+IFERROR(V359*1,"0")</f>
        <v/>
      </c>
      <c r="O429" s="53">
        <f>IFERROR(V365*1,"0")+IFERROR(V366*1,"0")+IFERROR(V367*1,"0")+IFERROR(V368*1,"0")+IFERROR(V369*1,"0")+IFERROR(V370*1,"0")+IFERROR(V371*1,"0")+IFERROR(V372*1,"0")+IFERROR(V373*1,"0")+IFERROR(V374*1,"0")+IFERROR(V378*1,"0")+IFERROR(V379*1,"0")+IFERROR(V383*1,"0")+IFERROR(V384*1,"0")+IFERROR(V385*1,"0")+IFERROR(V386*1,"0")+IFERROR(V387*1,"0")+IFERROR(V388*1,"0")+IFERROR(V392*1,"0")+IFERROR(V393*1,"0")</f>
        <v/>
      </c>
      <c r="P429" s="53">
        <f>IFERROR(V399*1,"0")+IFERROR(V400*1,"0")+IFERROR(V404*1,"0")+IFERROR(V405*1,"0")+IFERROR(V409*1,"0")+IFERROR(V410*1,"0")+IFERROR(V414*1,"0")+IFERROR(V415*1,"0")+IFERROR(V416*1,"0")</f>
        <v/>
      </c>
      <c r="Q429" s="1" t="n"/>
      <c r="R429" s="1" t="n"/>
      <c r="S429" s="1" t="n"/>
      <c r="T429" s="1" t="n"/>
      <c r="Y429" s="61" t="n"/>
      <c r="AB429" s="1" t="n"/>
    </row>
    <row r="430" ht="13.5" customHeight="1" thickTop="1">
      <c r="C430" s="1" t="n"/>
    </row>
    <row r="431" ht="19.5" customHeight="1">
      <c r="A431" s="71" t="inlineStr">
        <is>
          <t>ЗПФ, кг</t>
        </is>
      </c>
      <c r="B431" s="71" t="inlineStr">
        <is>
          <t xml:space="preserve">ПГП, кг </t>
        </is>
      </c>
      <c r="C431" s="71" t="inlineStr">
        <is>
          <t>КИЗ, кг</t>
        </is>
      </c>
    </row>
    <row r="432">
      <c r="A432" s="72">
        <f>SUMPRODUCT(--(AC:AC="ЗПФ"),H:H,V:V)</f>
        <v/>
      </c>
      <c r="B432" s="73">
        <f>SUMPRODUCT(--(AC:AC="ПГП"),H:H,V:V)</f>
        <v/>
      </c>
      <c r="C432" s="73">
        <f>SUMPRODUCT(--(AC:AC="КИЗ"),H:H,V:V)</f>
        <v/>
      </c>
    </row>
    <row r="433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SzFKud6eKHy3lRBcc+/kCA==" formatRows="1" sort="0" spinCount="100000" hashValue="/0ZnvAEMUv/qNIo2UDedDq9P5uC7hDJTQDEfq4DWaO+t4Ucxlt+S4Sn5+PzWSV7lsy2SbCzKigY8J6xXWe/VkA=="/>
  <autoFilter ref="B18:W424">
    <filterColumn colId="2" showButton="0"/>
    <filterColumn colId="11" showButton="0"/>
    <filterColumn colId="12" showButton="0"/>
    <filterColumn colId="13" showButton="0"/>
    <filterColumn colId="14" showButton="0"/>
  </autoFilter>
  <mergeCells count="766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M79:S79"/>
    <mergeCell ref="A79:L80"/>
    <mergeCell ref="M80:S80"/>
    <mergeCell ref="A81:W81"/>
    <mergeCell ref="D82:E82"/>
    <mergeCell ref="M82:Q82"/>
    <mergeCell ref="D83:E83"/>
    <mergeCell ref="M83:Q83"/>
    <mergeCell ref="D84:E84"/>
    <mergeCell ref="M84:Q84"/>
    <mergeCell ref="D85:E85"/>
    <mergeCell ref="M85:Q85"/>
    <mergeCell ref="D86:E86"/>
    <mergeCell ref="M86:Q86"/>
    <mergeCell ref="D87:E87"/>
    <mergeCell ref="M87:Q87"/>
    <mergeCell ref="M88:S88"/>
    <mergeCell ref="A88:L89"/>
    <mergeCell ref="M89:S89"/>
    <mergeCell ref="A90:W90"/>
    <mergeCell ref="D91:E91"/>
    <mergeCell ref="M91:Q91"/>
    <mergeCell ref="D92:E92"/>
    <mergeCell ref="M92:Q92"/>
    <mergeCell ref="D93:E93"/>
    <mergeCell ref="M93:Q93"/>
    <mergeCell ref="D94:E94"/>
    <mergeCell ref="M94:Q94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M100:S100"/>
    <mergeCell ref="A100:L101"/>
    <mergeCell ref="M101:S101"/>
    <mergeCell ref="A102:W102"/>
    <mergeCell ref="D103:E103"/>
    <mergeCell ref="M103:Q103"/>
    <mergeCell ref="D104:E104"/>
    <mergeCell ref="M104:Q104"/>
    <mergeCell ref="D105:E105"/>
    <mergeCell ref="M105:Q105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M110:S110"/>
    <mergeCell ref="A110:L111"/>
    <mergeCell ref="M111:S111"/>
    <mergeCell ref="A112:W112"/>
    <mergeCell ref="D113:E113"/>
    <mergeCell ref="M113:Q113"/>
    <mergeCell ref="D114:E114"/>
    <mergeCell ref="M114:Q114"/>
    <mergeCell ref="D115:E115"/>
    <mergeCell ref="M115:Q115"/>
    <mergeCell ref="D116:E116"/>
    <mergeCell ref="M116:Q116"/>
    <mergeCell ref="M117:S117"/>
    <mergeCell ref="A117:L118"/>
    <mergeCell ref="M118:S118"/>
    <mergeCell ref="A119:W119"/>
    <mergeCell ref="A120:W120"/>
    <mergeCell ref="D121:E121"/>
    <mergeCell ref="M121:Q121"/>
    <mergeCell ref="D122:E122"/>
    <mergeCell ref="M122:Q122"/>
    <mergeCell ref="D123:E123"/>
    <mergeCell ref="M123:Q123"/>
    <mergeCell ref="D124:E124"/>
    <mergeCell ref="M124:Q124"/>
    <mergeCell ref="M125:S125"/>
    <mergeCell ref="A125:L126"/>
    <mergeCell ref="M126:S126"/>
    <mergeCell ref="A127:W127"/>
    <mergeCell ref="A128:W128"/>
    <mergeCell ref="A129:W129"/>
    <mergeCell ref="D130:E130"/>
    <mergeCell ref="M130:Q130"/>
    <mergeCell ref="D131:E131"/>
    <mergeCell ref="M131:Q131"/>
    <mergeCell ref="D132:E132"/>
    <mergeCell ref="M132:Q132"/>
    <mergeCell ref="M133:S133"/>
    <mergeCell ref="A133:L134"/>
    <mergeCell ref="M134:S134"/>
    <mergeCell ref="A135:W135"/>
    <mergeCell ref="A136:W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D146:E146"/>
    <mergeCell ref="M146:Q14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D151:E151"/>
    <mergeCell ref="M151:Q151"/>
    <mergeCell ref="D152:E152"/>
    <mergeCell ref="M152:Q152"/>
    <mergeCell ref="M153:S153"/>
    <mergeCell ref="A153:L154"/>
    <mergeCell ref="M154:S154"/>
    <mergeCell ref="A155:W155"/>
    <mergeCell ref="D156:E156"/>
    <mergeCell ref="M156:Q156"/>
    <mergeCell ref="D157:E157"/>
    <mergeCell ref="M157:Q157"/>
    <mergeCell ref="M158:S158"/>
    <mergeCell ref="A158:L159"/>
    <mergeCell ref="M159:S159"/>
    <mergeCell ref="A160:W160"/>
    <mergeCell ref="D161:E161"/>
    <mergeCell ref="M161:Q161"/>
    <mergeCell ref="D162:E162"/>
    <mergeCell ref="M162:Q162"/>
    <mergeCell ref="D163:E163"/>
    <mergeCell ref="M163:Q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M177:S177"/>
    <mergeCell ref="A177:L178"/>
    <mergeCell ref="M178:S178"/>
    <mergeCell ref="A179:W179"/>
    <mergeCell ref="D180:E180"/>
    <mergeCell ref="M180:Q180"/>
    <mergeCell ref="D181:E181"/>
    <mergeCell ref="M181:Q181"/>
    <mergeCell ref="D182:E182"/>
    <mergeCell ref="M182:Q182"/>
    <mergeCell ref="D183:E183"/>
    <mergeCell ref="M183:Q183"/>
    <mergeCell ref="D184:E184"/>
    <mergeCell ref="M184:Q184"/>
    <mergeCell ref="D185:E185"/>
    <mergeCell ref="M185:Q185"/>
    <mergeCell ref="D186:E186"/>
    <mergeCell ref="M186:Q186"/>
    <mergeCell ref="D187:E187"/>
    <mergeCell ref="M187:Q187"/>
    <mergeCell ref="D188:E188"/>
    <mergeCell ref="M188:Q18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M201:S201"/>
    <mergeCell ref="A201:L202"/>
    <mergeCell ref="M202:S202"/>
    <mergeCell ref="A203:W203"/>
    <mergeCell ref="D204:E204"/>
    <mergeCell ref="M204:Q204"/>
    <mergeCell ref="D205:E205"/>
    <mergeCell ref="M205:Q205"/>
    <mergeCell ref="D206:E206"/>
    <mergeCell ref="M206:Q206"/>
    <mergeCell ref="D207:E207"/>
    <mergeCell ref="M207:Q207"/>
    <mergeCell ref="D208:E208"/>
    <mergeCell ref="M208:Q208"/>
    <mergeCell ref="D209:E209"/>
    <mergeCell ref="M209:Q209"/>
    <mergeCell ref="M210:S210"/>
    <mergeCell ref="A210:L211"/>
    <mergeCell ref="M211:S211"/>
    <mergeCell ref="A212:W212"/>
    <mergeCell ref="D213:E213"/>
    <mergeCell ref="M213:Q213"/>
    <mergeCell ref="D214:E214"/>
    <mergeCell ref="M214:Q214"/>
    <mergeCell ref="D215:E215"/>
    <mergeCell ref="M215:Q215"/>
    <mergeCell ref="M216:S216"/>
    <mergeCell ref="A216:L217"/>
    <mergeCell ref="M217:S217"/>
    <mergeCell ref="A218:W218"/>
    <mergeCell ref="D219:E219"/>
    <mergeCell ref="M219:Q219"/>
    <mergeCell ref="D220:E220"/>
    <mergeCell ref="M220:Q220"/>
    <mergeCell ref="D221:E221"/>
    <mergeCell ref="M221:Q221"/>
    <mergeCell ref="D222:E222"/>
    <mergeCell ref="M222:Q222"/>
    <mergeCell ref="M223:S223"/>
    <mergeCell ref="A223:L224"/>
    <mergeCell ref="M224:S224"/>
    <mergeCell ref="A225:W225"/>
    <mergeCell ref="A226:W226"/>
    <mergeCell ref="D227:E227"/>
    <mergeCell ref="M227:Q227"/>
    <mergeCell ref="D228:E228"/>
    <mergeCell ref="M228:Q228"/>
    <mergeCell ref="D229:E229"/>
    <mergeCell ref="M229:Q229"/>
    <mergeCell ref="D230:E230"/>
    <mergeCell ref="M230:Q230"/>
    <mergeCell ref="D231:E231"/>
    <mergeCell ref="M231:Q231"/>
    <mergeCell ref="D232:E232"/>
    <mergeCell ref="M232:Q232"/>
    <mergeCell ref="D233:E233"/>
    <mergeCell ref="M233:Q233"/>
    <mergeCell ref="M234:S234"/>
    <mergeCell ref="A234:L235"/>
    <mergeCell ref="M235:S235"/>
    <mergeCell ref="A236:W236"/>
    <mergeCell ref="D237:E237"/>
    <mergeCell ref="M237:Q237"/>
    <mergeCell ref="D238:E238"/>
    <mergeCell ref="M238:Q238"/>
    <mergeCell ref="M239:S239"/>
    <mergeCell ref="A239:L240"/>
    <mergeCell ref="M240:S240"/>
    <mergeCell ref="A241:W241"/>
    <mergeCell ref="A242:W242"/>
    <mergeCell ref="D243:E243"/>
    <mergeCell ref="M243:Q243"/>
    <mergeCell ref="D244:E244"/>
    <mergeCell ref="M244:Q244"/>
    <mergeCell ref="M245:S245"/>
    <mergeCell ref="A245:L246"/>
    <mergeCell ref="M246:S246"/>
    <mergeCell ref="A247:W247"/>
    <mergeCell ref="D248:E248"/>
    <mergeCell ref="M248:Q248"/>
    <mergeCell ref="D249:E249"/>
    <mergeCell ref="M249:Q249"/>
    <mergeCell ref="D250:E250"/>
    <mergeCell ref="M250:Q250"/>
    <mergeCell ref="M251:S251"/>
    <mergeCell ref="A251:L252"/>
    <mergeCell ref="M252:S252"/>
    <mergeCell ref="A253:W253"/>
    <mergeCell ref="D254:E254"/>
    <mergeCell ref="M254:Q254"/>
    <mergeCell ref="M255:S255"/>
    <mergeCell ref="A255:L256"/>
    <mergeCell ref="M256:S256"/>
    <mergeCell ref="A257:W257"/>
    <mergeCell ref="D258:E258"/>
    <mergeCell ref="M258:Q258"/>
    <mergeCell ref="M259:S259"/>
    <mergeCell ref="A259:L260"/>
    <mergeCell ref="M260:S260"/>
    <mergeCell ref="A261:W261"/>
    <mergeCell ref="D262:E262"/>
    <mergeCell ref="M262:Q262"/>
    <mergeCell ref="M263:S263"/>
    <mergeCell ref="A263:L264"/>
    <mergeCell ref="M264:S264"/>
    <mergeCell ref="A265:W265"/>
    <mergeCell ref="A266:W266"/>
    <mergeCell ref="A267:W267"/>
    <mergeCell ref="D268:E268"/>
    <mergeCell ref="M268:Q268"/>
    <mergeCell ref="D269:E269"/>
    <mergeCell ref="M269:Q269"/>
    <mergeCell ref="D270:E270"/>
    <mergeCell ref="M270:Q270"/>
    <mergeCell ref="D271:E271"/>
    <mergeCell ref="M271:Q271"/>
    <mergeCell ref="D272:E272"/>
    <mergeCell ref="M272:Q272"/>
    <mergeCell ref="D273:E273"/>
    <mergeCell ref="M273:Q273"/>
    <mergeCell ref="D274:E274"/>
    <mergeCell ref="M274:Q274"/>
    <mergeCell ref="D275:E275"/>
    <mergeCell ref="M275:Q275"/>
    <mergeCell ref="M276:S276"/>
    <mergeCell ref="A276:L277"/>
    <mergeCell ref="M277:S277"/>
    <mergeCell ref="A278:W278"/>
    <mergeCell ref="D279:E279"/>
    <mergeCell ref="M279:Q279"/>
    <mergeCell ref="D280:E280"/>
    <mergeCell ref="M280:Q280"/>
    <mergeCell ref="M281:S281"/>
    <mergeCell ref="A281:L282"/>
    <mergeCell ref="M282:S282"/>
    <mergeCell ref="A283:W283"/>
    <mergeCell ref="D284:E284"/>
    <mergeCell ref="M284:Q284"/>
    <mergeCell ref="D285:E285"/>
    <mergeCell ref="M285:Q285"/>
    <mergeCell ref="M286:S286"/>
    <mergeCell ref="A286:L287"/>
    <mergeCell ref="M287:S287"/>
    <mergeCell ref="A288:W288"/>
    <mergeCell ref="D289:E289"/>
    <mergeCell ref="M289:Q289"/>
    <mergeCell ref="M290:S290"/>
    <mergeCell ref="A290:L291"/>
    <mergeCell ref="M291:S291"/>
    <mergeCell ref="A292:W292"/>
    <mergeCell ref="D293:E293"/>
    <mergeCell ref="M293:Q293"/>
    <mergeCell ref="M294:S294"/>
    <mergeCell ref="A294:L295"/>
    <mergeCell ref="M295:S295"/>
    <mergeCell ref="A296:W296"/>
    <mergeCell ref="A297:W297"/>
    <mergeCell ref="D298:E298"/>
    <mergeCell ref="M298:Q298"/>
    <mergeCell ref="D299:E299"/>
    <mergeCell ref="M299:Q299"/>
    <mergeCell ref="D300:E300"/>
    <mergeCell ref="M300:Q300"/>
    <mergeCell ref="D301:E301"/>
    <mergeCell ref="M301:Q301"/>
    <mergeCell ref="M302:S302"/>
    <mergeCell ref="A302:L303"/>
    <mergeCell ref="M303:S303"/>
    <mergeCell ref="A304:W304"/>
    <mergeCell ref="D305:E305"/>
    <mergeCell ref="M305:Q305"/>
    <mergeCell ref="D306:E306"/>
    <mergeCell ref="M306:Q306"/>
    <mergeCell ref="M307:S307"/>
    <mergeCell ref="A307:L308"/>
    <mergeCell ref="M308:S308"/>
    <mergeCell ref="A309:W309"/>
    <mergeCell ref="D310:E310"/>
    <mergeCell ref="M310:Q310"/>
    <mergeCell ref="D311:E311"/>
    <mergeCell ref="M311:Q311"/>
    <mergeCell ref="D312:E312"/>
    <mergeCell ref="M312:Q312"/>
    <mergeCell ref="D313:E313"/>
    <mergeCell ref="M313:Q313"/>
    <mergeCell ref="M314:S314"/>
    <mergeCell ref="A314:L315"/>
    <mergeCell ref="M315:S315"/>
    <mergeCell ref="A316:W316"/>
    <mergeCell ref="D317:E317"/>
    <mergeCell ref="M317:Q317"/>
    <mergeCell ref="M318:S318"/>
    <mergeCell ref="A318:L319"/>
    <mergeCell ref="M319:S319"/>
    <mergeCell ref="A320:W320"/>
    <mergeCell ref="A321:W321"/>
    <mergeCell ref="A322:W322"/>
    <mergeCell ref="D323:E323"/>
    <mergeCell ref="M323:Q323"/>
    <mergeCell ref="D324:E324"/>
    <mergeCell ref="M324:Q324"/>
    <mergeCell ref="M325:S325"/>
    <mergeCell ref="A325:L326"/>
    <mergeCell ref="M326:S326"/>
    <mergeCell ref="A327:W327"/>
    <mergeCell ref="D328:E328"/>
    <mergeCell ref="M328:Q328"/>
    <mergeCell ref="D329:E329"/>
    <mergeCell ref="M329:Q329"/>
    <mergeCell ref="D330:E330"/>
    <mergeCell ref="M330:Q330"/>
    <mergeCell ref="D331:E331"/>
    <mergeCell ref="M331:Q331"/>
    <mergeCell ref="D332:E332"/>
    <mergeCell ref="M332:Q332"/>
    <mergeCell ref="D333:E333"/>
    <mergeCell ref="M333:Q333"/>
    <mergeCell ref="D334:E334"/>
    <mergeCell ref="M334:Q334"/>
    <mergeCell ref="M335:S335"/>
    <mergeCell ref="A335:L336"/>
    <mergeCell ref="M336:S336"/>
    <mergeCell ref="A337:W337"/>
    <mergeCell ref="D338:E338"/>
    <mergeCell ref="M338:Q338"/>
    <mergeCell ref="D339:E339"/>
    <mergeCell ref="M339:Q339"/>
    <mergeCell ref="D340:E340"/>
    <mergeCell ref="M340:Q340"/>
    <mergeCell ref="D341:E341"/>
    <mergeCell ref="M341:Q341"/>
    <mergeCell ref="M342:S342"/>
    <mergeCell ref="A342:L343"/>
    <mergeCell ref="M343:S343"/>
    <mergeCell ref="A344:W344"/>
    <mergeCell ref="D345:E345"/>
    <mergeCell ref="M345:Q345"/>
    <mergeCell ref="M346:S346"/>
    <mergeCell ref="A346:L347"/>
    <mergeCell ref="M347:S347"/>
    <mergeCell ref="A348:W348"/>
    <mergeCell ref="A349:W349"/>
    <mergeCell ref="D350:E350"/>
    <mergeCell ref="M350:Q350"/>
    <mergeCell ref="D351:E351"/>
    <mergeCell ref="M351:Q351"/>
    <mergeCell ref="M352:S352"/>
    <mergeCell ref="A352:L353"/>
    <mergeCell ref="M353:S353"/>
    <mergeCell ref="A354:W354"/>
    <mergeCell ref="D355:E355"/>
    <mergeCell ref="M355:Q355"/>
    <mergeCell ref="D356:E356"/>
    <mergeCell ref="M356:Q356"/>
    <mergeCell ref="D357:E357"/>
    <mergeCell ref="M357:Q357"/>
    <mergeCell ref="D358:E358"/>
    <mergeCell ref="M358:Q358"/>
    <mergeCell ref="D359:E359"/>
    <mergeCell ref="M359:Q359"/>
    <mergeCell ref="M360:S360"/>
    <mergeCell ref="A360:L361"/>
    <mergeCell ref="M361:S361"/>
    <mergeCell ref="A362:W362"/>
    <mergeCell ref="A363:W363"/>
    <mergeCell ref="A364:W364"/>
    <mergeCell ref="D365:E365"/>
    <mergeCell ref="M365:Q365"/>
    <mergeCell ref="D366:E366"/>
    <mergeCell ref="M366:Q366"/>
    <mergeCell ref="D367:E367"/>
    <mergeCell ref="M367:Q367"/>
    <mergeCell ref="D368:E368"/>
    <mergeCell ref="M368:Q368"/>
    <mergeCell ref="D369:E369"/>
    <mergeCell ref="M369:Q369"/>
    <mergeCell ref="D370:E370"/>
    <mergeCell ref="M370:Q370"/>
    <mergeCell ref="D371:E371"/>
    <mergeCell ref="M371:Q371"/>
    <mergeCell ref="D372:E372"/>
    <mergeCell ref="M372:Q372"/>
    <mergeCell ref="D373:E373"/>
    <mergeCell ref="M373:Q373"/>
    <mergeCell ref="D374:E374"/>
    <mergeCell ref="M374:Q374"/>
    <mergeCell ref="M375:S375"/>
    <mergeCell ref="A375:L376"/>
    <mergeCell ref="M376:S376"/>
    <mergeCell ref="A377:W377"/>
    <mergeCell ref="D378:E378"/>
    <mergeCell ref="M378:Q378"/>
    <mergeCell ref="D379:E379"/>
    <mergeCell ref="M379:Q379"/>
    <mergeCell ref="M380:S380"/>
    <mergeCell ref="A380:L381"/>
    <mergeCell ref="M381:S381"/>
    <mergeCell ref="A382:W382"/>
    <mergeCell ref="D383:E383"/>
    <mergeCell ref="M383:Q383"/>
    <mergeCell ref="D384:E384"/>
    <mergeCell ref="M384:Q384"/>
    <mergeCell ref="D385:E385"/>
    <mergeCell ref="M385:Q385"/>
    <mergeCell ref="D386:E386"/>
    <mergeCell ref="M386:Q386"/>
    <mergeCell ref="D387:E387"/>
    <mergeCell ref="M387:Q387"/>
    <mergeCell ref="D388:E388"/>
    <mergeCell ref="M388:Q388"/>
    <mergeCell ref="M389:S389"/>
    <mergeCell ref="A389:L390"/>
    <mergeCell ref="M390:S390"/>
    <mergeCell ref="A391:W391"/>
    <mergeCell ref="D392:E392"/>
    <mergeCell ref="M392:Q392"/>
    <mergeCell ref="D393:E393"/>
    <mergeCell ref="M393:Q393"/>
    <mergeCell ref="M394:S394"/>
    <mergeCell ref="A394:L395"/>
    <mergeCell ref="M395:S395"/>
    <mergeCell ref="A396:W396"/>
    <mergeCell ref="A397:W397"/>
    <mergeCell ref="A398:W398"/>
    <mergeCell ref="D399:E399"/>
    <mergeCell ref="M399:Q399"/>
    <mergeCell ref="D400:E400"/>
    <mergeCell ref="M400:Q400"/>
    <mergeCell ref="M401:S401"/>
    <mergeCell ref="A401:L402"/>
    <mergeCell ref="M402:S402"/>
    <mergeCell ref="A403:W403"/>
    <mergeCell ref="D404:E404"/>
    <mergeCell ref="M404:Q404"/>
    <mergeCell ref="D405:E405"/>
    <mergeCell ref="M405:Q405"/>
    <mergeCell ref="M406:S406"/>
    <mergeCell ref="A406:L407"/>
    <mergeCell ref="M407:S407"/>
    <mergeCell ref="A408:W408"/>
    <mergeCell ref="D409:E409"/>
    <mergeCell ref="M409:Q409"/>
    <mergeCell ref="D410:E410"/>
    <mergeCell ref="M410:Q410"/>
    <mergeCell ref="M411:S411"/>
    <mergeCell ref="A411:L412"/>
    <mergeCell ref="M412:S412"/>
    <mergeCell ref="A413:W413"/>
    <mergeCell ref="D414:E414"/>
    <mergeCell ref="M414:Q414"/>
    <mergeCell ref="D415:E415"/>
    <mergeCell ref="M415:Q415"/>
    <mergeCell ref="D416:E416"/>
    <mergeCell ref="M416:Q416"/>
    <mergeCell ref="M417:S417"/>
    <mergeCell ref="A417:L418"/>
    <mergeCell ref="M418:S418"/>
    <mergeCell ref="M419:S419"/>
    <mergeCell ref="A419:L424"/>
    <mergeCell ref="M420:S420"/>
    <mergeCell ref="M421:S421"/>
    <mergeCell ref="M422:S422"/>
    <mergeCell ref="M423:S423"/>
    <mergeCell ref="M424:S424"/>
    <mergeCell ref="C426:F426"/>
    <mergeCell ref="G426:J426"/>
    <mergeCell ref="K426:L426"/>
    <mergeCell ref="M426:N426"/>
    <mergeCell ref="J427:J428"/>
    <mergeCell ref="K427:K428"/>
    <mergeCell ref="L427:L428"/>
    <mergeCell ref="M427:M428"/>
    <mergeCell ref="N427:N428"/>
    <mergeCell ref="O427:O428"/>
    <mergeCell ref="P427:P428"/>
    <mergeCell ref="A427:A428"/>
    <mergeCell ref="B427:B428"/>
    <mergeCell ref="C427:C428"/>
    <mergeCell ref="D427:D428"/>
    <mergeCell ref="E427:E428"/>
    <mergeCell ref="F427:F428"/>
    <mergeCell ref="G427:G428"/>
    <mergeCell ref="H427:H428"/>
    <mergeCell ref="I427:I428"/>
  </mergeCells>
  <conditionalFormatting sqref="A8:K8 M9:O13 A9:C10">
    <cfRule type="expression" priority="12" dxfId="0" stopIfTrue="1">
      <formula>IF($S$5="самовывоз",1,0)</formula>
    </cfRule>
  </conditionalFormatting>
  <conditionalFormatting sqref="H10:K10">
    <cfRule type="expression" priority="7" dxfId="0" stopIfTrue="1">
      <formula>IF($S$5="самовывоз",1,0)</formula>
    </cfRule>
  </conditionalFormatting>
  <conditionalFormatting sqref="J9:K9">
    <cfRule type="expression" priority="6" dxfId="0" stopIfTrue="1">
      <formula>IF($S$5="самовывоз",1,0)</formula>
    </cfRule>
  </conditionalFormatting>
  <conditionalFormatting sqref="H9:I9">
    <cfRule type="expression" priority="5" dxfId="0" stopIfTrue="1">
      <formula>IF($S$5="самовывоз",1,0)</formula>
    </cfRule>
  </conditionalFormatting>
  <conditionalFormatting sqref="F9:G9">
    <cfRule type="expression" priority="4" dxfId="0" stopIfTrue="1">
      <formula>IF($S$5="самовывоз",1,0)</formula>
    </cfRule>
  </conditionalFormatting>
  <conditionalFormatting sqref="F10:G10">
    <cfRule type="expression" priority="3" dxfId="0" stopIfTrue="1">
      <formula>IF($S$5="самовывоз",1,0)</formula>
    </cfRule>
  </conditionalFormatting>
  <conditionalFormatting sqref="D9:E9">
    <cfRule type="expression" priority="2" dxfId="0" stopIfTrue="1">
      <formula>IF($S$5="самовывоз",1,0)</formula>
    </cfRule>
  </conditionalFormatting>
  <conditionalFormatting sqref="D10:E10">
    <cfRule type="expression" priority="1" dxfId="0" stopIfTrue="1">
      <formula>IF($S$5="самовывоз",1,0)</formula>
    </cfRule>
  </conditionalFormatting>
  <dataValidations xWindow="697" yWindow="616" count="16">
    <dataValidation sqref="N6:N7" showErrorMessage="1" showInputMessage="1" allowBlank="1" prompt="День недели загрузки. Считается сам."/>
    <dataValidation sqref="U16:Y16" showErrorMessage="1" showInputMessage="1" allowBlank="1" type="list">
      <formula1>"80-60,60-40,40-10,70-10"</formula1>
    </dataValidation>
    <dataValidation sqref="N5:O5" showErrorMessage="1" showInputMessage="1" allowBlank="1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S6:S7" showErrorMessage="1" showInputMessage="1" allowBlank="1" prompt="Введите название вашей фирмы."/>
    <dataValidation sqref="S10" showErrorMessage="1" showInputMessage="1" allowBlank="1" prompt="Введите код клиента в системе Axapta"/>
    <dataValidation sqref="S11:T11" showErrorMessage="1" showInputMessage="1" allowBlank="1" prompt="Определите тип Вашего заказа" type="list">
      <formula1>"Основной заказ, Дозаказ, Замена"</formula1>
    </dataValidation>
    <dataValidation sqref="D6:K6" showErrorMessage="1" showInputMessage="1" allowBlank="1" type="list">
      <formula1>DeliveryAdressList</formula1>
    </dataValidation>
    <dataValidation sqref="S5:T5" showErrorMessage="1" showInputMessage="1" allowBlank="1" errorTitle="Внимание!" error="Выберите значение из списка_x000a_" prompt="Выберите значение из списка" type="list">
      <formula1>DeliveryMethodList</formula1>
    </dataValidation>
    <dataValidation sqref="D8:K8" showErrorMessage="1" showInputMessage="1" allowBlank="1" type="list">
      <formula1>CHOOSE($D$7,UnloadAdressList0001,UnloadAdressList0002,UnloadAdressList0003,UnloadAdressList0004,UnloadAdressList0005,UnloadAdressList0006,UnloadAdressList0007,UnloadAdressList0008)</formula1>
    </dataValidation>
    <dataValidation sqref="N8:O8" showErrorMessage="1" showInput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N10:O13" showErrorMessage="1" showInputMessage="1" allowBlank="1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N9:O9" showErrorMessage="1" showInputMessage="1" allowBlank="1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ErrorMessage="1" showInputMessage="1" allowBlank="1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ErrorMessage="1" showInputMessage="1" allowBlank="1" type="list">
      <formula1>IF(TypeProxy="Уполномоченное лицо",NumProxySet,null)</formula1>
    </dataValidation>
    <dataValidation sqref="W22:Y22" showErrorMessage="1" showInputMessage="1" allowBlank="1" error="укажите вес, кратный весу коробки" operator="equal"/>
    <dataValidation sqref="S12" showErrorMessage="1" showInputMessage="1" allowBlank="1" type="list">
      <formula1>DeliveryConditionsList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41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Крым Респ, Симферополь г, Данилова ул, 43В, лит В, офис 4,</t>
        </is>
      </c>
      <c r="C6" s="54" t="inlineStr">
        <is>
          <t>590704_1</t>
        </is>
      </c>
      <c r="D6" s="54" t="inlineStr">
        <is>
          <t>1</t>
        </is>
      </c>
      <c r="E6" s="54" t="inlineStr"/>
    </row>
    <row r="7">
      <c r="B7" s="54" t="inlineStr">
        <is>
          <t>ЛП, ООО, Орловская обл, Орёл г, Ливенская ул, д.78,</t>
        </is>
      </c>
      <c r="C7" s="54" t="inlineStr">
        <is>
          <t>590704_2</t>
        </is>
      </c>
      <c r="D7" s="54" t="inlineStr">
        <is>
          <t>2</t>
        </is>
      </c>
      <c r="E7" s="54" t="inlineStr"/>
    </row>
    <row r="8">
      <c r="B8" s="54" t="inlineStr">
        <is>
          <t>ЛП, ООО, (сеть) Крым Респ, Симферополь г, Данилова ул, д. 43В, лит В, офис 4,</t>
        </is>
      </c>
      <c r="C8" s="54" t="inlineStr">
        <is>
          <t>590704_3</t>
        </is>
      </c>
      <c r="D8" s="54" t="inlineStr">
        <is>
          <t>3</t>
        </is>
      </c>
      <c r="E8" s="54" t="inlineStr"/>
    </row>
    <row r="9">
      <c r="B9" s="54" t="inlineStr">
        <is>
          <t>ЛП, ООО, Крым Респ, Симферополь г, Данилова ул, д. 43В, лит В, офис 4</t>
        </is>
      </c>
      <c r="C9" s="54" t="inlineStr">
        <is>
          <t>590704_5</t>
        </is>
      </c>
      <c r="D9" s="54" t="inlineStr">
        <is>
          <t>4</t>
        </is>
      </c>
      <c r="E9" s="54" t="inlineStr"/>
    </row>
    <row r="10">
      <c r="B10" s="54" t="inlineStr">
        <is>
          <t>ЛП, ООО, 73009, Херсон г, Некрасова ул, 2,</t>
        </is>
      </c>
      <c r="C10" s="54" t="inlineStr">
        <is>
          <t>590704_4</t>
        </is>
      </c>
      <c r="D10" s="54" t="inlineStr">
        <is>
          <t>5</t>
        </is>
      </c>
      <c r="E10" s="54" t="inlineStr"/>
    </row>
    <row r="11">
      <c r="B11" s="54" t="inlineStr">
        <is>
          <t>ЛП, ООО, Краснодарский край, Сочи г, Фурманова ул, д. 12Г,</t>
        </is>
      </c>
      <c r="C11" s="54" t="inlineStr">
        <is>
          <t>590704_6</t>
        </is>
      </c>
      <c r="D11" s="54" t="inlineStr">
        <is>
          <t>6</t>
        </is>
      </c>
      <c r="E11" s="54" t="inlineStr"/>
    </row>
    <row r="12">
      <c r="B12" s="54" t="inlineStr">
        <is>
          <t>ЛП, ООО, Краснодарский край, Сочи г, Строительный пер, д. 10А,</t>
        </is>
      </c>
      <c r="C12" s="54" t="inlineStr">
        <is>
          <t>590704_7</t>
        </is>
      </c>
      <c r="D12" s="54" t="inlineStr">
        <is>
          <t>7</t>
        </is>
      </c>
      <c r="E12" s="54" t="inlineStr"/>
    </row>
    <row r="13">
      <c r="B13" s="54" t="inlineStr">
        <is>
          <t>ЛП, ООО, Краснодарский край, Краснодар г, им Вишняковой проезд, д. 1/5,</t>
        </is>
      </c>
      <c r="C13" s="54" t="inlineStr">
        <is>
          <t>590704_8</t>
        </is>
      </c>
      <c r="D13" s="54" t="inlineStr">
        <is>
          <t>8</t>
        </is>
      </c>
      <c r="E13" s="54" t="inlineStr"/>
    </row>
    <row r="15">
      <c r="B15" s="54" t="inlineStr">
        <is>
          <t>295021Российская Федерация, Крым Респ, Симферополь г, Данилова ул, 43В, лит В, офис 4,</t>
        </is>
      </c>
      <c r="C15" s="54" t="inlineStr">
        <is>
          <t>590704_1</t>
        </is>
      </c>
      <c r="D15" s="54" t="inlineStr"/>
      <c r="E15" s="54" t="inlineStr"/>
    </row>
    <row r="17">
      <c r="B17" s="54" t="inlineStr">
        <is>
          <t>302004Российская Федерация, Орловская обл, Орёл г, Ливенская ул, д.78,</t>
        </is>
      </c>
      <c r="C17" s="54" t="inlineStr">
        <is>
          <t>590704_2</t>
        </is>
      </c>
      <c r="D17" s="54" t="inlineStr"/>
      <c r="E17" s="54" t="inlineStr"/>
    </row>
    <row r="19">
      <c r="B19" s="54" t="inlineStr">
        <is>
          <t>295021Российская Федерация, Крым Респ, Симферополь г, Данилова ул, д. 43В, лит В, офис 4,</t>
        </is>
      </c>
      <c r="C19" s="54" t="inlineStr">
        <is>
          <t>590704_3</t>
        </is>
      </c>
      <c r="D19" s="54" t="inlineStr"/>
      <c r="E19" s="54" t="inlineStr"/>
    </row>
    <row r="21">
      <c r="B21" s="54" t="inlineStr">
        <is>
          <t>295021Российская Федерация, Крым Респ, Симферополь г, Данилова ул, д. 43В, лит В, офис 4</t>
        </is>
      </c>
      <c r="C21" s="54" t="inlineStr">
        <is>
          <t>590704_5</t>
        </is>
      </c>
      <c r="D21" s="54" t="inlineStr"/>
      <c r="E21" s="54" t="inlineStr"/>
    </row>
    <row r="23">
      <c r="B23" s="54" t="inlineStr">
        <is>
          <t>Российская Федерация, Херсонская обл, Херсон г, Некрасова ул, д. 2,</t>
        </is>
      </c>
      <c r="C23" s="54" t="inlineStr">
        <is>
          <t>590704_4</t>
        </is>
      </c>
      <c r="D23" s="54" t="inlineStr"/>
      <c r="E23" s="54" t="inlineStr"/>
    </row>
    <row r="25">
      <c r="B25" s="54" t="inlineStr">
        <is>
          <t>354024Российская Федерация, Краснодарский край, Сочи г, Фурманова ул, д. 12Г,</t>
        </is>
      </c>
      <c r="C25" s="54" t="inlineStr">
        <is>
          <t>590704_6</t>
        </is>
      </c>
      <c r="D25" s="54" t="inlineStr"/>
      <c r="E25" s="54" t="inlineStr"/>
    </row>
    <row r="27">
      <c r="B27" s="54" t="inlineStr">
        <is>
          <t>354068Российская Федерация, Краснодарский край, Сочи г, Строительный пер, д. 10А,</t>
        </is>
      </c>
      <c r="C27" s="54" t="inlineStr">
        <is>
          <t>590704_7</t>
        </is>
      </c>
      <c r="D27" s="54" t="inlineStr"/>
      <c r="E27" s="54" t="inlineStr"/>
    </row>
    <row r="29">
      <c r="B29" s="54" t="inlineStr">
        <is>
          <t>350001Российская Федерация, Краснодарский край, Краснодар г, им Вишняковой проезд, д. 1/5,</t>
        </is>
      </c>
      <c r="C29" s="54" t="inlineStr">
        <is>
          <t>590704_8</t>
        </is>
      </c>
      <c r="D29" s="54" t="inlineStr"/>
      <c r="E29" s="54" t="inlineStr"/>
    </row>
    <row r="31">
      <c r="B31" s="54" t="inlineStr">
        <is>
          <t>CFR</t>
        </is>
      </c>
      <c r="C31" s="54" t="inlineStr"/>
      <c r="D31" s="54" t="inlineStr"/>
      <c r="E31" s="54" t="inlineStr"/>
    </row>
    <row r="32">
      <c r="B32" s="54" t="inlineStr">
        <is>
          <t>CIF</t>
        </is>
      </c>
      <c r="C32" s="54" t="inlineStr"/>
      <c r="D32" s="54" t="inlineStr"/>
      <c r="E32" s="54" t="inlineStr"/>
    </row>
    <row r="33">
      <c r="B33" s="54" t="inlineStr">
        <is>
          <t>CIP</t>
        </is>
      </c>
      <c r="C33" s="54" t="inlineStr"/>
      <c r="D33" s="54" t="inlineStr"/>
      <c r="E33" s="54" t="inlineStr"/>
    </row>
    <row r="34">
      <c r="B34" s="54" t="inlineStr">
        <is>
          <t>CPT</t>
        </is>
      </c>
      <c r="C34" s="54" t="inlineStr"/>
      <c r="D34" s="54" t="inlineStr"/>
      <c r="E34" s="54" t="inlineStr"/>
    </row>
    <row r="35">
      <c r="B35" s="54" t="inlineStr">
        <is>
          <t>DAP</t>
        </is>
      </c>
      <c r="C35" s="54" t="inlineStr"/>
      <c r="D35" s="54" t="inlineStr"/>
      <c r="E35" s="54" t="inlineStr"/>
    </row>
    <row r="36">
      <c r="B36" s="54" t="inlineStr">
        <is>
          <t>DAT</t>
        </is>
      </c>
      <c r="C36" s="54" t="inlineStr"/>
      <c r="D36" s="54" t="inlineStr"/>
      <c r="E36" s="54" t="inlineStr"/>
    </row>
    <row r="37">
      <c r="B37" s="54" t="inlineStr">
        <is>
          <t>DDP</t>
        </is>
      </c>
      <c r="C37" s="54" t="inlineStr"/>
      <c r="D37" s="54" t="inlineStr"/>
      <c r="E37" s="54" t="inlineStr"/>
    </row>
    <row r="38">
      <c r="B38" s="54" t="inlineStr">
        <is>
          <t>EXW</t>
        </is>
      </c>
      <c r="C38" s="54" t="inlineStr"/>
      <c r="D38" s="54" t="inlineStr"/>
      <c r="E38" s="54" t="inlineStr"/>
    </row>
    <row r="39">
      <c r="B39" s="54" t="inlineStr">
        <is>
          <t>FAS</t>
        </is>
      </c>
      <c r="C39" s="54" t="inlineStr"/>
      <c r="D39" s="54" t="inlineStr"/>
      <c r="E39" s="54" t="inlineStr"/>
    </row>
    <row r="40">
      <c r="B40" s="54" t="inlineStr">
        <is>
          <t>FCA</t>
        </is>
      </c>
      <c r="C40" s="54" t="inlineStr"/>
      <c r="D40" s="54" t="inlineStr"/>
      <c r="E40" s="54" t="inlineStr"/>
    </row>
    <row r="41">
      <c r="B41" s="54" t="inlineStr">
        <is>
          <t>FOB</t>
        </is>
      </c>
      <c r="C41" s="54" t="inlineStr"/>
      <c r="D41" s="54" t="inlineStr"/>
      <c r="E41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GOMZNU/attx93w8gyzb52Q==" formatRows="1" sort="0" spinCount="100000" hashValue="ZYMN4y33z7MQKqv7htC5c6IyLJXW67keMCjSUCJA6kuTu/3lWDuutzJHIklV1BmmhN3CtM5xMh5KYLue/tqasA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2023-07-17T13:42:38Z</dcterms:modified>
  <cp:lastModifiedBy>Uaer4</cp:lastModifiedBy>
</cp:coreProperties>
</file>