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заказа'!$B$18:$W$249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E258"/>
  <sheetViews>
    <sheetView showGridLines="0" tabSelected="1" zoomScale="93" zoomScaleNormal="93" zoomScaleSheetLayoutView="100" workbookViewId="0">
      <selection activeCell="AC9" sqref="AC9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199">
      <c r="A1" s="48" t="n"/>
      <c r="B1" s="48" t="n"/>
      <c r="C1" s="48" t="n"/>
      <c r="D1" s="161" t="inlineStr">
        <is>
          <t xml:space="preserve">  БЛАНК ЗАКАЗА </t>
        </is>
      </c>
      <c r="G1" s="14" t="inlineStr">
        <is>
          <t>ЗПФ</t>
        </is>
      </c>
      <c r="H1" s="161" t="inlineStr">
        <is>
          <t>на отгрузку продукции с ООО Трейд-Сервис с</t>
        </is>
      </c>
      <c r="O1" s="162" t="inlineStr">
        <is>
          <t>13.07.2023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199">
      <c r="A2" s="34" t="inlineStr">
        <is>
          <t>бланк создан</t>
        </is>
      </c>
      <c r="B2" s="35" t="inlineStr">
        <is>
          <t>13.07.2023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6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1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1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199">
      <c r="A5" s="165" t="inlineStr">
        <is>
          <t xml:space="preserve">Ваш контактный телефон и имя: </t>
        </is>
      </c>
      <c r="B5" s="322" t="n"/>
      <c r="C5" s="323" t="n"/>
      <c r="D5" s="166" t="n"/>
      <c r="E5" s="324" t="n"/>
      <c r="F5" s="167" t="inlineStr">
        <is>
          <t>Комментарий к заказу:</t>
        </is>
      </c>
      <c r="G5" s="323" t="n"/>
      <c r="H5" s="166" t="n"/>
      <c r="I5" s="325" t="n"/>
      <c r="J5" s="325" t="n"/>
      <c r="K5" s="324" t="n"/>
      <c r="M5" s="29" t="inlineStr">
        <is>
          <t>Дата загрузки</t>
        </is>
      </c>
      <c r="N5" s="326" t="n"/>
      <c r="O5" s="327" t="n"/>
      <c r="Q5" s="170" t="inlineStr">
        <is>
          <t>Способ доставки (доставка/самовывоз)</t>
        </is>
      </c>
      <c r="R5" s="328" t="n"/>
      <c r="S5" s="329" t="n"/>
      <c r="T5" s="327" t="n"/>
      <c r="Y5" s="60" t="n"/>
      <c r="Z5" s="60" t="n"/>
      <c r="AA5" s="60" t="n"/>
    </row>
    <row r="6" ht="24" customFormat="1" customHeight="1" s="199">
      <c r="A6" s="165" t="inlineStr">
        <is>
          <t>Адрес доставки:</t>
        </is>
      </c>
      <c r="B6" s="322" t="n"/>
      <c r="C6" s="323" t="n"/>
      <c r="D6" s="173" t="n"/>
      <c r="E6" s="330" t="n"/>
      <c r="F6" s="330" t="n"/>
      <c r="G6" s="330" t="n"/>
      <c r="H6" s="330" t="n"/>
      <c r="I6" s="330" t="n"/>
      <c r="J6" s="330" t="n"/>
      <c r="K6" s="327" t="n"/>
      <c r="M6" s="29" t="inlineStr">
        <is>
          <t>День недели</t>
        </is>
      </c>
      <c r="N6" s="174">
        <f>IF(N5=0," ",CHOOSE(WEEKDAY(N5,2),"Понедельник","Вторник","Среда","Четверг","Пятница","Суббота","Воскресенье"))</f>
        <v/>
      </c>
      <c r="O6" s="331" t="n"/>
      <c r="Q6" s="176" t="inlineStr">
        <is>
          <t>Наименование клиента</t>
        </is>
      </c>
      <c r="R6" s="328" t="n"/>
      <c r="S6" s="332" t="inlineStr">
        <is>
          <t>ОБЩЕСТВО С ОГРАНИЧЕННОЙ ОТВЕТСТВЕННОСТЬЮ "ЛОГИСТИЧЕСКИЙ ПАРТНЕР"</t>
        </is>
      </c>
      <c r="T6" s="333" t="n"/>
      <c r="Y6" s="60" t="n"/>
      <c r="Z6" s="60" t="n"/>
      <c r="AA6" s="60" t="n"/>
    </row>
    <row r="7" hidden="1" ht="21.75" customFormat="1" customHeight="1" s="199">
      <c r="A7" s="65" t="n"/>
      <c r="B7" s="65" t="n"/>
      <c r="C7" s="65" t="n"/>
      <c r="D7" s="334">
        <f>IFERROR(VLOOKUP(DeliveryAddress,Table,3,0),1)</f>
        <v/>
      </c>
      <c r="E7" s="335" t="n"/>
      <c r="F7" s="335" t="n"/>
      <c r="G7" s="335" t="n"/>
      <c r="H7" s="335" t="n"/>
      <c r="I7" s="335" t="n"/>
      <c r="J7" s="335" t="n"/>
      <c r="K7" s="336" t="n"/>
      <c r="M7" s="29" t="n"/>
      <c r="N7" s="49" t="n"/>
      <c r="O7" s="49" t="n"/>
      <c r="Q7" s="1" t="n"/>
      <c r="R7" s="328" t="n"/>
      <c r="S7" s="337" t="n"/>
      <c r="T7" s="338" t="n"/>
      <c r="Y7" s="60" t="n"/>
      <c r="Z7" s="60" t="n"/>
      <c r="AA7" s="60" t="n"/>
    </row>
    <row r="8" ht="25.5" customFormat="1" customHeight="1" s="199">
      <c r="A8" s="186" t="inlineStr">
        <is>
          <t>Адрес сдачи груза:</t>
        </is>
      </c>
      <c r="B8" s="339" t="n"/>
      <c r="C8" s="340" t="n"/>
      <c r="D8" s="187" t="n"/>
      <c r="E8" s="341" t="n"/>
      <c r="F8" s="341" t="n"/>
      <c r="G8" s="341" t="n"/>
      <c r="H8" s="341" t="n"/>
      <c r="I8" s="341" t="n"/>
      <c r="J8" s="341" t="n"/>
      <c r="K8" s="342" t="n"/>
      <c r="M8" s="29" t="inlineStr">
        <is>
          <t>Время загрузки</t>
        </is>
      </c>
      <c r="N8" s="188" t="n"/>
      <c r="O8" s="327" t="n"/>
      <c r="Q8" s="1" t="n"/>
      <c r="R8" s="328" t="n"/>
      <c r="S8" s="337" t="n"/>
      <c r="T8" s="338" t="n"/>
      <c r="Y8" s="60" t="n"/>
      <c r="Z8" s="60" t="n"/>
      <c r="AA8" s="60" t="n"/>
    </row>
    <row r="9" ht="39.95" customFormat="1" customHeight="1" s="199">
      <c r="A9" s="1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190" t="inlineStr"/>
      <c r="E9" s="3" t="n"/>
      <c r="F9" s="1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19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19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6" t="n"/>
      <c r="O9" s="327" t="n"/>
      <c r="Q9" s="1" t="n"/>
      <c r="R9" s="328" t="n"/>
      <c r="S9" s="343" t="n"/>
      <c r="T9" s="34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199">
      <c r="A10" s="1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190" t="n"/>
      <c r="E10" s="3" t="n"/>
      <c r="F10" s="1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1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188" t="n"/>
      <c r="O10" s="327" t="n"/>
      <c r="R10" s="29" t="inlineStr">
        <is>
          <t>КОД Аксапты Клиента</t>
        </is>
      </c>
      <c r="S10" s="345" t="inlineStr">
        <is>
          <t>590704</t>
        </is>
      </c>
      <c r="T10" s="33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1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188" t="n"/>
      <c r="O11" s="327" t="n"/>
      <c r="R11" s="29" t="inlineStr">
        <is>
          <t>Тип заказа</t>
        </is>
      </c>
      <c r="S11" s="196" t="inlineStr">
        <is>
          <t>Основной заказ</t>
        </is>
      </c>
      <c r="T11" s="34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199">
      <c r="A12" s="197" t="inlineStr">
        <is>
          <t>Телефоны для заказов:8(919)022-63-02 E-mail: Zamorozka@abiproduct.ru, Телефон сотрудников склада: 8-980-75-76-203</t>
        </is>
      </c>
      <c r="B12" s="322" t="n"/>
      <c r="C12" s="322" t="n"/>
      <c r="D12" s="322" t="n"/>
      <c r="E12" s="322" t="n"/>
      <c r="F12" s="322" t="n"/>
      <c r="G12" s="322" t="n"/>
      <c r="H12" s="322" t="n"/>
      <c r="I12" s="322" t="n"/>
      <c r="J12" s="322" t="n"/>
      <c r="K12" s="323" t="n"/>
      <c r="M12" s="29" t="inlineStr">
        <is>
          <t>Время доставки 3 машины</t>
        </is>
      </c>
      <c r="N12" s="198" t="n"/>
      <c r="O12" s="336" t="n"/>
      <c r="P12" s="28" t="n"/>
      <c r="R12" s="29" t="inlineStr"/>
      <c r="S12" s="199" t="n"/>
      <c r="T12" s="1" t="n"/>
      <c r="Y12" s="60" t="n"/>
      <c r="Z12" s="60" t="n"/>
      <c r="AA12" s="60" t="n"/>
    </row>
    <row r="13" ht="23.25" customFormat="1" customHeight="1" s="199">
      <c r="A13" s="197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2" t="n"/>
      <c r="C13" s="322" t="n"/>
      <c r="D13" s="322" t="n"/>
      <c r="E13" s="322" t="n"/>
      <c r="F13" s="322" t="n"/>
      <c r="G13" s="322" t="n"/>
      <c r="H13" s="322" t="n"/>
      <c r="I13" s="322" t="n"/>
      <c r="J13" s="322" t="n"/>
      <c r="K13" s="323" t="n"/>
      <c r="L13" s="31" t="n"/>
      <c r="M13" s="31" t="inlineStr">
        <is>
          <t>Время доставки 4 машины</t>
        </is>
      </c>
      <c r="N13" s="196" t="n"/>
      <c r="O13" s="34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199">
      <c r="A14" s="197" t="inlineStr">
        <is>
          <t>Телефон менеджера по логистике: 8 (919) 012-30-55 - по вопросам доставки продукции</t>
        </is>
      </c>
      <c r="B14" s="322" t="n"/>
      <c r="C14" s="322" t="n"/>
      <c r="D14" s="322" t="n"/>
      <c r="E14" s="322" t="n"/>
      <c r="F14" s="322" t="n"/>
      <c r="G14" s="322" t="n"/>
      <c r="H14" s="322" t="n"/>
      <c r="I14" s="322" t="n"/>
      <c r="J14" s="322" t="n"/>
      <c r="K14" s="32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199">
      <c r="A15" s="200" t="inlineStr">
        <is>
          <t>Телефон по работе с претензиями/жалобами (WhatSapp): 8 (980) 757-69-93       E-mail: Claims@abiproduct.ru</t>
        </is>
      </c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3" t="n"/>
      <c r="M15" s="202" t="inlineStr">
        <is>
          <t>Кликните на продукт, чтобы просмотреть изображение</t>
        </is>
      </c>
      <c r="U15" s="199" t="n"/>
      <c r="V15" s="199" t="n"/>
      <c r="W15" s="199" t="n"/>
      <c r="X15" s="199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7" t="n"/>
      <c r="N16" s="347" t="n"/>
      <c r="O16" s="347" t="n"/>
      <c r="P16" s="347" t="n"/>
      <c r="Q16" s="34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04" t="inlineStr">
        <is>
          <t>Код единицы продаж</t>
        </is>
      </c>
      <c r="B17" s="204" t="inlineStr">
        <is>
          <t>Код продукта</t>
        </is>
      </c>
      <c r="C17" s="205" t="inlineStr">
        <is>
          <t>Номер варианта</t>
        </is>
      </c>
      <c r="D17" s="204" t="inlineStr">
        <is>
          <t xml:space="preserve">Штрих-код </t>
        </is>
      </c>
      <c r="E17" s="348" t="n"/>
      <c r="F17" s="204" t="inlineStr">
        <is>
          <t>Вес нетто штуки, кг</t>
        </is>
      </c>
      <c r="G17" s="204" t="inlineStr">
        <is>
          <t>Кол-во штук в коробе, шт</t>
        </is>
      </c>
      <c r="H17" s="204" t="inlineStr">
        <is>
          <t>Вес нетто короба, кг</t>
        </is>
      </c>
      <c r="I17" s="204" t="inlineStr">
        <is>
          <t>Вес брутто короба, кг</t>
        </is>
      </c>
      <c r="J17" s="204" t="inlineStr">
        <is>
          <t>Кол-во кор. на паллте, шт</t>
        </is>
      </c>
      <c r="K17" s="204" t="inlineStr">
        <is>
          <t>Завод</t>
        </is>
      </c>
      <c r="L17" s="204" t="inlineStr">
        <is>
          <t>Срок годности, сут.</t>
        </is>
      </c>
      <c r="M17" s="204" t="inlineStr">
        <is>
          <t>Наименование</t>
        </is>
      </c>
      <c r="N17" s="349" t="n"/>
      <c r="O17" s="349" t="n"/>
      <c r="P17" s="349" t="n"/>
      <c r="Q17" s="348" t="n"/>
      <c r="R17" s="203" t="inlineStr">
        <is>
          <t>Доступно к отгрузке</t>
        </is>
      </c>
      <c r="S17" s="323" t="n"/>
      <c r="T17" s="204" t="inlineStr">
        <is>
          <t>Ед. изм.</t>
        </is>
      </c>
      <c r="U17" s="204" t="inlineStr">
        <is>
          <t>Заказ</t>
        </is>
      </c>
      <c r="V17" s="208" t="inlineStr">
        <is>
          <t>Заказ с округлением до короба</t>
        </is>
      </c>
      <c r="W17" s="204" t="inlineStr">
        <is>
          <t>Объём заказа, м3</t>
        </is>
      </c>
      <c r="X17" s="210" t="inlineStr">
        <is>
          <t>Примечание по продуктку</t>
        </is>
      </c>
      <c r="Y17" s="210" t="inlineStr">
        <is>
          <t>Признак "НОВИНКА"</t>
        </is>
      </c>
      <c r="Z17" s="210" t="inlineStr">
        <is>
          <t>Для формул</t>
        </is>
      </c>
      <c r="AA17" s="350" t="n"/>
      <c r="AB17" s="351" t="n"/>
      <c r="AC17" s="217" t="inlineStr">
        <is>
          <t>Вид продукции</t>
        </is>
      </c>
    </row>
    <row r="18" ht="14.25" customHeight="1">
      <c r="A18" s="352" t="n"/>
      <c r="B18" s="352" t="n"/>
      <c r="C18" s="352" t="n"/>
      <c r="D18" s="353" t="n"/>
      <c r="E18" s="354" t="n"/>
      <c r="F18" s="352" t="n"/>
      <c r="G18" s="352" t="n"/>
      <c r="H18" s="352" t="n"/>
      <c r="I18" s="352" t="n"/>
      <c r="J18" s="352" t="n"/>
      <c r="K18" s="352" t="n"/>
      <c r="L18" s="352" t="n"/>
      <c r="M18" s="353" t="n"/>
      <c r="N18" s="355" t="n"/>
      <c r="O18" s="355" t="n"/>
      <c r="P18" s="355" t="n"/>
      <c r="Q18" s="354" t="n"/>
      <c r="R18" s="203" t="inlineStr">
        <is>
          <t>начиная с</t>
        </is>
      </c>
      <c r="S18" s="203" t="inlineStr">
        <is>
          <t>до</t>
        </is>
      </c>
      <c r="T18" s="352" t="n"/>
      <c r="U18" s="352" t="n"/>
      <c r="V18" s="356" t="n"/>
      <c r="W18" s="352" t="n"/>
      <c r="X18" s="357" t="n"/>
      <c r="Y18" s="357" t="n"/>
      <c r="Z18" s="358" t="n"/>
      <c r="AA18" s="359" t="n"/>
      <c r="AB18" s="360" t="n"/>
      <c r="AC18" s="361" t="n"/>
    </row>
    <row r="19" ht="27.75" customHeight="1">
      <c r="A19" s="218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55" t="n"/>
      <c r="Y19" s="55" t="n"/>
    </row>
    <row r="20" ht="16.5" customHeight="1">
      <c r="A20" s="21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219" t="n"/>
      <c r="Y20" s="219" t="n"/>
    </row>
    <row r="21" ht="14.25" customHeight="1">
      <c r="A21" s="220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220" t="n"/>
      <c r="Y21" s="220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221" t="n">
        <v>4607111035752</v>
      </c>
      <c r="E22" s="331" t="n"/>
      <c r="F22" s="363" t="n">
        <v>0.43</v>
      </c>
      <c r="G22" s="38" t="n">
        <v>16</v>
      </c>
      <c r="H22" s="363" t="n">
        <v>6.88</v>
      </c>
      <c r="I22" s="36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5" t="n"/>
      <c r="O22" s="365" t="n"/>
      <c r="P22" s="365" t="n"/>
      <c r="Q22" s="331" t="n"/>
      <c r="R22" s="40" t="inlineStr"/>
      <c r="S22" s="40" t="inlineStr"/>
      <c r="T22" s="41" t="inlineStr">
        <is>
          <t>кор</t>
        </is>
      </c>
      <c r="U22" s="366" t="n">
        <v>0</v>
      </c>
      <c r="V22" s="367">
        <f>IFERROR(IF(U22="","",U22),"")</f>
        <v/>
      </c>
      <c r="W22" s="42">
        <f>IFERROR(IF(U22="","",U22*0.0155),"")</f>
        <v/>
      </c>
      <c r="X22" s="69" t="inlineStr"/>
      <c r="Y22" s="70" t="inlineStr"/>
      <c r="AC22" s="75" t="inlineStr">
        <is>
          <t>ЗПФ</t>
        </is>
      </c>
    </row>
    <row r="23">
      <c r="A23" s="22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8" t="n"/>
      <c r="M23" s="369" t="inlineStr">
        <is>
          <t>Итого</t>
        </is>
      </c>
      <c r="N23" s="339" t="n"/>
      <c r="O23" s="339" t="n"/>
      <c r="P23" s="339" t="n"/>
      <c r="Q23" s="339" t="n"/>
      <c r="R23" s="339" t="n"/>
      <c r="S23" s="340" t="n"/>
      <c r="T23" s="43" t="inlineStr">
        <is>
          <t>кор</t>
        </is>
      </c>
      <c r="U23" s="370">
        <f>IFERROR(SUM(U22:U22),"0")</f>
        <v/>
      </c>
      <c r="V23" s="370">
        <f>IFERROR(SUM(V22:V22),"0")</f>
        <v/>
      </c>
      <c r="W23" s="370">
        <f>IFERROR(IF(W22="",0,W22),"0")</f>
        <v/>
      </c>
      <c r="X23" s="371" t="n"/>
      <c r="Y23" s="37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8" t="n"/>
      <c r="M24" s="369" t="inlineStr">
        <is>
          <t>Итого</t>
        </is>
      </c>
      <c r="N24" s="339" t="n"/>
      <c r="O24" s="339" t="n"/>
      <c r="P24" s="339" t="n"/>
      <c r="Q24" s="339" t="n"/>
      <c r="R24" s="339" t="n"/>
      <c r="S24" s="340" t="n"/>
      <c r="T24" s="43" t="inlineStr">
        <is>
          <t>кг</t>
        </is>
      </c>
      <c r="U24" s="370">
        <f>IFERROR(SUMPRODUCT(U22:U22*H22:H22),"0")</f>
        <v/>
      </c>
      <c r="V24" s="370">
        <f>IFERROR(SUMPRODUCT(V22:V22*H22:H22),"0")</f>
        <v/>
      </c>
      <c r="W24" s="43" t="n"/>
      <c r="X24" s="371" t="n"/>
      <c r="Y24" s="371" t="n"/>
    </row>
    <row r="25" ht="27.75" customHeight="1">
      <c r="A25" s="218" t="inlineStr">
        <is>
          <t>Горячая штучка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55" t="n"/>
      <c r="Y25" s="55" t="n"/>
    </row>
    <row r="26" ht="16.5" customHeight="1">
      <c r="A26" s="219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219" t="n"/>
      <c r="Y26" s="219" t="n"/>
    </row>
    <row r="27" ht="14.25" customHeight="1">
      <c r="A27" s="220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220" t="n"/>
      <c r="Y27" s="220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221" t="n">
        <v>4607111036520</v>
      </c>
      <c r="E28" s="331" t="n"/>
      <c r="F28" s="363" t="n">
        <v>0.25</v>
      </c>
      <c r="G28" s="38" t="n">
        <v>6</v>
      </c>
      <c r="H28" s="363" t="n">
        <v>1.5</v>
      </c>
      <c r="I28" s="36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5" t="n"/>
      <c r="O28" s="365" t="n"/>
      <c r="P28" s="365" t="n"/>
      <c r="Q28" s="331" t="n"/>
      <c r="R28" s="40" t="inlineStr"/>
      <c r="S28" s="40" t="inlineStr"/>
      <c r="T28" s="41" t="inlineStr">
        <is>
          <t>кор</t>
        </is>
      </c>
      <c r="U28" s="366" t="n">
        <v>0</v>
      </c>
      <c r="V28" s="367">
        <f>IFERROR(IF(U28="","",U28),"")</f>
        <v/>
      </c>
      <c r="W28" s="42">
        <f>IFERROR(IF(U28="","",U28*0.00936),"")</f>
        <v/>
      </c>
      <c r="X28" s="69" t="inlineStr"/>
      <c r="Y28" s="70" t="inlineStr"/>
      <c r="AC28" s="76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221" t="n">
        <v>4607111036605</v>
      </c>
      <c r="E29" s="331" t="n"/>
      <c r="F29" s="363" t="n">
        <v>0.25</v>
      </c>
      <c r="G29" s="38" t="n">
        <v>6</v>
      </c>
      <c r="H29" s="363" t="n">
        <v>1.5</v>
      </c>
      <c r="I29" s="36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5" t="n"/>
      <c r="O29" s="365" t="n"/>
      <c r="P29" s="365" t="n"/>
      <c r="Q29" s="331" t="n"/>
      <c r="R29" s="40" t="inlineStr"/>
      <c r="S29" s="40" t="inlineStr"/>
      <c r="T29" s="41" t="inlineStr">
        <is>
          <t>кор</t>
        </is>
      </c>
      <c r="U29" s="366" t="n">
        <v>0</v>
      </c>
      <c r="V29" s="367">
        <f>IFERROR(IF(U29="","",U29),"")</f>
        <v/>
      </c>
      <c r="W29" s="42">
        <f>IFERROR(IF(U29="","",U29*0.00936),"")</f>
        <v/>
      </c>
      <c r="X29" s="69" t="inlineStr"/>
      <c r="Y29" s="70" t="inlineStr"/>
      <c r="AC29" s="77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221" t="n">
        <v>4607111036537</v>
      </c>
      <c r="E30" s="331" t="n"/>
      <c r="F30" s="363" t="n">
        <v>0.25</v>
      </c>
      <c r="G30" s="38" t="n">
        <v>6</v>
      </c>
      <c r="H30" s="363" t="n">
        <v>1.5</v>
      </c>
      <c r="I30" s="36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5" t="n"/>
      <c r="O30" s="365" t="n"/>
      <c r="P30" s="365" t="n"/>
      <c r="Q30" s="331" t="n"/>
      <c r="R30" s="40" t="inlineStr"/>
      <c r="S30" s="40" t="inlineStr"/>
      <c r="T30" s="41" t="inlineStr">
        <is>
          <t>кор</t>
        </is>
      </c>
      <c r="U30" s="366" t="n">
        <v>100</v>
      </c>
      <c r="V30" s="367">
        <f>IFERROR(IF(U30="","",U30),"")</f>
        <v/>
      </c>
      <c r="W30" s="42">
        <f>IFERROR(IF(U30="","",U30*0.00936),"")</f>
        <v/>
      </c>
      <c r="X30" s="69" t="inlineStr"/>
      <c r="Y30" s="70" t="inlineStr"/>
      <c r="AC30" s="78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221" t="n">
        <v>4607111036599</v>
      </c>
      <c r="E31" s="331" t="n"/>
      <c r="F31" s="363" t="n">
        <v>0.25</v>
      </c>
      <c r="G31" s="38" t="n">
        <v>6</v>
      </c>
      <c r="H31" s="363" t="n">
        <v>1.5</v>
      </c>
      <c r="I31" s="36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5" t="n"/>
      <c r="O31" s="365" t="n"/>
      <c r="P31" s="365" t="n"/>
      <c r="Q31" s="331" t="n"/>
      <c r="R31" s="40" t="inlineStr"/>
      <c r="S31" s="40" t="inlineStr"/>
      <c r="T31" s="41" t="inlineStr">
        <is>
          <t>кор</t>
        </is>
      </c>
      <c r="U31" s="366" t="n">
        <v>0</v>
      </c>
      <c r="V31" s="367">
        <f>IFERROR(IF(U31="","",U31),"")</f>
        <v/>
      </c>
      <c r="W31" s="42">
        <f>IFERROR(IF(U31="","",U31*0.00936),"")</f>
        <v/>
      </c>
      <c r="X31" s="69" t="inlineStr"/>
      <c r="Y31" s="70" t="inlineStr"/>
      <c r="AC31" s="79" t="inlineStr">
        <is>
          <t>ПГП</t>
        </is>
      </c>
    </row>
    <row r="32">
      <c r="A32" s="22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8" t="n"/>
      <c r="M32" s="369" t="inlineStr">
        <is>
          <t>Итого</t>
        </is>
      </c>
      <c r="N32" s="339" t="n"/>
      <c r="O32" s="339" t="n"/>
      <c r="P32" s="339" t="n"/>
      <c r="Q32" s="339" t="n"/>
      <c r="R32" s="339" t="n"/>
      <c r="S32" s="340" t="n"/>
      <c r="T32" s="43" t="inlineStr">
        <is>
          <t>кор</t>
        </is>
      </c>
      <c r="U32" s="370">
        <f>IFERROR(SUM(U28:U31),"0")</f>
        <v/>
      </c>
      <c r="V32" s="370">
        <f>IFERROR(SUM(V28:V31),"0")</f>
        <v/>
      </c>
      <c r="W32" s="370">
        <f>IFERROR(IF(W28="",0,W28),"0")+IFERROR(IF(W29="",0,W29),"0")+IFERROR(IF(W30="",0,W30),"0")+IFERROR(IF(W31="",0,W31),"0")</f>
        <v/>
      </c>
      <c r="X32" s="371" t="n"/>
      <c r="Y32" s="37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8" t="n"/>
      <c r="M33" s="369" t="inlineStr">
        <is>
          <t>Итого</t>
        </is>
      </c>
      <c r="N33" s="339" t="n"/>
      <c r="O33" s="339" t="n"/>
      <c r="P33" s="339" t="n"/>
      <c r="Q33" s="339" t="n"/>
      <c r="R33" s="339" t="n"/>
      <c r="S33" s="340" t="n"/>
      <c r="T33" s="43" t="inlineStr">
        <is>
          <t>кг</t>
        </is>
      </c>
      <c r="U33" s="370">
        <f>IFERROR(SUMPRODUCT(U28:U31*H28:H31),"0")</f>
        <v/>
      </c>
      <c r="V33" s="370">
        <f>IFERROR(SUMPRODUCT(V28:V31*H28:H31),"0")</f>
        <v/>
      </c>
      <c r="W33" s="43" t="n"/>
      <c r="X33" s="371" t="n"/>
      <c r="Y33" s="371" t="n"/>
    </row>
    <row r="34" ht="16.5" customHeight="1">
      <c r="A34" s="219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219" t="n"/>
      <c r="Y34" s="219" t="n"/>
    </row>
    <row r="35" ht="14.25" customHeight="1">
      <c r="A35" s="220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220" t="n"/>
      <c r="Y35" s="220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221" t="n">
        <v>4607111036285</v>
      </c>
      <c r="E36" s="331" t="n"/>
      <c r="F36" s="363" t="n">
        <v>0.75</v>
      </c>
      <c r="G36" s="38" t="n">
        <v>8</v>
      </c>
      <c r="H36" s="363" t="n">
        <v>6</v>
      </c>
      <c r="I36" s="36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5" t="n"/>
      <c r="O36" s="365" t="n"/>
      <c r="P36" s="365" t="n"/>
      <c r="Q36" s="331" t="n"/>
      <c r="R36" s="40" t="inlineStr"/>
      <c r="S36" s="40" t="inlineStr"/>
      <c r="T36" s="41" t="inlineStr">
        <is>
          <t>кор</t>
        </is>
      </c>
      <c r="U36" s="366" t="n">
        <v>0</v>
      </c>
      <c r="V36" s="367">
        <f>IFERROR(IF(U36="","",U36),"")</f>
        <v/>
      </c>
      <c r="W36" s="42">
        <f>IFERROR(IF(U36="","",U36*0.0155),"")</f>
        <v/>
      </c>
      <c r="X36" s="69" t="inlineStr"/>
      <c r="Y36" s="70" t="inlineStr"/>
      <c r="AC36" s="80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221" t="n">
        <v>4607111036308</v>
      </c>
      <c r="E37" s="331" t="n"/>
      <c r="F37" s="363" t="n">
        <v>0.75</v>
      </c>
      <c r="G37" s="38" t="n">
        <v>8</v>
      </c>
      <c r="H37" s="363" t="n">
        <v>6</v>
      </c>
      <c r="I37" s="36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7" t="inlineStr">
        <is>
          <t>Пельмени Grandmeni с говядиной в сливочном соусе Grandmeni 0,75 Сфера Горячая штучка</t>
        </is>
      </c>
      <c r="N37" s="365" t="n"/>
      <c r="O37" s="365" t="n"/>
      <c r="P37" s="365" t="n"/>
      <c r="Q37" s="331" t="n"/>
      <c r="R37" s="40" t="inlineStr"/>
      <c r="S37" s="40" t="inlineStr"/>
      <c r="T37" s="41" t="inlineStr">
        <is>
          <t>кор</t>
        </is>
      </c>
      <c r="U37" s="366" t="n">
        <v>0</v>
      </c>
      <c r="V37" s="367">
        <f>IFERROR(IF(U37="","",U37),"")</f>
        <v/>
      </c>
      <c r="W37" s="42">
        <f>IFERROR(IF(U37="","",U37*0.0155),"")</f>
        <v/>
      </c>
      <c r="X37" s="69" t="inlineStr"/>
      <c r="Y37" s="70" t="inlineStr"/>
      <c r="AC37" s="81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221" t="n">
        <v>4607111036315</v>
      </c>
      <c r="E38" s="331" t="n"/>
      <c r="F38" s="363" t="n">
        <v>0.75</v>
      </c>
      <c r="G38" s="38" t="n">
        <v>8</v>
      </c>
      <c r="H38" s="363" t="n">
        <v>6</v>
      </c>
      <c r="I38" s="36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5" t="n"/>
      <c r="O38" s="365" t="n"/>
      <c r="P38" s="365" t="n"/>
      <c r="Q38" s="331" t="n"/>
      <c r="R38" s="40" t="inlineStr"/>
      <c r="S38" s="40" t="inlineStr"/>
      <c r="T38" s="41" t="inlineStr">
        <is>
          <t>кор</t>
        </is>
      </c>
      <c r="U38" s="366" t="n">
        <v>0</v>
      </c>
      <c r="V38" s="367">
        <f>IFERROR(IF(U38="","",U38),"")</f>
        <v/>
      </c>
      <c r="W38" s="42">
        <f>IFERROR(IF(U38="","",U38*0.0155),"")</f>
        <v/>
      </c>
      <c r="X38" s="69" t="inlineStr"/>
      <c r="Y38" s="70" t="inlineStr"/>
      <c r="AC38" s="82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221" t="n">
        <v>4607111036292</v>
      </c>
      <c r="E39" s="331" t="n"/>
      <c r="F39" s="363" t="n">
        <v>0.75</v>
      </c>
      <c r="G39" s="38" t="n">
        <v>8</v>
      </c>
      <c r="H39" s="363" t="n">
        <v>6</v>
      </c>
      <c r="I39" s="36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5" t="n"/>
      <c r="O39" s="365" t="n"/>
      <c r="P39" s="365" t="n"/>
      <c r="Q39" s="331" t="n"/>
      <c r="R39" s="40" t="inlineStr"/>
      <c r="S39" s="40" t="inlineStr"/>
      <c r="T39" s="41" t="inlineStr">
        <is>
          <t>кор</t>
        </is>
      </c>
      <c r="U39" s="366" t="n">
        <v>50</v>
      </c>
      <c r="V39" s="367">
        <f>IFERROR(IF(U39="","",U39),"")</f>
        <v/>
      </c>
      <c r="W39" s="42">
        <f>IFERROR(IF(U39="","",U39*0.0155),"")</f>
        <v/>
      </c>
      <c r="X39" s="69" t="inlineStr"/>
      <c r="Y39" s="70" t="inlineStr"/>
      <c r="AC39" s="83" t="inlineStr">
        <is>
          <t>ЗПФ</t>
        </is>
      </c>
    </row>
    <row r="40">
      <c r="A40" s="229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8" t="n"/>
      <c r="M40" s="369" t="inlineStr">
        <is>
          <t>Итого</t>
        </is>
      </c>
      <c r="N40" s="339" t="n"/>
      <c r="O40" s="339" t="n"/>
      <c r="P40" s="339" t="n"/>
      <c r="Q40" s="339" t="n"/>
      <c r="R40" s="339" t="n"/>
      <c r="S40" s="340" t="n"/>
      <c r="T40" s="43" t="inlineStr">
        <is>
          <t>кор</t>
        </is>
      </c>
      <c r="U40" s="370">
        <f>IFERROR(SUM(U36:U39),"0")</f>
        <v/>
      </c>
      <c r="V40" s="370">
        <f>IFERROR(SUM(V36:V39),"0")</f>
        <v/>
      </c>
      <c r="W40" s="370">
        <f>IFERROR(IF(W36="",0,W36),"0")+IFERROR(IF(W37="",0,W37),"0")+IFERROR(IF(W38="",0,W38),"0")+IFERROR(IF(W39="",0,W39),"0")</f>
        <v/>
      </c>
      <c r="X40" s="371" t="n"/>
      <c r="Y40" s="37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8" t="n"/>
      <c r="M41" s="369" t="inlineStr">
        <is>
          <t>Итого</t>
        </is>
      </c>
      <c r="N41" s="339" t="n"/>
      <c r="O41" s="339" t="n"/>
      <c r="P41" s="339" t="n"/>
      <c r="Q41" s="339" t="n"/>
      <c r="R41" s="339" t="n"/>
      <c r="S41" s="340" t="n"/>
      <c r="T41" s="43" t="inlineStr">
        <is>
          <t>кг</t>
        </is>
      </c>
      <c r="U41" s="370">
        <f>IFERROR(SUMPRODUCT(U36:U39*H36:H39),"0")</f>
        <v/>
      </c>
      <c r="V41" s="370">
        <f>IFERROR(SUMPRODUCT(V36:V39*H36:H39),"0")</f>
        <v/>
      </c>
      <c r="W41" s="43" t="n"/>
      <c r="X41" s="371" t="n"/>
      <c r="Y41" s="371" t="n"/>
    </row>
    <row r="42" ht="16.5" customHeight="1">
      <c r="A42" s="219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219" t="n"/>
      <c r="Y42" s="219" t="n"/>
    </row>
    <row r="43" ht="14.25" customHeight="1">
      <c r="A43" s="220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220" t="n"/>
      <c r="Y43" s="220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221" t="n">
        <v>4607111037053</v>
      </c>
      <c r="E44" s="331" t="n"/>
      <c r="F44" s="363" t="n">
        <v>0.2</v>
      </c>
      <c r="G44" s="38" t="n">
        <v>6</v>
      </c>
      <c r="H44" s="363" t="n">
        <v>1.2</v>
      </c>
      <c r="I44" s="36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8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5" t="n"/>
      <c r="O44" s="365" t="n"/>
      <c r="P44" s="365" t="n"/>
      <c r="Q44" s="331" t="n"/>
      <c r="R44" s="40" t="inlineStr"/>
      <c r="S44" s="40" t="inlineStr"/>
      <c r="T44" s="41" t="inlineStr">
        <is>
          <t>кор</t>
        </is>
      </c>
      <c r="U44" s="366" t="n">
        <v>0</v>
      </c>
      <c r="V44" s="367">
        <f>IFERROR(IF(U44="","",U44),"")</f>
        <v/>
      </c>
      <c r="W44" s="42">
        <f>IFERROR(IF(U44="","",U44*0.0095),"")</f>
        <v/>
      </c>
      <c r="X44" s="69" t="inlineStr"/>
      <c r="Y44" s="70" t="inlineStr"/>
      <c r="AC44" s="84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221" t="n">
        <v>4607111037060</v>
      </c>
      <c r="E45" s="331" t="n"/>
      <c r="F45" s="363" t="n">
        <v>0.2</v>
      </c>
      <c r="G45" s="38" t="n">
        <v>6</v>
      </c>
      <c r="H45" s="363" t="n">
        <v>1.2</v>
      </c>
      <c r="I45" s="36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8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5" t="n"/>
      <c r="O45" s="365" t="n"/>
      <c r="P45" s="365" t="n"/>
      <c r="Q45" s="331" t="n"/>
      <c r="R45" s="40" t="inlineStr"/>
      <c r="S45" s="40" t="inlineStr"/>
      <c r="T45" s="41" t="inlineStr">
        <is>
          <t>кор</t>
        </is>
      </c>
      <c r="U45" s="366" t="n">
        <v>0</v>
      </c>
      <c r="V45" s="367">
        <f>IFERROR(IF(U45="","",U45),"")</f>
        <v/>
      </c>
      <c r="W45" s="42">
        <f>IFERROR(IF(U45="","",U45*0.0095),"")</f>
        <v/>
      </c>
      <c r="X45" s="69" t="inlineStr"/>
      <c r="Y45" s="70" t="inlineStr"/>
      <c r="AC45" s="85" t="inlineStr">
        <is>
          <t>ПГП</t>
        </is>
      </c>
    </row>
    <row r="46">
      <c r="A46" s="229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8" t="n"/>
      <c r="M46" s="369" t="inlineStr">
        <is>
          <t>Итого</t>
        </is>
      </c>
      <c r="N46" s="339" t="n"/>
      <c r="O46" s="339" t="n"/>
      <c r="P46" s="339" t="n"/>
      <c r="Q46" s="339" t="n"/>
      <c r="R46" s="339" t="n"/>
      <c r="S46" s="340" t="n"/>
      <c r="T46" s="43" t="inlineStr">
        <is>
          <t>кор</t>
        </is>
      </c>
      <c r="U46" s="370">
        <f>IFERROR(SUM(U44:U45),"0")</f>
        <v/>
      </c>
      <c r="V46" s="370">
        <f>IFERROR(SUM(V44:V45),"0")</f>
        <v/>
      </c>
      <c r="W46" s="370">
        <f>IFERROR(IF(W44="",0,W44),"0")+IFERROR(IF(W45="",0,W45),"0")</f>
        <v/>
      </c>
      <c r="X46" s="371" t="n"/>
      <c r="Y46" s="37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8" t="n"/>
      <c r="M47" s="369" t="inlineStr">
        <is>
          <t>Итого</t>
        </is>
      </c>
      <c r="N47" s="339" t="n"/>
      <c r="O47" s="339" t="n"/>
      <c r="P47" s="339" t="n"/>
      <c r="Q47" s="339" t="n"/>
      <c r="R47" s="339" t="n"/>
      <c r="S47" s="340" t="n"/>
      <c r="T47" s="43" t="inlineStr">
        <is>
          <t>кг</t>
        </is>
      </c>
      <c r="U47" s="370">
        <f>IFERROR(SUMPRODUCT(U44:U45*H44:H45),"0")</f>
        <v/>
      </c>
      <c r="V47" s="370">
        <f>IFERROR(SUMPRODUCT(V44:V45*H44:H45),"0")</f>
        <v/>
      </c>
      <c r="W47" s="43" t="n"/>
      <c r="X47" s="371" t="n"/>
      <c r="Y47" s="371" t="n"/>
    </row>
    <row r="48" ht="16.5" customHeight="1">
      <c r="A48" s="219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219" t="n"/>
      <c r="Y48" s="219" t="n"/>
    </row>
    <row r="49" ht="14.25" customHeight="1">
      <c r="A49" s="220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220" t="n"/>
      <c r="Y49" s="220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221" t="n">
        <v>4607111037190</v>
      </c>
      <c r="E50" s="331" t="n"/>
      <c r="F50" s="363" t="n">
        <v>0.43</v>
      </c>
      <c r="G50" s="38" t="n">
        <v>16</v>
      </c>
      <c r="H50" s="363" t="n">
        <v>6.88</v>
      </c>
      <c r="I50" s="36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5" t="n"/>
      <c r="O50" s="365" t="n"/>
      <c r="P50" s="365" t="n"/>
      <c r="Q50" s="331" t="n"/>
      <c r="R50" s="40" t="inlineStr"/>
      <c r="S50" s="40" t="inlineStr"/>
      <c r="T50" s="41" t="inlineStr">
        <is>
          <t>кор</t>
        </is>
      </c>
      <c r="U50" s="366" t="n">
        <v>0</v>
      </c>
      <c r="V50" s="367">
        <f>IFERROR(IF(U50="","",U50),"")</f>
        <v/>
      </c>
      <c r="W50" s="42">
        <f>IFERROR(IF(U50="","",U50*0.0155),"")</f>
        <v/>
      </c>
      <c r="X50" s="69" t="inlineStr"/>
      <c r="Y50" s="70" t="inlineStr"/>
      <c r="AC50" s="86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221" t="n">
        <v>4607111037183</v>
      </c>
      <c r="E51" s="331" t="n"/>
      <c r="F51" s="363" t="n">
        <v>0.9</v>
      </c>
      <c r="G51" s="38" t="n">
        <v>8</v>
      </c>
      <c r="H51" s="363" t="n">
        <v>7.2</v>
      </c>
      <c r="I51" s="363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383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65" t="n"/>
      <c r="O51" s="365" t="n"/>
      <c r="P51" s="365" t="n"/>
      <c r="Q51" s="331" t="n"/>
      <c r="R51" s="40" t="inlineStr"/>
      <c r="S51" s="40" t="inlineStr"/>
      <c r="T51" s="41" t="inlineStr">
        <is>
          <t>кор</t>
        </is>
      </c>
      <c r="U51" s="366" t="n">
        <v>0</v>
      </c>
      <c r="V51" s="367">
        <f>IFERROR(IF(U51="","",U51),"")</f>
        <v/>
      </c>
      <c r="W51" s="42">
        <f>IFERROR(IF(U51="","",U51*0.0155),"")</f>
        <v/>
      </c>
      <c r="X51" s="69" t="inlineStr"/>
      <c r="Y51" s="70" t="inlineStr"/>
      <c r="AC51" s="87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221" t="n">
        <v>4607111037091</v>
      </c>
      <c r="E52" s="331" t="n"/>
      <c r="F52" s="363" t="n">
        <v>0.43</v>
      </c>
      <c r="G52" s="38" t="n">
        <v>16</v>
      </c>
      <c r="H52" s="363" t="n">
        <v>6.88</v>
      </c>
      <c r="I52" s="363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4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5" t="n"/>
      <c r="O52" s="365" t="n"/>
      <c r="P52" s="365" t="n"/>
      <c r="Q52" s="331" t="n"/>
      <c r="R52" s="40" t="inlineStr"/>
      <c r="S52" s="40" t="inlineStr"/>
      <c r="T52" s="41" t="inlineStr">
        <is>
          <t>кор</t>
        </is>
      </c>
      <c r="U52" s="366" t="n">
        <v>30</v>
      </c>
      <c r="V52" s="367">
        <f>IFERROR(IF(U52="","",U52),"")</f>
        <v/>
      </c>
      <c r="W52" s="42">
        <f>IFERROR(IF(U52="","",U52*0.0155),"")</f>
        <v/>
      </c>
      <c r="X52" s="69" t="inlineStr"/>
      <c r="Y52" s="70" t="inlineStr"/>
      <c r="AC52" s="88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221" t="n">
        <v>4607111036902</v>
      </c>
      <c r="E53" s="331" t="n"/>
      <c r="F53" s="363" t="n">
        <v>0.9</v>
      </c>
      <c r="G53" s="38" t="n">
        <v>8</v>
      </c>
      <c r="H53" s="363" t="n">
        <v>7.2</v>
      </c>
      <c r="I53" s="363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5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5" t="n"/>
      <c r="O53" s="365" t="n"/>
      <c r="P53" s="365" t="n"/>
      <c r="Q53" s="331" t="n"/>
      <c r="R53" s="40" t="inlineStr"/>
      <c r="S53" s="40" t="inlineStr"/>
      <c r="T53" s="41" t="inlineStr">
        <is>
          <t>кор</t>
        </is>
      </c>
      <c r="U53" s="366" t="n">
        <v>0</v>
      </c>
      <c r="V53" s="367">
        <f>IFERROR(IF(U53="","",U53),"")</f>
        <v/>
      </c>
      <c r="W53" s="42">
        <f>IFERROR(IF(U53="","",U53*0.0155),"")</f>
        <v/>
      </c>
      <c r="X53" s="69" t="inlineStr"/>
      <c r="Y53" s="70" t="inlineStr"/>
      <c r="AC53" s="89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221" t="n">
        <v>4607111036858</v>
      </c>
      <c r="E54" s="331" t="n"/>
      <c r="F54" s="363" t="n">
        <v>0.43</v>
      </c>
      <c r="G54" s="38" t="n">
        <v>16</v>
      </c>
      <c r="H54" s="363" t="n">
        <v>6.88</v>
      </c>
      <c r="I54" s="363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6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5" t="n"/>
      <c r="O54" s="365" t="n"/>
      <c r="P54" s="365" t="n"/>
      <c r="Q54" s="331" t="n"/>
      <c r="R54" s="40" t="inlineStr"/>
      <c r="S54" s="40" t="inlineStr"/>
      <c r="T54" s="41" t="inlineStr">
        <is>
          <t>кор</t>
        </is>
      </c>
      <c r="U54" s="366" t="n">
        <v>0</v>
      </c>
      <c r="V54" s="367">
        <f>IFERROR(IF(U54="","",U54),"")</f>
        <v/>
      </c>
      <c r="W54" s="42">
        <f>IFERROR(IF(U54="","",U54*0.0155),"")</f>
        <v/>
      </c>
      <c r="X54" s="69" t="inlineStr"/>
      <c r="Y54" s="70" t="inlineStr"/>
      <c r="AC54" s="90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221" t="n">
        <v>4607111036889</v>
      </c>
      <c r="E55" s="331" t="n"/>
      <c r="F55" s="363" t="n">
        <v>0.9</v>
      </c>
      <c r="G55" s="38" t="n">
        <v>8</v>
      </c>
      <c r="H55" s="363" t="n">
        <v>7.2</v>
      </c>
      <c r="I55" s="363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7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5" t="n"/>
      <c r="O55" s="365" t="n"/>
      <c r="P55" s="365" t="n"/>
      <c r="Q55" s="331" t="n"/>
      <c r="R55" s="40" t="inlineStr"/>
      <c r="S55" s="40" t="inlineStr"/>
      <c r="T55" s="41" t="inlineStr">
        <is>
          <t>кор</t>
        </is>
      </c>
      <c r="U55" s="366" t="n">
        <v>0</v>
      </c>
      <c r="V55" s="367">
        <f>IFERROR(IF(U55="","",U55),"")</f>
        <v/>
      </c>
      <c r="W55" s="42">
        <f>IFERROR(IF(U55="","",U55*0.0155),"")</f>
        <v/>
      </c>
      <c r="X55" s="69" t="inlineStr"/>
      <c r="Y55" s="70" t="inlineStr"/>
      <c r="AC55" s="91" t="inlineStr">
        <is>
          <t>ЗПФ</t>
        </is>
      </c>
    </row>
    <row r="56">
      <c r="A56" s="229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8" t="n"/>
      <c r="M56" s="369" t="inlineStr">
        <is>
          <t>Итого</t>
        </is>
      </c>
      <c r="N56" s="339" t="n"/>
      <c r="O56" s="339" t="n"/>
      <c r="P56" s="339" t="n"/>
      <c r="Q56" s="339" t="n"/>
      <c r="R56" s="339" t="n"/>
      <c r="S56" s="340" t="n"/>
      <c r="T56" s="43" t="inlineStr">
        <is>
          <t>кор</t>
        </is>
      </c>
      <c r="U56" s="370">
        <f>IFERROR(SUM(U50:U55),"0")</f>
        <v/>
      </c>
      <c r="V56" s="370">
        <f>IFERROR(SUM(V50:V55),"0")</f>
        <v/>
      </c>
      <c r="W56" s="370">
        <f>IFERROR(IF(W50="",0,W50),"0")+IFERROR(IF(W51="",0,W51),"0")+IFERROR(IF(W52="",0,W52),"0")+IFERROR(IF(W53="",0,W53),"0")+IFERROR(IF(W54="",0,W54),"0")+IFERROR(IF(W55="",0,W55),"0")</f>
        <v/>
      </c>
      <c r="X56" s="371" t="n"/>
      <c r="Y56" s="37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8" t="n"/>
      <c r="M57" s="369" t="inlineStr">
        <is>
          <t>Итого</t>
        </is>
      </c>
      <c r="N57" s="339" t="n"/>
      <c r="O57" s="339" t="n"/>
      <c r="P57" s="339" t="n"/>
      <c r="Q57" s="339" t="n"/>
      <c r="R57" s="339" t="n"/>
      <c r="S57" s="340" t="n"/>
      <c r="T57" s="43" t="inlineStr">
        <is>
          <t>кг</t>
        </is>
      </c>
      <c r="U57" s="370">
        <f>IFERROR(SUMPRODUCT(U50:U55*H50:H55),"0")</f>
        <v/>
      </c>
      <c r="V57" s="370">
        <f>IFERROR(SUMPRODUCT(V50:V55*H50:H55),"0")</f>
        <v/>
      </c>
      <c r="W57" s="43" t="n"/>
      <c r="X57" s="371" t="n"/>
      <c r="Y57" s="371" t="n"/>
    </row>
    <row r="58" ht="16.5" customHeight="1">
      <c r="A58" s="219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219" t="n"/>
      <c r="Y58" s="219" t="n"/>
    </row>
    <row r="59" ht="14.25" customHeight="1">
      <c r="A59" s="220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220" t="n"/>
      <c r="Y59" s="220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221" t="n">
        <v>4607111037411</v>
      </c>
      <c r="E60" s="331" t="n"/>
      <c r="F60" s="363" t="n">
        <v>2.7</v>
      </c>
      <c r="G60" s="38" t="n">
        <v>1</v>
      </c>
      <c r="H60" s="363" t="n">
        <v>2.7</v>
      </c>
      <c r="I60" s="363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8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5" t="n"/>
      <c r="O60" s="365" t="n"/>
      <c r="P60" s="365" t="n"/>
      <c r="Q60" s="331" t="n"/>
      <c r="R60" s="40" t="inlineStr"/>
      <c r="S60" s="40" t="inlineStr"/>
      <c r="T60" s="41" t="inlineStr">
        <is>
          <t>кор</t>
        </is>
      </c>
      <c r="U60" s="366" t="n">
        <v>0</v>
      </c>
      <c r="V60" s="367">
        <f>IFERROR(IF(U60="","",U60),"")</f>
        <v/>
      </c>
      <c r="W60" s="42">
        <f>IFERROR(IF(U60="","",U60*0.00502),"")</f>
        <v/>
      </c>
      <c r="X60" s="69" t="inlineStr"/>
      <c r="Y60" s="70" t="inlineStr"/>
      <c r="AC60" s="92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P002917</t>
        </is>
      </c>
      <c r="C61" s="37" t="n">
        <v>4301070897</v>
      </c>
      <c r="D61" s="221" t="n">
        <v>4607111036728</v>
      </c>
      <c r="E61" s="331" t="n"/>
      <c r="F61" s="363" t="n">
        <v>5</v>
      </c>
      <c r="G61" s="38" t="n">
        <v>1</v>
      </c>
      <c r="H61" s="363" t="n">
        <v>5</v>
      </c>
      <c r="I61" s="363" t="n">
        <v>5.2132</v>
      </c>
      <c r="J61" s="38" t="n">
        <v>108</v>
      </c>
      <c r="K61" s="39" t="inlineStr">
        <is>
          <t>МГ</t>
        </is>
      </c>
      <c r="L61" s="38" t="n">
        <v>150</v>
      </c>
      <c r="M61" s="389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/>
      </c>
      <c r="N61" s="365" t="n"/>
      <c r="O61" s="365" t="n"/>
      <c r="P61" s="365" t="n"/>
      <c r="Q61" s="331" t="n"/>
      <c r="R61" s="40" t="inlineStr"/>
      <c r="S61" s="40" t="inlineStr"/>
      <c r="T61" s="41" t="inlineStr">
        <is>
          <t>кор</t>
        </is>
      </c>
      <c r="U61" s="366" t="n">
        <v>0</v>
      </c>
      <c r="V61" s="367">
        <f>IFERROR(IF(U61="","",U61),"")</f>
        <v/>
      </c>
      <c r="W61" s="42">
        <f>IFERROR(IF(U61="","",U61*0.00855),"")</f>
        <v/>
      </c>
      <c r="X61" s="69" t="inlineStr"/>
      <c r="Y61" s="70" t="inlineStr"/>
      <c r="AC61" s="93" t="inlineStr">
        <is>
          <t>ЗПФ</t>
        </is>
      </c>
    </row>
    <row r="62">
      <c r="A62" s="229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368" t="n"/>
      <c r="M62" s="369" t="inlineStr">
        <is>
          <t>Итого</t>
        </is>
      </c>
      <c r="N62" s="339" t="n"/>
      <c r="O62" s="339" t="n"/>
      <c r="P62" s="339" t="n"/>
      <c r="Q62" s="339" t="n"/>
      <c r="R62" s="339" t="n"/>
      <c r="S62" s="340" t="n"/>
      <c r="T62" s="43" t="inlineStr">
        <is>
          <t>кор</t>
        </is>
      </c>
      <c r="U62" s="370">
        <f>IFERROR(SUM(U60:U61),"0")</f>
        <v/>
      </c>
      <c r="V62" s="370">
        <f>IFERROR(SUM(V60:V61),"0")</f>
        <v/>
      </c>
      <c r="W62" s="370">
        <f>IFERROR(IF(W60="",0,W60),"0")+IFERROR(IF(W61="",0,W61),"0")</f>
        <v/>
      </c>
      <c r="X62" s="371" t="n"/>
      <c r="Y62" s="371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8" t="n"/>
      <c r="M63" s="369" t="inlineStr">
        <is>
          <t>Итого</t>
        </is>
      </c>
      <c r="N63" s="339" t="n"/>
      <c r="O63" s="339" t="n"/>
      <c r="P63" s="339" t="n"/>
      <c r="Q63" s="339" t="n"/>
      <c r="R63" s="339" t="n"/>
      <c r="S63" s="340" t="n"/>
      <c r="T63" s="43" t="inlineStr">
        <is>
          <t>кг</t>
        </is>
      </c>
      <c r="U63" s="370">
        <f>IFERROR(SUMPRODUCT(U60:U61*H60:H61),"0")</f>
        <v/>
      </c>
      <c r="V63" s="370">
        <f>IFERROR(SUMPRODUCT(V60:V61*H60:H61),"0")</f>
        <v/>
      </c>
      <c r="W63" s="43" t="n"/>
      <c r="X63" s="371" t="n"/>
      <c r="Y63" s="371" t="n"/>
    </row>
    <row r="64" ht="16.5" customHeight="1">
      <c r="A64" s="219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219" t="n"/>
      <c r="Y64" s="219" t="n"/>
    </row>
    <row r="65" ht="14.25" customHeight="1">
      <c r="A65" s="220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220" t="n"/>
      <c r="Y65" s="220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221" t="n">
        <v>4607111033659</v>
      </c>
      <c r="E66" s="331" t="n"/>
      <c r="F66" s="363" t="n">
        <v>0.3</v>
      </c>
      <c r="G66" s="38" t="n">
        <v>12</v>
      </c>
      <c r="H66" s="363" t="n">
        <v>3.6</v>
      </c>
      <c r="I66" s="363" t="n">
        <v>4.3036</v>
      </c>
      <c r="J66" s="38" t="n">
        <v>70</v>
      </c>
      <c r="K66" s="39" t="inlineStr">
        <is>
          <t>МГ</t>
        </is>
      </c>
      <c r="L66" s="38" t="n">
        <v>180</v>
      </c>
      <c r="M66" s="390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6" s="365" t="n"/>
      <c r="O66" s="365" t="n"/>
      <c r="P66" s="365" t="n"/>
      <c r="Q66" s="331" t="n"/>
      <c r="R66" s="40" t="inlineStr"/>
      <c r="S66" s="40" t="inlineStr"/>
      <c r="T66" s="41" t="inlineStr">
        <is>
          <t>кор</t>
        </is>
      </c>
      <c r="U66" s="366" t="n">
        <v>0</v>
      </c>
      <c r="V66" s="367">
        <f>IFERROR(IF(U66="","",U66),"")</f>
        <v/>
      </c>
      <c r="W66" s="42">
        <f>IFERROR(IF(U66="","",U66*0.01788),"")</f>
        <v/>
      </c>
      <c r="X66" s="69" t="inlineStr"/>
      <c r="Y66" s="70" t="inlineStr"/>
      <c r="AC66" s="94" t="inlineStr">
        <is>
          <t>ПГП</t>
        </is>
      </c>
    </row>
    <row r="67">
      <c r="A67" s="229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368" t="n"/>
      <c r="M67" s="369" t="inlineStr">
        <is>
          <t>Итого</t>
        </is>
      </c>
      <c r="N67" s="339" t="n"/>
      <c r="O67" s="339" t="n"/>
      <c r="P67" s="339" t="n"/>
      <c r="Q67" s="339" t="n"/>
      <c r="R67" s="339" t="n"/>
      <c r="S67" s="340" t="n"/>
      <c r="T67" s="43" t="inlineStr">
        <is>
          <t>кор</t>
        </is>
      </c>
      <c r="U67" s="370">
        <f>IFERROR(SUM(U66:U66),"0")</f>
        <v/>
      </c>
      <c r="V67" s="370">
        <f>IFERROR(SUM(V66:V66),"0")</f>
        <v/>
      </c>
      <c r="W67" s="370">
        <f>IFERROR(IF(W66="",0,W66),"0")</f>
        <v/>
      </c>
      <c r="X67" s="371" t="n"/>
      <c r="Y67" s="371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8" t="n"/>
      <c r="M68" s="369" t="inlineStr">
        <is>
          <t>Итого</t>
        </is>
      </c>
      <c r="N68" s="339" t="n"/>
      <c r="O68" s="339" t="n"/>
      <c r="P68" s="339" t="n"/>
      <c r="Q68" s="339" t="n"/>
      <c r="R68" s="339" t="n"/>
      <c r="S68" s="340" t="n"/>
      <c r="T68" s="43" t="inlineStr">
        <is>
          <t>кг</t>
        </is>
      </c>
      <c r="U68" s="370">
        <f>IFERROR(SUMPRODUCT(U66:U66*H66:H66),"0")</f>
        <v/>
      </c>
      <c r="V68" s="370">
        <f>IFERROR(SUMPRODUCT(V66:V66*H66:H66),"0")</f>
        <v/>
      </c>
      <c r="W68" s="43" t="n"/>
      <c r="X68" s="371" t="n"/>
      <c r="Y68" s="371" t="n"/>
    </row>
    <row r="69" ht="16.5" customHeight="1">
      <c r="A69" s="219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219" t="n"/>
      <c r="Y69" s="219" t="n"/>
    </row>
    <row r="70" ht="14.25" customHeight="1">
      <c r="A70" s="220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220" t="n"/>
      <c r="Y70" s="220" t="n"/>
    </row>
    <row r="71" ht="27" customHeight="1">
      <c r="A71" s="64" t="inlineStr">
        <is>
          <t>SU002676</t>
        </is>
      </c>
      <c r="B71" s="64" t="inlineStr">
        <is>
          <t>P003050</t>
        </is>
      </c>
      <c r="C71" s="37" t="n">
        <v>4301131016</v>
      </c>
      <c r="D71" s="221" t="n">
        <v>4607111034137</v>
      </c>
      <c r="E71" s="331" t="n"/>
      <c r="F71" s="363" t="n">
        <v>0.3</v>
      </c>
      <c r="G71" s="38" t="n">
        <v>12</v>
      </c>
      <c r="H71" s="363" t="n">
        <v>3.6</v>
      </c>
      <c r="I71" s="363" t="n">
        <v>4.3036</v>
      </c>
      <c r="J71" s="38" t="n">
        <v>70</v>
      </c>
      <c r="K71" s="39" t="inlineStr">
        <is>
          <t>МГ</t>
        </is>
      </c>
      <c r="L71" s="38" t="n">
        <v>180</v>
      </c>
      <c r="M71" s="391">
        <f>HYPERLINK("https://abi.ru/products/Замороженные/Горячая штучка/Крылышки ГШ/Крылья/P003050/","Крылья Крылышки острые к пиву Базовый ассортимент Фикс.вес 0,3 Лоток Горячая штучка")</f>
        <v/>
      </c>
      <c r="N71" s="365" t="n"/>
      <c r="O71" s="365" t="n"/>
      <c r="P71" s="365" t="n"/>
      <c r="Q71" s="331" t="n"/>
      <c r="R71" s="40" t="inlineStr"/>
      <c r="S71" s="40" t="inlineStr"/>
      <c r="T71" s="41" t="inlineStr">
        <is>
          <t>кор</t>
        </is>
      </c>
      <c r="U71" s="366" t="n">
        <v>0</v>
      </c>
      <c r="V71" s="367">
        <f>IFERROR(IF(U71="","",U71),"")</f>
        <v/>
      </c>
      <c r="W71" s="42">
        <f>IFERROR(IF(U71="","",U71*0.01788),"")</f>
        <v/>
      </c>
      <c r="X71" s="69" t="inlineStr"/>
      <c r="Y71" s="70" t="inlineStr"/>
      <c r="AC71" s="95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221" t="n">
        <v>4607111034120</v>
      </c>
      <c r="E72" s="331" t="n"/>
      <c r="F72" s="363" t="n">
        <v>0.3</v>
      </c>
      <c r="G72" s="38" t="n">
        <v>12</v>
      </c>
      <c r="H72" s="363" t="n">
        <v>3.6</v>
      </c>
      <c r="I72" s="363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2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2" s="365" t="n"/>
      <c r="O72" s="365" t="n"/>
      <c r="P72" s="365" t="n"/>
      <c r="Q72" s="331" t="n"/>
      <c r="R72" s="40" t="inlineStr"/>
      <c r="S72" s="40" t="inlineStr"/>
      <c r="T72" s="41" t="inlineStr">
        <is>
          <t>кор</t>
        </is>
      </c>
      <c r="U72" s="366" t="n">
        <v>0</v>
      </c>
      <c r="V72" s="367">
        <f>IFERROR(IF(U72="","",U72),"")</f>
        <v/>
      </c>
      <c r="W72" s="42">
        <f>IFERROR(IF(U72="","",U72*0.01788),"")</f>
        <v/>
      </c>
      <c r="X72" s="69" t="inlineStr"/>
      <c r="Y72" s="70" t="inlineStr"/>
      <c r="AC72" s="96" t="inlineStr">
        <is>
          <t>ПГП</t>
        </is>
      </c>
    </row>
    <row r="73">
      <c r="A73" s="229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368" t="n"/>
      <c r="M73" s="369" t="inlineStr">
        <is>
          <t>Итого</t>
        </is>
      </c>
      <c r="N73" s="339" t="n"/>
      <c r="O73" s="339" t="n"/>
      <c r="P73" s="339" t="n"/>
      <c r="Q73" s="339" t="n"/>
      <c r="R73" s="339" t="n"/>
      <c r="S73" s="340" t="n"/>
      <c r="T73" s="43" t="inlineStr">
        <is>
          <t>кор</t>
        </is>
      </c>
      <c r="U73" s="370">
        <f>IFERROR(SUM(U71:U72),"0")</f>
        <v/>
      </c>
      <c r="V73" s="370">
        <f>IFERROR(SUM(V71:V72),"0")</f>
        <v/>
      </c>
      <c r="W73" s="370">
        <f>IFERROR(IF(W71="",0,W71),"0")+IFERROR(IF(W72="",0,W72),"0")</f>
        <v/>
      </c>
      <c r="X73" s="371" t="n"/>
      <c r="Y73" s="371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8" t="n"/>
      <c r="M74" s="369" t="inlineStr">
        <is>
          <t>Итого</t>
        </is>
      </c>
      <c r="N74" s="339" t="n"/>
      <c r="O74" s="339" t="n"/>
      <c r="P74" s="339" t="n"/>
      <c r="Q74" s="339" t="n"/>
      <c r="R74" s="339" t="n"/>
      <c r="S74" s="340" t="n"/>
      <c r="T74" s="43" t="inlineStr">
        <is>
          <t>кг</t>
        </is>
      </c>
      <c r="U74" s="370">
        <f>IFERROR(SUMPRODUCT(U71:U72*H71:H72),"0")</f>
        <v/>
      </c>
      <c r="V74" s="370">
        <f>IFERROR(SUMPRODUCT(V71:V72*H71:H72),"0")</f>
        <v/>
      </c>
      <c r="W74" s="43" t="n"/>
      <c r="X74" s="371" t="n"/>
      <c r="Y74" s="371" t="n"/>
    </row>
    <row r="75" ht="16.5" customHeight="1">
      <c r="A75" s="219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219" t="n"/>
      <c r="Y75" s="219" t="n"/>
    </row>
    <row r="76" ht="14.25" customHeight="1">
      <c r="A76" s="220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220" t="n"/>
      <c r="Y76" s="220" t="n"/>
    </row>
    <row r="77" ht="27" customHeight="1">
      <c r="A77" s="64" t="inlineStr">
        <is>
          <t>SU002575</t>
        </is>
      </c>
      <c r="B77" s="64" t="inlineStr">
        <is>
          <t>P002890</t>
        </is>
      </c>
      <c r="C77" s="37" t="n">
        <v>4301135121</v>
      </c>
      <c r="D77" s="221" t="n">
        <v>4607111036735</v>
      </c>
      <c r="E77" s="331" t="n"/>
      <c r="F77" s="363" t="n">
        <v>0.43</v>
      </c>
      <c r="G77" s="38" t="n">
        <v>8</v>
      </c>
      <c r="H77" s="363" t="n">
        <v>3.44</v>
      </c>
      <c r="I77" s="363" t="n">
        <v>3.7224</v>
      </c>
      <c r="J77" s="38" t="n">
        <v>70</v>
      </c>
      <c r="K77" s="39" t="inlineStr">
        <is>
          <t>МГ</t>
        </is>
      </c>
      <c r="L77" s="38" t="n">
        <v>180</v>
      </c>
      <c r="M77" s="393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/>
      </c>
      <c r="N77" s="365" t="n"/>
      <c r="O77" s="365" t="n"/>
      <c r="P77" s="365" t="n"/>
      <c r="Q77" s="331" t="n"/>
      <c r="R77" s="40" t="inlineStr"/>
      <c r="S77" s="40" t="inlineStr"/>
      <c r="T77" s="41" t="inlineStr">
        <is>
          <t>кор</t>
        </is>
      </c>
      <c r="U77" s="366" t="n">
        <v>0</v>
      </c>
      <c r="V77" s="367">
        <f>IFERROR(IF(U77="","",U77),"")</f>
        <v/>
      </c>
      <c r="W77" s="42">
        <f>IFERROR(IF(U77="","",U77*0.01788),"")</f>
        <v/>
      </c>
      <c r="X77" s="69" t="inlineStr"/>
      <c r="Y77" s="70" t="inlineStr"/>
      <c r="AC77" s="97" t="inlineStr">
        <is>
          <t>ПГП</t>
        </is>
      </c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221" t="n">
        <v>4607111036407</v>
      </c>
      <c r="E78" s="331" t="n"/>
      <c r="F78" s="363" t="n">
        <v>0.3</v>
      </c>
      <c r="G78" s="38" t="n">
        <v>14</v>
      </c>
      <c r="H78" s="363" t="n">
        <v>4.2</v>
      </c>
      <c r="I78" s="363" t="n">
        <v>4.5292</v>
      </c>
      <c r="J78" s="38" t="n">
        <v>70</v>
      </c>
      <c r="K78" s="39" t="inlineStr">
        <is>
          <t>МГ</t>
        </is>
      </c>
      <c r="L78" s="38" t="n">
        <v>180</v>
      </c>
      <c r="M78" s="394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8" s="365" t="n"/>
      <c r="O78" s="365" t="n"/>
      <c r="P78" s="365" t="n"/>
      <c r="Q78" s="331" t="n"/>
      <c r="R78" s="40" t="inlineStr"/>
      <c r="S78" s="40" t="inlineStr"/>
      <c r="T78" s="41" t="inlineStr">
        <is>
          <t>кор</t>
        </is>
      </c>
      <c r="U78" s="366" t="n">
        <v>40</v>
      </c>
      <c r="V78" s="367">
        <f>IFERROR(IF(U78="","",U78),"")</f>
        <v/>
      </c>
      <c r="W78" s="42">
        <f>IFERROR(IF(U78="","",U78*0.01788),"")</f>
        <v/>
      </c>
      <c r="X78" s="69" t="inlineStr"/>
      <c r="Y78" s="70" t="inlineStr"/>
      <c r="AC78" s="98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221" t="n">
        <v>4607111033628</v>
      </c>
      <c r="E79" s="331" t="n"/>
      <c r="F79" s="363" t="n">
        <v>0.3</v>
      </c>
      <c r="G79" s="38" t="n">
        <v>12</v>
      </c>
      <c r="H79" s="363" t="n">
        <v>3.6</v>
      </c>
      <c r="I79" s="363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5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9" s="365" t="n"/>
      <c r="O79" s="365" t="n"/>
      <c r="P79" s="365" t="n"/>
      <c r="Q79" s="331" t="n"/>
      <c r="R79" s="40" t="inlineStr"/>
      <c r="S79" s="40" t="inlineStr"/>
      <c r="T79" s="41" t="inlineStr">
        <is>
          <t>кор</t>
        </is>
      </c>
      <c r="U79" s="366" t="n">
        <v>10</v>
      </c>
      <c r="V79" s="367">
        <f>IFERROR(IF(U79="","",U79),"")</f>
        <v/>
      </c>
      <c r="W79" s="42">
        <f>IFERROR(IF(U79="","",U79*0.01788),"")</f>
        <v/>
      </c>
      <c r="X79" s="69" t="inlineStr"/>
      <c r="Y79" s="70" t="inlineStr"/>
      <c r="AC79" s="99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221" t="n">
        <v>4607111033451</v>
      </c>
      <c r="E80" s="331" t="n"/>
      <c r="F80" s="363" t="n">
        <v>0.3</v>
      </c>
      <c r="G80" s="38" t="n">
        <v>12</v>
      </c>
      <c r="H80" s="363" t="n">
        <v>3.6</v>
      </c>
      <c r="I80" s="363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6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0" s="365" t="n"/>
      <c r="O80" s="365" t="n"/>
      <c r="P80" s="365" t="n"/>
      <c r="Q80" s="331" t="n"/>
      <c r="R80" s="40" t="inlineStr"/>
      <c r="S80" s="40" t="inlineStr"/>
      <c r="T80" s="41" t="inlineStr">
        <is>
          <t>кор</t>
        </is>
      </c>
      <c r="U80" s="366" t="n">
        <v>40</v>
      </c>
      <c r="V80" s="367">
        <f>IFERROR(IF(U80="","",U80),"")</f>
        <v/>
      </c>
      <c r="W80" s="42">
        <f>IFERROR(IF(U80="","",U80*0.01788),"")</f>
        <v/>
      </c>
      <c r="X80" s="69" t="inlineStr"/>
      <c r="Y80" s="70" t="inlineStr"/>
      <c r="AC80" s="100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221" t="n">
        <v>4607111035141</v>
      </c>
      <c r="E81" s="331" t="n"/>
      <c r="F81" s="363" t="n">
        <v>0.3</v>
      </c>
      <c r="G81" s="38" t="n">
        <v>12</v>
      </c>
      <c r="H81" s="363" t="n">
        <v>3.6</v>
      </c>
      <c r="I81" s="36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397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1" s="365" t="n"/>
      <c r="O81" s="365" t="n"/>
      <c r="P81" s="365" t="n"/>
      <c r="Q81" s="331" t="n"/>
      <c r="R81" s="40" t="inlineStr"/>
      <c r="S81" s="40" t="inlineStr"/>
      <c r="T81" s="41" t="inlineStr">
        <is>
          <t>кор</t>
        </is>
      </c>
      <c r="U81" s="366" t="n">
        <v>0</v>
      </c>
      <c r="V81" s="367">
        <f>IFERROR(IF(U81="","",U81),"")</f>
        <v/>
      </c>
      <c r="W81" s="42">
        <f>IFERROR(IF(U81="","",U81*0.01788),"")</f>
        <v/>
      </c>
      <c r="X81" s="69" t="inlineStr"/>
      <c r="Y81" s="70" t="inlineStr"/>
      <c r="AC81" s="101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221" t="n">
        <v>4607111035028</v>
      </c>
      <c r="E82" s="331" t="n"/>
      <c r="F82" s="363" t="n">
        <v>0.48</v>
      </c>
      <c r="G82" s="38" t="n">
        <v>8</v>
      </c>
      <c r="H82" s="363" t="n">
        <v>3.84</v>
      </c>
      <c r="I82" s="363" t="n">
        <v>4.4488</v>
      </c>
      <c r="J82" s="38" t="n">
        <v>70</v>
      </c>
      <c r="K82" s="39" t="inlineStr">
        <is>
          <t>МГ</t>
        </is>
      </c>
      <c r="L82" s="38" t="n">
        <v>180</v>
      </c>
      <c r="M82" s="398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2" s="365" t="n"/>
      <c r="O82" s="365" t="n"/>
      <c r="P82" s="365" t="n"/>
      <c r="Q82" s="331" t="n"/>
      <c r="R82" s="40" t="inlineStr"/>
      <c r="S82" s="40" t="inlineStr"/>
      <c r="T82" s="41" t="inlineStr">
        <is>
          <t>кор</t>
        </is>
      </c>
      <c r="U82" s="366" t="n">
        <v>0</v>
      </c>
      <c r="V82" s="367">
        <f>IFERROR(IF(U82="","",U82),"")</f>
        <v/>
      </c>
      <c r="W82" s="42">
        <f>IFERROR(IF(U82="","",U82*0.01788),"")</f>
        <v/>
      </c>
      <c r="X82" s="69" t="inlineStr"/>
      <c r="Y82" s="70" t="inlineStr"/>
      <c r="AC82" s="102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221" t="n">
        <v>4607111033444</v>
      </c>
      <c r="E83" s="331" t="n"/>
      <c r="F83" s="363" t="n">
        <v>0.3</v>
      </c>
      <c r="G83" s="38" t="n">
        <v>12</v>
      </c>
      <c r="H83" s="363" t="n">
        <v>3.6</v>
      </c>
      <c r="I83" s="36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399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3" s="365" t="n"/>
      <c r="O83" s="365" t="n"/>
      <c r="P83" s="365" t="n"/>
      <c r="Q83" s="331" t="n"/>
      <c r="R83" s="40" t="inlineStr"/>
      <c r="S83" s="40" t="inlineStr"/>
      <c r="T83" s="41" t="inlineStr">
        <is>
          <t>кор</t>
        </is>
      </c>
      <c r="U83" s="366" t="n">
        <v>40</v>
      </c>
      <c r="V83" s="367">
        <f>IFERROR(IF(U83="","",U83),"")</f>
        <v/>
      </c>
      <c r="W83" s="42">
        <f>IFERROR(IF(U83="","",U83*0.01788),"")</f>
        <v/>
      </c>
      <c r="X83" s="69" t="inlineStr"/>
      <c r="Y83" s="70" t="inlineStr"/>
      <c r="AC83" s="103" t="inlineStr">
        <is>
          <t>ПГП</t>
        </is>
      </c>
    </row>
    <row r="84">
      <c r="A84" s="229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8" t="n"/>
      <c r="M84" s="369" t="inlineStr">
        <is>
          <t>Итого</t>
        </is>
      </c>
      <c r="N84" s="339" t="n"/>
      <c r="O84" s="339" t="n"/>
      <c r="P84" s="339" t="n"/>
      <c r="Q84" s="339" t="n"/>
      <c r="R84" s="339" t="n"/>
      <c r="S84" s="340" t="n"/>
      <c r="T84" s="43" t="inlineStr">
        <is>
          <t>кор</t>
        </is>
      </c>
      <c r="U84" s="370">
        <f>IFERROR(SUM(U77:U83),"0")</f>
        <v/>
      </c>
      <c r="V84" s="370">
        <f>IFERROR(SUM(V77:V83),"0")</f>
        <v/>
      </c>
      <c r="W84" s="370">
        <f>IFERROR(IF(W77="",0,W77),"0")+IFERROR(IF(W78="",0,W78),"0")+IFERROR(IF(W79="",0,W79),"0")+IFERROR(IF(W80="",0,W80),"0")+IFERROR(IF(W81="",0,W81),"0")+IFERROR(IF(W82="",0,W82),"0")+IFERROR(IF(W83="",0,W83),"0")</f>
        <v/>
      </c>
      <c r="X84" s="371" t="n"/>
      <c r="Y84" s="37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368" t="n"/>
      <c r="M85" s="369" t="inlineStr">
        <is>
          <t>Итого</t>
        </is>
      </c>
      <c r="N85" s="339" t="n"/>
      <c r="O85" s="339" t="n"/>
      <c r="P85" s="339" t="n"/>
      <c r="Q85" s="339" t="n"/>
      <c r="R85" s="339" t="n"/>
      <c r="S85" s="340" t="n"/>
      <c r="T85" s="43" t="inlineStr">
        <is>
          <t>кг</t>
        </is>
      </c>
      <c r="U85" s="370">
        <f>IFERROR(SUMPRODUCT(U77:U83*H77:H83),"0")</f>
        <v/>
      </c>
      <c r="V85" s="370">
        <f>IFERROR(SUMPRODUCT(V77:V83*H77:H83),"0")</f>
        <v/>
      </c>
      <c r="W85" s="43" t="n"/>
      <c r="X85" s="371" t="n"/>
      <c r="Y85" s="371" t="n"/>
    </row>
    <row r="86" ht="16.5" customHeight="1">
      <c r="A86" s="219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219" t="n"/>
      <c r="Y86" s="219" t="n"/>
    </row>
    <row r="87" ht="14.25" customHeight="1">
      <c r="A87" s="220" t="inlineStr">
        <is>
          <t>Чебуреки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220" t="n"/>
      <c r="Y87" s="220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221" t="n">
        <v>4607025784012</v>
      </c>
      <c r="E88" s="331" t="n"/>
      <c r="F88" s="363" t="n">
        <v>0.09</v>
      </c>
      <c r="G88" s="38" t="n">
        <v>24</v>
      </c>
      <c r="H88" s="363" t="n">
        <v>2.16</v>
      </c>
      <c r="I88" s="363" t="n">
        <v>2.4912</v>
      </c>
      <c r="J88" s="38" t="n">
        <v>126</v>
      </c>
      <c r="K88" s="39" t="inlineStr">
        <is>
          <t>МГ</t>
        </is>
      </c>
      <c r="L88" s="38" t="n">
        <v>180</v>
      </c>
      <c r="M88" s="400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8" s="365" t="n"/>
      <c r="O88" s="365" t="n"/>
      <c r="P88" s="365" t="n"/>
      <c r="Q88" s="331" t="n"/>
      <c r="R88" s="40" t="inlineStr"/>
      <c r="S88" s="40" t="inlineStr"/>
      <c r="T88" s="41" t="inlineStr">
        <is>
          <t>кор</t>
        </is>
      </c>
      <c r="U88" s="366" t="n">
        <v>0</v>
      </c>
      <c r="V88" s="367">
        <f>IFERROR(IF(U88="","",U88),"")</f>
        <v/>
      </c>
      <c r="W88" s="42">
        <f>IFERROR(IF(U88="","",U88*0.00936),"")</f>
        <v/>
      </c>
      <c r="X88" s="69" t="inlineStr"/>
      <c r="Y88" s="70" t="inlineStr"/>
      <c r="AC88" s="104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221" t="n">
        <v>4607025784319</v>
      </c>
      <c r="E89" s="331" t="n"/>
      <c r="F89" s="363" t="n">
        <v>0.36</v>
      </c>
      <c r="G89" s="38" t="n">
        <v>10</v>
      </c>
      <c r="H89" s="363" t="n">
        <v>3.6</v>
      </c>
      <c r="I89" s="363" t="n">
        <v>4.244</v>
      </c>
      <c r="J89" s="38" t="n">
        <v>70</v>
      </c>
      <c r="K89" s="39" t="inlineStr">
        <is>
          <t>МГ</t>
        </is>
      </c>
      <c r="L89" s="38" t="n">
        <v>180</v>
      </c>
      <c r="M89" s="401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9" s="365" t="n"/>
      <c r="O89" s="365" t="n"/>
      <c r="P89" s="365" t="n"/>
      <c r="Q89" s="331" t="n"/>
      <c r="R89" s="40" t="inlineStr"/>
      <c r="S89" s="40" t="inlineStr"/>
      <c r="T89" s="41" t="inlineStr">
        <is>
          <t>кор</t>
        </is>
      </c>
      <c r="U89" s="366" t="n">
        <v>0</v>
      </c>
      <c r="V89" s="367">
        <f>IFERROR(IF(U89="","",U89),"")</f>
        <v/>
      </c>
      <c r="W89" s="42">
        <f>IFERROR(IF(U89="","",U89*0.01788),"")</f>
        <v/>
      </c>
      <c r="X89" s="69" t="inlineStr"/>
      <c r="Y89" s="70" t="inlineStr"/>
      <c r="AC89" s="105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221" t="n">
        <v>4607111035370</v>
      </c>
      <c r="E90" s="331" t="n"/>
      <c r="F90" s="363" t="n">
        <v>0.14</v>
      </c>
      <c r="G90" s="38" t="n">
        <v>22</v>
      </c>
      <c r="H90" s="363" t="n">
        <v>3.08</v>
      </c>
      <c r="I90" s="363" t="n">
        <v>3.464</v>
      </c>
      <c r="J90" s="38" t="n">
        <v>84</v>
      </c>
      <c r="K90" s="39" t="inlineStr">
        <is>
          <t>МГ</t>
        </is>
      </c>
      <c r="L90" s="38" t="n">
        <v>180</v>
      </c>
      <c r="M90" s="402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0" s="365" t="n"/>
      <c r="O90" s="365" t="n"/>
      <c r="P90" s="365" t="n"/>
      <c r="Q90" s="331" t="n"/>
      <c r="R90" s="40" t="inlineStr"/>
      <c r="S90" s="40" t="inlineStr"/>
      <c r="T90" s="41" t="inlineStr">
        <is>
          <t>кор</t>
        </is>
      </c>
      <c r="U90" s="366" t="n">
        <v>0</v>
      </c>
      <c r="V90" s="367">
        <f>IFERROR(IF(U90="","",U90),"")</f>
        <v/>
      </c>
      <c r="W90" s="42">
        <f>IFERROR(IF(U90="","",U90*0.0155),"")</f>
        <v/>
      </c>
      <c r="X90" s="69" t="inlineStr"/>
      <c r="Y90" s="70" t="inlineStr"/>
      <c r="AC90" s="106" t="inlineStr">
        <is>
          <t>ПГП</t>
        </is>
      </c>
    </row>
    <row r="91">
      <c r="A91" s="229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8" t="n"/>
      <c r="M91" s="369" t="inlineStr">
        <is>
          <t>Итого</t>
        </is>
      </c>
      <c r="N91" s="339" t="n"/>
      <c r="O91" s="339" t="n"/>
      <c r="P91" s="339" t="n"/>
      <c r="Q91" s="339" t="n"/>
      <c r="R91" s="339" t="n"/>
      <c r="S91" s="340" t="n"/>
      <c r="T91" s="43" t="inlineStr">
        <is>
          <t>кор</t>
        </is>
      </c>
      <c r="U91" s="370">
        <f>IFERROR(SUM(U88:U90),"0")</f>
        <v/>
      </c>
      <c r="V91" s="370">
        <f>IFERROR(SUM(V88:V90),"0")</f>
        <v/>
      </c>
      <c r="W91" s="370">
        <f>IFERROR(IF(W88="",0,W88),"0")+IFERROR(IF(W89="",0,W89),"0")+IFERROR(IF(W90="",0,W90),"0")</f>
        <v/>
      </c>
      <c r="X91" s="371" t="n"/>
      <c r="Y91" s="37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368" t="n"/>
      <c r="M92" s="369" t="inlineStr">
        <is>
          <t>Итого</t>
        </is>
      </c>
      <c r="N92" s="339" t="n"/>
      <c r="O92" s="339" t="n"/>
      <c r="P92" s="339" t="n"/>
      <c r="Q92" s="339" t="n"/>
      <c r="R92" s="339" t="n"/>
      <c r="S92" s="340" t="n"/>
      <c r="T92" s="43" t="inlineStr">
        <is>
          <t>кг</t>
        </is>
      </c>
      <c r="U92" s="370">
        <f>IFERROR(SUMPRODUCT(U88:U90*H88:H90),"0")</f>
        <v/>
      </c>
      <c r="V92" s="370">
        <f>IFERROR(SUMPRODUCT(V88:V90*H88:H90),"0")</f>
        <v/>
      </c>
      <c r="W92" s="43" t="n"/>
      <c r="X92" s="371" t="n"/>
      <c r="Y92" s="371" t="n"/>
    </row>
    <row r="93" ht="16.5" customHeight="1">
      <c r="A93" s="219" t="inlineStr">
        <is>
          <t>Бульмени ГШ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219" t="n"/>
      <c r="Y93" s="219" t="n"/>
    </row>
    <row r="94" ht="14.25" customHeight="1">
      <c r="A94" s="220" t="inlineStr">
        <is>
          <t>Пельмени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220" t="n"/>
      <c r="Y94" s="220" t="n"/>
    </row>
    <row r="95" ht="27" customHeight="1">
      <c r="A95" s="64" t="inlineStr">
        <is>
          <t>SU002626</t>
        </is>
      </c>
      <c r="B95" s="64" t="inlineStr">
        <is>
          <t>P002959</t>
        </is>
      </c>
      <c r="C95" s="37" t="n">
        <v>4301070906</v>
      </c>
      <c r="D95" s="221" t="n">
        <v>4607111033970</v>
      </c>
      <c r="E95" s="331" t="n"/>
      <c r="F95" s="363" t="n">
        <v>0.43</v>
      </c>
      <c r="G95" s="38" t="n">
        <v>16</v>
      </c>
      <c r="H95" s="363" t="n">
        <v>6.88</v>
      </c>
      <c r="I95" s="363" t="n">
        <v>7.1996</v>
      </c>
      <c r="J95" s="38" t="n">
        <v>84</v>
      </c>
      <c r="K95" s="39" t="inlineStr">
        <is>
          <t>МГ</t>
        </is>
      </c>
      <c r="L95" s="38" t="n">
        <v>150</v>
      </c>
      <c r="M95" s="403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5" s="365" t="n"/>
      <c r="O95" s="365" t="n"/>
      <c r="P95" s="365" t="n"/>
      <c r="Q95" s="331" t="n"/>
      <c r="R95" s="40" t="inlineStr"/>
      <c r="S95" s="40" t="inlineStr"/>
      <c r="T95" s="41" t="inlineStr">
        <is>
          <t>кор</t>
        </is>
      </c>
      <c r="U95" s="366" t="n">
        <v>10</v>
      </c>
      <c r="V95" s="367">
        <f>IFERROR(IF(U95="","",U95),"")</f>
        <v/>
      </c>
      <c r="W95" s="42">
        <f>IFERROR(IF(U95="","",U95*0.0155),"")</f>
        <v/>
      </c>
      <c r="X95" s="69" t="inlineStr"/>
      <c r="Y95" s="70" t="inlineStr"/>
      <c r="AC95" s="107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P002960</t>
        </is>
      </c>
      <c r="C96" s="37" t="n">
        <v>4301070907</v>
      </c>
      <c r="D96" s="221" t="n">
        <v>4607111034144</v>
      </c>
      <c r="E96" s="331" t="n"/>
      <c r="F96" s="363" t="n">
        <v>0.9</v>
      </c>
      <c r="G96" s="38" t="n">
        <v>8</v>
      </c>
      <c r="H96" s="363" t="n">
        <v>7.2</v>
      </c>
      <c r="I96" s="363" t="n">
        <v>7.486</v>
      </c>
      <c r="J96" s="38" t="n">
        <v>84</v>
      </c>
      <c r="K96" s="39" t="inlineStr">
        <is>
          <t>МГ</t>
        </is>
      </c>
      <c r="L96" s="38" t="n">
        <v>150</v>
      </c>
      <c r="M96" s="404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/>
      </c>
      <c r="N96" s="365" t="n"/>
      <c r="O96" s="365" t="n"/>
      <c r="P96" s="365" t="n"/>
      <c r="Q96" s="331" t="n"/>
      <c r="R96" s="40" t="inlineStr"/>
      <c r="S96" s="40" t="inlineStr"/>
      <c r="T96" s="41" t="inlineStr">
        <is>
          <t>кор</t>
        </is>
      </c>
      <c r="U96" s="366" t="n">
        <v>0</v>
      </c>
      <c r="V96" s="367">
        <f>IFERROR(IF(U96="","",U96),"")</f>
        <v/>
      </c>
      <c r="W96" s="42">
        <f>IFERROR(IF(U96="","",U96*0.0155),"")</f>
        <v/>
      </c>
      <c r="X96" s="69" t="inlineStr"/>
      <c r="Y96" s="70" t="inlineStr"/>
      <c r="AC96" s="108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P002956</t>
        </is>
      </c>
      <c r="C97" s="37" t="n">
        <v>4301070904</v>
      </c>
      <c r="D97" s="221" t="n">
        <v>4607111033987</v>
      </c>
      <c r="E97" s="331" t="n"/>
      <c r="F97" s="363" t="n">
        <v>0.43</v>
      </c>
      <c r="G97" s="38" t="n">
        <v>16</v>
      </c>
      <c r="H97" s="363" t="n">
        <v>6.88</v>
      </c>
      <c r="I97" s="363" t="n">
        <v>7.1996</v>
      </c>
      <c r="J97" s="38" t="n">
        <v>84</v>
      </c>
      <c r="K97" s="39" t="inlineStr">
        <is>
          <t>МГ</t>
        </is>
      </c>
      <c r="L97" s="38" t="n">
        <v>150</v>
      </c>
      <c r="M97" s="405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97" s="365" t="n"/>
      <c r="O97" s="365" t="n"/>
      <c r="P97" s="365" t="n"/>
      <c r="Q97" s="331" t="n"/>
      <c r="R97" s="40" t="inlineStr"/>
      <c r="S97" s="40" t="inlineStr"/>
      <c r="T97" s="41" t="inlineStr">
        <is>
          <t>кор</t>
        </is>
      </c>
      <c r="U97" s="366" t="n">
        <v>10</v>
      </c>
      <c r="V97" s="367">
        <f>IFERROR(IF(U97="","",U97),"")</f>
        <v/>
      </c>
      <c r="W97" s="42">
        <f>IFERROR(IF(U97="","",U97*0.0155),"")</f>
        <v/>
      </c>
      <c r="X97" s="69" t="inlineStr"/>
      <c r="Y97" s="70" t="inlineStr"/>
      <c r="AC97" s="109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P002957</t>
        </is>
      </c>
      <c r="C98" s="37" t="n">
        <v>4301070905</v>
      </c>
      <c r="D98" s="221" t="n">
        <v>4607111034151</v>
      </c>
      <c r="E98" s="331" t="n"/>
      <c r="F98" s="363" t="n">
        <v>0.9</v>
      </c>
      <c r="G98" s="38" t="n">
        <v>8</v>
      </c>
      <c r="H98" s="363" t="n">
        <v>7.2</v>
      </c>
      <c r="I98" s="363" t="n">
        <v>7.486</v>
      </c>
      <c r="J98" s="38" t="n">
        <v>84</v>
      </c>
      <c r="K98" s="39" t="inlineStr">
        <is>
          <t>МГ</t>
        </is>
      </c>
      <c r="L98" s="38" t="n">
        <v>150</v>
      </c>
      <c r="M98" s="406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98" s="365" t="n"/>
      <c r="O98" s="365" t="n"/>
      <c r="P98" s="365" t="n"/>
      <c r="Q98" s="331" t="n"/>
      <c r="R98" s="40" t="inlineStr"/>
      <c r="S98" s="40" t="inlineStr"/>
      <c r="T98" s="41" t="inlineStr">
        <is>
          <t>кор</t>
        </is>
      </c>
      <c r="U98" s="366" t="n">
        <v>25</v>
      </c>
      <c r="V98" s="367">
        <f>IFERROR(IF(U98="","",U98),"")</f>
        <v/>
      </c>
      <c r="W98" s="42">
        <f>IFERROR(IF(U98="","",U98*0.0155),"")</f>
        <v/>
      </c>
      <c r="X98" s="69" t="inlineStr"/>
      <c r="Y98" s="70" t="inlineStr"/>
      <c r="AC98" s="110" t="inlineStr">
        <is>
          <t>ЗПФ</t>
        </is>
      </c>
    </row>
    <row r="99">
      <c r="A99" s="229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8" t="n"/>
      <c r="M99" s="369" t="inlineStr">
        <is>
          <t>Итого</t>
        </is>
      </c>
      <c r="N99" s="339" t="n"/>
      <c r="O99" s="339" t="n"/>
      <c r="P99" s="339" t="n"/>
      <c r="Q99" s="339" t="n"/>
      <c r="R99" s="339" t="n"/>
      <c r="S99" s="340" t="n"/>
      <c r="T99" s="43" t="inlineStr">
        <is>
          <t>кор</t>
        </is>
      </c>
      <c r="U99" s="370">
        <f>IFERROR(SUM(U95:U98),"0")</f>
        <v/>
      </c>
      <c r="V99" s="370">
        <f>IFERROR(SUM(V95:V98),"0")</f>
        <v/>
      </c>
      <c r="W99" s="370">
        <f>IFERROR(IF(W95="",0,W95),"0")+IFERROR(IF(W96="",0,W96),"0")+IFERROR(IF(W97="",0,W97),"0")+IFERROR(IF(W98="",0,W98),"0")</f>
        <v/>
      </c>
      <c r="X99" s="371" t="n"/>
      <c r="Y99" s="37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368" t="n"/>
      <c r="M100" s="369" t="inlineStr">
        <is>
          <t>Итого</t>
        </is>
      </c>
      <c r="N100" s="339" t="n"/>
      <c r="O100" s="339" t="n"/>
      <c r="P100" s="339" t="n"/>
      <c r="Q100" s="339" t="n"/>
      <c r="R100" s="339" t="n"/>
      <c r="S100" s="340" t="n"/>
      <c r="T100" s="43" t="inlineStr">
        <is>
          <t>кг</t>
        </is>
      </c>
      <c r="U100" s="370">
        <f>IFERROR(SUMPRODUCT(U95:U98*H95:H98),"0")</f>
        <v/>
      </c>
      <c r="V100" s="370">
        <f>IFERROR(SUMPRODUCT(V95:V98*H95:H98),"0")</f>
        <v/>
      </c>
      <c r="W100" s="43" t="n"/>
      <c r="X100" s="371" t="n"/>
      <c r="Y100" s="371" t="n"/>
    </row>
    <row r="101" ht="16.5" customHeight="1">
      <c r="A101" s="219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219" t="n"/>
      <c r="Y101" s="219" t="n"/>
    </row>
    <row r="102" ht="14.25" customHeight="1">
      <c r="A102" s="220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220" t="n"/>
      <c r="Y102" s="220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221" t="n">
        <v>4607111034014</v>
      </c>
      <c r="E103" s="331" t="n"/>
      <c r="F103" s="363" t="n">
        <v>0.25</v>
      </c>
      <c r="G103" s="38" t="n">
        <v>12</v>
      </c>
      <c r="H103" s="363" t="n">
        <v>3</v>
      </c>
      <c r="I103" s="363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7" t="inlineStr">
        <is>
          <t>"Чебупицца курочка По-итальянски" Фикс.вес 0,25 Лоток ТМ "Горячая штучка"</t>
        </is>
      </c>
      <c r="N103" s="365" t="n"/>
      <c r="O103" s="365" t="n"/>
      <c r="P103" s="365" t="n"/>
      <c r="Q103" s="331" t="n"/>
      <c r="R103" s="40" t="inlineStr"/>
      <c r="S103" s="40" t="inlineStr"/>
      <c r="T103" s="41" t="inlineStr">
        <is>
          <t>кор</t>
        </is>
      </c>
      <c r="U103" s="366" t="n">
        <v>50</v>
      </c>
      <c r="V103" s="367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111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221" t="n">
        <v>4607111033994</v>
      </c>
      <c r="E104" s="331" t="n"/>
      <c r="F104" s="363" t="n">
        <v>0.25</v>
      </c>
      <c r="G104" s="38" t="n">
        <v>12</v>
      </c>
      <c r="H104" s="363" t="n">
        <v>3</v>
      </c>
      <c r="I104" s="363" t="n">
        <v>3.7036</v>
      </c>
      <c r="J104" s="38" t="n">
        <v>70</v>
      </c>
      <c r="K104" s="39" t="inlineStr">
        <is>
          <t>МГ</t>
        </is>
      </c>
      <c r="L104" s="38" t="n">
        <v>180</v>
      </c>
      <c r="M104" s="40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4" s="365" t="n"/>
      <c r="O104" s="365" t="n"/>
      <c r="P104" s="365" t="n"/>
      <c r="Q104" s="331" t="n"/>
      <c r="R104" s="40" t="inlineStr"/>
      <c r="S104" s="40" t="inlineStr"/>
      <c r="T104" s="41" t="inlineStr">
        <is>
          <t>кор</t>
        </is>
      </c>
      <c r="U104" s="366" t="n">
        <v>50</v>
      </c>
      <c r="V104" s="367">
        <f>IFERROR(IF(U104="","",U104),"")</f>
        <v/>
      </c>
      <c r="W104" s="42">
        <f>IFERROR(IF(U104="","",U104*0.01788),"")</f>
        <v/>
      </c>
      <c r="X104" s="69" t="inlineStr"/>
      <c r="Y104" s="70" t="inlineStr"/>
      <c r="AC104" s="112" t="inlineStr">
        <is>
          <t>ПГП</t>
        </is>
      </c>
    </row>
    <row r="105">
      <c r="A105" s="229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8" t="n"/>
      <c r="M105" s="369" t="inlineStr">
        <is>
          <t>Итого</t>
        </is>
      </c>
      <c r="N105" s="339" t="n"/>
      <c r="O105" s="339" t="n"/>
      <c r="P105" s="339" t="n"/>
      <c r="Q105" s="339" t="n"/>
      <c r="R105" s="339" t="n"/>
      <c r="S105" s="340" t="n"/>
      <c r="T105" s="43" t="inlineStr">
        <is>
          <t>кор</t>
        </is>
      </c>
      <c r="U105" s="370">
        <f>IFERROR(SUM(U103:U104),"0")</f>
        <v/>
      </c>
      <c r="V105" s="370">
        <f>IFERROR(SUM(V103:V104),"0")</f>
        <v/>
      </c>
      <c r="W105" s="370">
        <f>IFERROR(IF(W103="",0,W103),"0")+IFERROR(IF(W104="",0,W104),"0")</f>
        <v/>
      </c>
      <c r="X105" s="371" t="n"/>
      <c r="Y105" s="37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368" t="n"/>
      <c r="M106" s="369" t="inlineStr">
        <is>
          <t>Итого</t>
        </is>
      </c>
      <c r="N106" s="339" t="n"/>
      <c r="O106" s="339" t="n"/>
      <c r="P106" s="339" t="n"/>
      <c r="Q106" s="339" t="n"/>
      <c r="R106" s="339" t="n"/>
      <c r="S106" s="340" t="n"/>
      <c r="T106" s="43" t="inlineStr">
        <is>
          <t>кг</t>
        </is>
      </c>
      <c r="U106" s="370">
        <f>IFERROR(SUMPRODUCT(U103:U104*H103:H104),"0")</f>
        <v/>
      </c>
      <c r="V106" s="370">
        <f>IFERROR(SUMPRODUCT(V103:V104*H103:H104),"0")</f>
        <v/>
      </c>
      <c r="W106" s="43" t="n"/>
      <c r="X106" s="371" t="n"/>
      <c r="Y106" s="371" t="n"/>
    </row>
    <row r="107" ht="16.5" customHeight="1">
      <c r="A107" s="219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219" t="n"/>
      <c r="Y107" s="219" t="n"/>
    </row>
    <row r="108" ht="14.25" customHeight="1">
      <c r="A108" s="220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220" t="n"/>
      <c r="Y108" s="220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221" t="n">
        <v>4607111034199</v>
      </c>
      <c r="E109" s="331" t="n"/>
      <c r="F109" s="363" t="n">
        <v>0.25</v>
      </c>
      <c r="G109" s="38" t="n">
        <v>12</v>
      </c>
      <c r="H109" s="363" t="n">
        <v>3</v>
      </c>
      <c r="I109" s="36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09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9" s="365" t="n"/>
      <c r="O109" s="365" t="n"/>
      <c r="P109" s="365" t="n"/>
      <c r="Q109" s="331" t="n"/>
      <c r="R109" s="40" t="inlineStr"/>
      <c r="S109" s="40" t="inlineStr"/>
      <c r="T109" s="41" t="inlineStr">
        <is>
          <t>кор</t>
        </is>
      </c>
      <c r="U109" s="366" t="n">
        <v>0</v>
      </c>
      <c r="V109" s="36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113" t="inlineStr">
        <is>
          <t>ПГП</t>
        </is>
      </c>
    </row>
    <row r="110">
      <c r="A110" s="229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8" t="n"/>
      <c r="M110" s="369" t="inlineStr">
        <is>
          <t>Итого</t>
        </is>
      </c>
      <c r="N110" s="339" t="n"/>
      <c r="O110" s="339" t="n"/>
      <c r="P110" s="339" t="n"/>
      <c r="Q110" s="339" t="n"/>
      <c r="R110" s="339" t="n"/>
      <c r="S110" s="340" t="n"/>
      <c r="T110" s="43" t="inlineStr">
        <is>
          <t>кор</t>
        </is>
      </c>
      <c r="U110" s="370">
        <f>IFERROR(SUM(U109:U109),"0")</f>
        <v/>
      </c>
      <c r="V110" s="370">
        <f>IFERROR(SUM(V109:V109),"0")</f>
        <v/>
      </c>
      <c r="W110" s="370">
        <f>IFERROR(IF(W109="",0,W109),"0")</f>
        <v/>
      </c>
      <c r="X110" s="371" t="n"/>
      <c r="Y110" s="37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68" t="n"/>
      <c r="M111" s="369" t="inlineStr">
        <is>
          <t>Итого</t>
        </is>
      </c>
      <c r="N111" s="339" t="n"/>
      <c r="O111" s="339" t="n"/>
      <c r="P111" s="339" t="n"/>
      <c r="Q111" s="339" t="n"/>
      <c r="R111" s="339" t="n"/>
      <c r="S111" s="340" t="n"/>
      <c r="T111" s="43" t="inlineStr">
        <is>
          <t>кг</t>
        </is>
      </c>
      <c r="U111" s="370">
        <f>IFERROR(SUMPRODUCT(U109:U109*H109:H109),"0")</f>
        <v/>
      </c>
      <c r="V111" s="370">
        <f>IFERROR(SUMPRODUCT(V109:V109*H109:H109),"0")</f>
        <v/>
      </c>
      <c r="W111" s="43" t="n"/>
      <c r="X111" s="371" t="n"/>
      <c r="Y111" s="371" t="n"/>
    </row>
    <row r="112" ht="16.5" customHeight="1">
      <c r="A112" s="219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219" t="n"/>
      <c r="Y112" s="219" t="n"/>
    </row>
    <row r="113" ht="14.25" customHeight="1">
      <c r="A113" s="220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220" t="n"/>
      <c r="Y113" s="220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221" t="n">
        <v>4607111034670</v>
      </c>
      <c r="E114" s="331" t="n"/>
      <c r="F114" s="363" t="n">
        <v>3</v>
      </c>
      <c r="G114" s="38" t="n">
        <v>1</v>
      </c>
      <c r="H114" s="363" t="n">
        <v>3</v>
      </c>
      <c r="I114" s="363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1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4" s="365" t="n"/>
      <c r="O114" s="365" t="n"/>
      <c r="P114" s="365" t="n"/>
      <c r="Q114" s="331" t="n"/>
      <c r="R114" s="40" t="inlineStr"/>
      <c r="S114" s="40" t="inlineStr"/>
      <c r="T114" s="41" t="inlineStr">
        <is>
          <t>кор</t>
        </is>
      </c>
      <c r="U114" s="366" t="n">
        <v>0</v>
      </c>
      <c r="V114" s="367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114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221" t="n">
        <v>4607111034687</v>
      </c>
      <c r="E115" s="331" t="n"/>
      <c r="F115" s="363" t="n">
        <v>3</v>
      </c>
      <c r="G115" s="38" t="n">
        <v>1</v>
      </c>
      <c r="H115" s="363" t="n">
        <v>3</v>
      </c>
      <c r="I115" s="363" t="n">
        <v>3.195</v>
      </c>
      <c r="J115" s="38" t="n">
        <v>126</v>
      </c>
      <c r="K115" s="39" t="inlineStr">
        <is>
          <t>МГ</t>
        </is>
      </c>
      <c r="L115" s="38" t="n">
        <v>180</v>
      </c>
      <c r="M115" s="411" t="inlineStr">
        <is>
          <t>Круггетсы сочные Хорека Весовые Пакет 3 кг Горячая штучка</t>
        </is>
      </c>
      <c r="N115" s="365" t="n"/>
      <c r="O115" s="365" t="n"/>
      <c r="P115" s="365" t="n"/>
      <c r="Q115" s="331" t="n"/>
      <c r="R115" s="40" t="inlineStr"/>
      <c r="S115" s="40" t="inlineStr"/>
      <c r="T115" s="41" t="inlineStr">
        <is>
          <t>кор</t>
        </is>
      </c>
      <c r="U115" s="366" t="n">
        <v>0</v>
      </c>
      <c r="V115" s="367">
        <f>IFERROR(IF(U115="","",U115),"")</f>
        <v/>
      </c>
      <c r="W115" s="42">
        <f>IFERROR(IF(U115="","",U115*0.00936),"")</f>
        <v/>
      </c>
      <c r="X115" s="69" t="inlineStr">
        <is>
          <t>ВЕСОВОЙ ФОРМАТ</t>
        </is>
      </c>
      <c r="Y115" s="70" t="inlineStr"/>
      <c r="AC115" s="115" t="inlineStr">
        <is>
          <t>ПГП</t>
        </is>
      </c>
    </row>
    <row r="116" ht="27" customHeight="1">
      <c r="A116" s="64" t="inlineStr">
        <is>
          <t>SU000194</t>
        </is>
      </c>
      <c r="B116" s="64" t="inlineStr">
        <is>
          <t>P003288</t>
        </is>
      </c>
      <c r="C116" s="37" t="n">
        <v>4301135164</v>
      </c>
      <c r="D116" s="221" t="n">
        <v>4607111034380</v>
      </c>
      <c r="E116" s="331" t="n"/>
      <c r="F116" s="363" t="n">
        <v>0.25</v>
      </c>
      <c r="G116" s="38" t="n">
        <v>12</v>
      </c>
      <c r="H116" s="363" t="n">
        <v>3</v>
      </c>
      <c r="I116" s="363" t="n">
        <v>3.28</v>
      </c>
      <c r="J116" s="38" t="n">
        <v>70</v>
      </c>
      <c r="K116" s="39" t="inlineStr">
        <is>
          <t>МГ</t>
        </is>
      </c>
      <c r="L116" s="38" t="n">
        <v>180</v>
      </c>
      <c r="M116" s="412" t="inlineStr">
        <is>
          <t>"Круггетсы с сырным соусом" Фикс.вес 0,25 ф/п ТМ "Горячая штучка"</t>
        </is>
      </c>
      <c r="N116" s="365" t="n"/>
      <c r="O116" s="365" t="n"/>
      <c r="P116" s="365" t="n"/>
      <c r="Q116" s="331" t="n"/>
      <c r="R116" s="40" t="inlineStr"/>
      <c r="S116" s="40" t="inlineStr"/>
      <c r="T116" s="41" t="inlineStr">
        <is>
          <t>кор</t>
        </is>
      </c>
      <c r="U116" s="366" t="n">
        <v>30</v>
      </c>
      <c r="V116" s="367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116" t="inlineStr">
        <is>
          <t>ПГП</t>
        </is>
      </c>
    </row>
    <row r="117" ht="27" customHeight="1">
      <c r="A117" s="64" t="inlineStr">
        <is>
          <t>SU000195</t>
        </is>
      </c>
      <c r="B117" s="64" t="inlineStr">
        <is>
          <t>P003289</t>
        </is>
      </c>
      <c r="C117" s="37" t="n">
        <v>4301135165</v>
      </c>
      <c r="D117" s="221" t="n">
        <v>4607111034397</v>
      </c>
      <c r="E117" s="331" t="n"/>
      <c r="F117" s="363" t="n">
        <v>0.25</v>
      </c>
      <c r="G117" s="38" t="n">
        <v>12</v>
      </c>
      <c r="H117" s="363" t="n">
        <v>3</v>
      </c>
      <c r="I117" s="363" t="n">
        <v>3.28</v>
      </c>
      <c r="J117" s="38" t="n">
        <v>70</v>
      </c>
      <c r="K117" s="39" t="inlineStr">
        <is>
          <t>МГ</t>
        </is>
      </c>
      <c r="L117" s="38" t="n">
        <v>180</v>
      </c>
      <c r="M117" s="413" t="inlineStr">
        <is>
          <t>"Круггетсы Сочные" Фикс.вес 0,25 ф/п ТМ "Горячая штучка"</t>
        </is>
      </c>
      <c r="N117" s="365" t="n"/>
      <c r="O117" s="365" t="n"/>
      <c r="P117" s="365" t="n"/>
      <c r="Q117" s="331" t="n"/>
      <c r="R117" s="40" t="inlineStr"/>
      <c r="S117" s="40" t="inlineStr"/>
      <c r="T117" s="41" t="inlineStr">
        <is>
          <t>кор</t>
        </is>
      </c>
      <c r="U117" s="366" t="n">
        <v>30</v>
      </c>
      <c r="V117" s="367">
        <f>IFERROR(IF(U117="","",U117),"")</f>
        <v/>
      </c>
      <c r="W117" s="42">
        <f>IFERROR(IF(U117="","",U117*0.01788),"")</f>
        <v/>
      </c>
      <c r="X117" s="69" t="inlineStr"/>
      <c r="Y117" s="70" t="inlineStr"/>
      <c r="AC117" s="117" t="inlineStr">
        <is>
          <t>ПГП</t>
        </is>
      </c>
    </row>
    <row r="118">
      <c r="A118" s="229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8" t="n"/>
      <c r="M118" s="369" t="inlineStr">
        <is>
          <t>Итого</t>
        </is>
      </c>
      <c r="N118" s="339" t="n"/>
      <c r="O118" s="339" t="n"/>
      <c r="P118" s="339" t="n"/>
      <c r="Q118" s="339" t="n"/>
      <c r="R118" s="339" t="n"/>
      <c r="S118" s="340" t="n"/>
      <c r="T118" s="43" t="inlineStr">
        <is>
          <t>кор</t>
        </is>
      </c>
      <c r="U118" s="370">
        <f>IFERROR(SUM(U114:U117),"0")</f>
        <v/>
      </c>
      <c r="V118" s="370">
        <f>IFERROR(SUM(V114:V117),"0")</f>
        <v/>
      </c>
      <c r="W118" s="370">
        <f>IFERROR(IF(W114="",0,W114),"0")+IFERROR(IF(W115="",0,W115),"0")+IFERROR(IF(W116="",0,W116),"0")+IFERROR(IF(W117="",0,W117),"0")</f>
        <v/>
      </c>
      <c r="X118" s="371" t="n"/>
      <c r="Y118" s="37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368" t="n"/>
      <c r="M119" s="369" t="inlineStr">
        <is>
          <t>Итого</t>
        </is>
      </c>
      <c r="N119" s="339" t="n"/>
      <c r="O119" s="339" t="n"/>
      <c r="P119" s="339" t="n"/>
      <c r="Q119" s="339" t="n"/>
      <c r="R119" s="339" t="n"/>
      <c r="S119" s="340" t="n"/>
      <c r="T119" s="43" t="inlineStr">
        <is>
          <t>кг</t>
        </is>
      </c>
      <c r="U119" s="370">
        <f>IFERROR(SUMPRODUCT(U114:U117*H114:H117),"0")</f>
        <v/>
      </c>
      <c r="V119" s="370">
        <f>IFERROR(SUMPRODUCT(V114:V117*H114:H117),"0")</f>
        <v/>
      </c>
      <c r="W119" s="43" t="n"/>
      <c r="X119" s="371" t="n"/>
      <c r="Y119" s="371" t="n"/>
    </row>
    <row r="120" ht="16.5" customHeight="1">
      <c r="A120" s="219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219" t="n"/>
      <c r="Y120" s="219" t="n"/>
    </row>
    <row r="121" ht="14.25" customHeight="1">
      <c r="A121" s="220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220" t="n"/>
      <c r="Y121" s="220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221" t="n">
        <v>4607111035806</v>
      </c>
      <c r="E122" s="331" t="n"/>
      <c r="F122" s="363" t="n">
        <v>0.25</v>
      </c>
      <c r="G122" s="38" t="n">
        <v>12</v>
      </c>
      <c r="H122" s="363" t="n">
        <v>3</v>
      </c>
      <c r="I122" s="36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1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2" s="365" t="n"/>
      <c r="O122" s="365" t="n"/>
      <c r="P122" s="365" t="n"/>
      <c r="Q122" s="331" t="n"/>
      <c r="R122" s="40" t="inlineStr"/>
      <c r="S122" s="40" t="inlineStr"/>
      <c r="T122" s="41" t="inlineStr">
        <is>
          <t>кор</t>
        </is>
      </c>
      <c r="U122" s="366" t="n">
        <v>0</v>
      </c>
      <c r="V122" s="36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118" t="inlineStr">
        <is>
          <t>ПГП</t>
        </is>
      </c>
    </row>
    <row r="123">
      <c r="A123" s="229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8" t="n"/>
      <c r="M123" s="369" t="inlineStr">
        <is>
          <t>Итого</t>
        </is>
      </c>
      <c r="N123" s="339" t="n"/>
      <c r="O123" s="339" t="n"/>
      <c r="P123" s="339" t="n"/>
      <c r="Q123" s="339" t="n"/>
      <c r="R123" s="339" t="n"/>
      <c r="S123" s="340" t="n"/>
      <c r="T123" s="43" t="inlineStr">
        <is>
          <t>кор</t>
        </is>
      </c>
      <c r="U123" s="370">
        <f>IFERROR(SUM(U122:U122),"0")</f>
        <v/>
      </c>
      <c r="V123" s="370">
        <f>IFERROR(SUM(V122:V122),"0")</f>
        <v/>
      </c>
      <c r="W123" s="370">
        <f>IFERROR(IF(W122="",0,W122),"0")</f>
        <v/>
      </c>
      <c r="X123" s="371" t="n"/>
      <c r="Y123" s="37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68" t="n"/>
      <c r="M124" s="369" t="inlineStr">
        <is>
          <t>Итого</t>
        </is>
      </c>
      <c r="N124" s="339" t="n"/>
      <c r="O124" s="339" t="n"/>
      <c r="P124" s="339" t="n"/>
      <c r="Q124" s="339" t="n"/>
      <c r="R124" s="339" t="n"/>
      <c r="S124" s="340" t="n"/>
      <c r="T124" s="43" t="inlineStr">
        <is>
          <t>кг</t>
        </is>
      </c>
      <c r="U124" s="370">
        <f>IFERROR(SUMPRODUCT(U122:U122*H122:H122),"0")</f>
        <v/>
      </c>
      <c r="V124" s="370">
        <f>IFERROR(SUMPRODUCT(V122:V122*H122:H122),"0")</f>
        <v/>
      </c>
      <c r="W124" s="43" t="n"/>
      <c r="X124" s="371" t="n"/>
      <c r="Y124" s="371" t="n"/>
    </row>
    <row r="125" ht="16.5" customHeight="1">
      <c r="A125" s="219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219" t="n"/>
      <c r="Y125" s="219" t="n"/>
    </row>
    <row r="126" ht="14.25" customHeight="1">
      <c r="A126" s="220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220" t="n"/>
      <c r="Y126" s="220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221" t="n">
        <v>4607111035639</v>
      </c>
      <c r="E127" s="331" t="n"/>
      <c r="F127" s="363" t="n">
        <v>0.2</v>
      </c>
      <c r="G127" s="38" t="n">
        <v>12</v>
      </c>
      <c r="H127" s="363" t="n">
        <v>2.4</v>
      </c>
      <c r="I127" s="363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7" s="365" t="n"/>
      <c r="O127" s="365" t="n"/>
      <c r="P127" s="365" t="n"/>
      <c r="Q127" s="331" t="n"/>
      <c r="R127" s="40" t="inlineStr"/>
      <c r="S127" s="40" t="inlineStr"/>
      <c r="T127" s="41" t="inlineStr">
        <is>
          <t>кор</t>
        </is>
      </c>
      <c r="U127" s="366" t="n">
        <v>0</v>
      </c>
      <c r="V127" s="367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119" t="inlineStr">
        <is>
          <t>ПГП</t>
        </is>
      </c>
    </row>
    <row r="128" ht="27" customHeight="1">
      <c r="A128" s="64" t="inlineStr">
        <is>
          <t>SU002009</t>
        </is>
      </c>
      <c r="B128" s="64" t="inlineStr">
        <is>
          <t>P002099</t>
        </is>
      </c>
      <c r="C128" s="37" t="n">
        <v>4301070769</v>
      </c>
      <c r="D128" s="221" t="n">
        <v>4607111035646</v>
      </c>
      <c r="E128" s="331" t="n"/>
      <c r="F128" s="363" t="n">
        <v>0.2</v>
      </c>
      <c r="G128" s="38" t="n">
        <v>12</v>
      </c>
      <c r="H128" s="363" t="n">
        <v>2.4</v>
      </c>
      <c r="I128" s="363" t="n">
        <v>3.13</v>
      </c>
      <c r="J128" s="38" t="n">
        <v>48</v>
      </c>
      <c r="K128" s="39" t="inlineStr">
        <is>
          <t>МГ</t>
        </is>
      </c>
      <c r="L128" s="38" t="n">
        <v>180</v>
      </c>
      <c r="M128" s="416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8" s="365" t="n"/>
      <c r="O128" s="365" t="n"/>
      <c r="P128" s="365" t="n"/>
      <c r="Q128" s="331" t="n"/>
      <c r="R128" s="40" t="inlineStr"/>
      <c r="S128" s="40" t="inlineStr"/>
      <c r="T128" s="41" t="inlineStr">
        <is>
          <t>кор</t>
        </is>
      </c>
      <c r="U128" s="366" t="n">
        <v>0</v>
      </c>
      <c r="V128" s="367">
        <f>IFERROR(IF(U128="","",U128),"")</f>
        <v/>
      </c>
      <c r="W128" s="42">
        <f>IFERROR(IF(U128="","",U128*0.01786),"")</f>
        <v/>
      </c>
      <c r="X128" s="69" t="inlineStr"/>
      <c r="Y128" s="70" t="inlineStr"/>
      <c r="AC128" s="120" t="inlineStr">
        <is>
          <t>ПГП</t>
        </is>
      </c>
    </row>
    <row r="129">
      <c r="A129" s="229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8" t="n"/>
      <c r="M129" s="369" t="inlineStr">
        <is>
          <t>Итого</t>
        </is>
      </c>
      <c r="N129" s="339" t="n"/>
      <c r="O129" s="339" t="n"/>
      <c r="P129" s="339" t="n"/>
      <c r="Q129" s="339" t="n"/>
      <c r="R129" s="339" t="n"/>
      <c r="S129" s="340" t="n"/>
      <c r="T129" s="43" t="inlineStr">
        <is>
          <t>кор</t>
        </is>
      </c>
      <c r="U129" s="370">
        <f>IFERROR(SUM(U127:U128),"0")</f>
        <v/>
      </c>
      <c r="V129" s="370">
        <f>IFERROR(SUM(V127:V128),"0")</f>
        <v/>
      </c>
      <c r="W129" s="370">
        <f>IFERROR(IF(W127="",0,W127),"0")+IFERROR(IF(W128="",0,W128),"0")</f>
        <v/>
      </c>
      <c r="X129" s="371" t="n"/>
      <c r="Y129" s="37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368" t="n"/>
      <c r="M130" s="369" t="inlineStr">
        <is>
          <t>Итого</t>
        </is>
      </c>
      <c r="N130" s="339" t="n"/>
      <c r="O130" s="339" t="n"/>
      <c r="P130" s="339" t="n"/>
      <c r="Q130" s="339" t="n"/>
      <c r="R130" s="339" t="n"/>
      <c r="S130" s="340" t="n"/>
      <c r="T130" s="43" t="inlineStr">
        <is>
          <t>кг</t>
        </is>
      </c>
      <c r="U130" s="370">
        <f>IFERROR(SUMPRODUCT(U127:U128*H127:H128),"0")</f>
        <v/>
      </c>
      <c r="V130" s="370">
        <f>IFERROR(SUMPRODUCT(V127:V128*H127:H128),"0")</f>
        <v/>
      </c>
      <c r="W130" s="43" t="n"/>
      <c r="X130" s="371" t="n"/>
      <c r="Y130" s="371" t="n"/>
    </row>
    <row r="131" ht="16.5" customHeight="1">
      <c r="A131" s="219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219" t="n"/>
      <c r="Y131" s="219" t="n"/>
    </row>
    <row r="132" ht="14.25" customHeight="1">
      <c r="A132" s="220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220" t="n"/>
      <c r="Y132" s="220" t="n"/>
    </row>
    <row r="133" ht="27" customHeight="1">
      <c r="A133" s="64" t="inlineStr">
        <is>
          <t>SU002289</t>
        </is>
      </c>
      <c r="B133" s="64" t="inlineStr">
        <is>
          <t>P002492</t>
        </is>
      </c>
      <c r="C133" s="37" t="n">
        <v>4301135026</v>
      </c>
      <c r="D133" s="221" t="n">
        <v>4607111036124</v>
      </c>
      <c r="E133" s="331" t="n"/>
      <c r="F133" s="363" t="n">
        <v>0.4</v>
      </c>
      <c r="G133" s="38" t="n">
        <v>12</v>
      </c>
      <c r="H133" s="363" t="n">
        <v>4.8</v>
      </c>
      <c r="I133" s="363" t="n">
        <v>5.126</v>
      </c>
      <c r="J133" s="38" t="n">
        <v>84</v>
      </c>
      <c r="K133" s="39" t="inlineStr">
        <is>
          <t>МГ</t>
        </is>
      </c>
      <c r="L133" s="38" t="n">
        <v>180</v>
      </c>
      <c r="M133" s="417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3" s="365" t="n"/>
      <c r="O133" s="365" t="n"/>
      <c r="P133" s="365" t="n"/>
      <c r="Q133" s="331" t="n"/>
      <c r="R133" s="40" t="inlineStr"/>
      <c r="S133" s="40" t="inlineStr"/>
      <c r="T133" s="41" t="inlineStr">
        <is>
          <t>кор</t>
        </is>
      </c>
      <c r="U133" s="366" t="n">
        <v>0</v>
      </c>
      <c r="V133" s="367">
        <f>IFERROR(IF(U133="","",U133),"")</f>
        <v/>
      </c>
      <c r="W133" s="42">
        <f>IFERROR(IF(U133="","",U133*0.0155),"")</f>
        <v/>
      </c>
      <c r="X133" s="69" t="inlineStr"/>
      <c r="Y133" s="70" t="inlineStr"/>
      <c r="AC133" s="121" t="inlineStr">
        <is>
          <t>ПГП</t>
        </is>
      </c>
    </row>
    <row r="134">
      <c r="A134" s="229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8" t="n"/>
      <c r="M134" s="369" t="inlineStr">
        <is>
          <t>Итого</t>
        </is>
      </c>
      <c r="N134" s="339" t="n"/>
      <c r="O134" s="339" t="n"/>
      <c r="P134" s="339" t="n"/>
      <c r="Q134" s="339" t="n"/>
      <c r="R134" s="339" t="n"/>
      <c r="S134" s="340" t="n"/>
      <c r="T134" s="43" t="inlineStr">
        <is>
          <t>кор</t>
        </is>
      </c>
      <c r="U134" s="370">
        <f>IFERROR(SUM(U133:U133),"0")</f>
        <v/>
      </c>
      <c r="V134" s="370">
        <f>IFERROR(SUM(V133:V133),"0")</f>
        <v/>
      </c>
      <c r="W134" s="370">
        <f>IFERROR(IF(W133="",0,W133),"0")</f>
        <v/>
      </c>
      <c r="X134" s="371" t="n"/>
      <c r="Y134" s="37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68" t="n"/>
      <c r="M135" s="369" t="inlineStr">
        <is>
          <t>Итого</t>
        </is>
      </c>
      <c r="N135" s="339" t="n"/>
      <c r="O135" s="339" t="n"/>
      <c r="P135" s="339" t="n"/>
      <c r="Q135" s="339" t="n"/>
      <c r="R135" s="339" t="n"/>
      <c r="S135" s="340" t="n"/>
      <c r="T135" s="43" t="inlineStr">
        <is>
          <t>кг</t>
        </is>
      </c>
      <c r="U135" s="370">
        <f>IFERROR(SUMPRODUCT(U133:U133*H133:H133),"0")</f>
        <v/>
      </c>
      <c r="V135" s="370">
        <f>IFERROR(SUMPRODUCT(V133:V133*H133:H133),"0")</f>
        <v/>
      </c>
      <c r="W135" s="43" t="n"/>
      <c r="X135" s="371" t="n"/>
      <c r="Y135" s="371" t="n"/>
    </row>
    <row r="136" ht="27.75" customHeight="1">
      <c r="A136" s="218" t="inlineStr">
        <is>
          <t>No Name</t>
        </is>
      </c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362" t="n"/>
      <c r="N136" s="362" t="n"/>
      <c r="O136" s="362" t="n"/>
      <c r="P136" s="362" t="n"/>
      <c r="Q136" s="362" t="n"/>
      <c r="R136" s="362" t="n"/>
      <c r="S136" s="362" t="n"/>
      <c r="T136" s="362" t="n"/>
      <c r="U136" s="362" t="n"/>
      <c r="V136" s="362" t="n"/>
      <c r="W136" s="362" t="n"/>
      <c r="X136" s="55" t="n"/>
      <c r="Y136" s="55" t="n"/>
    </row>
    <row r="137" ht="16.5" customHeight="1">
      <c r="A137" s="219" t="inlineStr">
        <is>
          <t>No Name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219" t="n"/>
      <c r="Y137" s="219" t="n"/>
    </row>
    <row r="138" ht="14.25" customHeight="1">
      <c r="A138" s="220" t="inlineStr">
        <is>
          <t>Крылья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220" t="n"/>
      <c r="Y138" s="220" t="n"/>
    </row>
    <row r="139" ht="27" customHeight="1">
      <c r="A139" s="64" t="inlineStr">
        <is>
          <t>SU002975</t>
        </is>
      </c>
      <c r="B139" s="64" t="inlineStr">
        <is>
          <t>P003432</t>
        </is>
      </c>
      <c r="C139" s="37" t="n">
        <v>4301131018</v>
      </c>
      <c r="D139" s="221" t="n">
        <v>4607111037930</v>
      </c>
      <c r="E139" s="331" t="n"/>
      <c r="F139" s="363" t="n">
        <v>1.8</v>
      </c>
      <c r="G139" s="38" t="n">
        <v>1</v>
      </c>
      <c r="H139" s="363" t="n">
        <v>1.8</v>
      </c>
      <c r="I139" s="363" t="n">
        <v>1.915</v>
      </c>
      <c r="J139" s="38" t="n">
        <v>234</v>
      </c>
      <c r="K139" s="39" t="inlineStr">
        <is>
          <t>МГ</t>
        </is>
      </c>
      <c r="L139" s="38" t="n">
        <v>180</v>
      </c>
      <c r="M139" s="418" t="inlineStr">
        <is>
          <t>Крылья "Хрустящие крылышки" Весовой ТМ "No Name"</t>
        </is>
      </c>
      <c r="N139" s="365" t="n"/>
      <c r="O139" s="365" t="n"/>
      <c r="P139" s="365" t="n"/>
      <c r="Q139" s="331" t="n"/>
      <c r="R139" s="40" t="inlineStr"/>
      <c r="S139" s="40" t="inlineStr"/>
      <c r="T139" s="41" t="inlineStr">
        <is>
          <t>кор</t>
        </is>
      </c>
      <c r="U139" s="366" t="n">
        <v>0</v>
      </c>
      <c r="V139" s="367">
        <f>IFERROR(IF(U139="","",U139),"")</f>
        <v/>
      </c>
      <c r="W139" s="42">
        <f>IFERROR(IF(U139="","",U139*0.00502),"")</f>
        <v/>
      </c>
      <c r="X139" s="69" t="inlineStr"/>
      <c r="Y139" s="70" t="inlineStr"/>
      <c r="AC139" s="122" t="inlineStr">
        <is>
          <t>ПГП</t>
        </is>
      </c>
    </row>
    <row r="140">
      <c r="A140" s="229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8" t="n"/>
      <c r="M140" s="369" t="inlineStr">
        <is>
          <t>Итого</t>
        </is>
      </c>
      <c r="N140" s="339" t="n"/>
      <c r="O140" s="339" t="n"/>
      <c r="P140" s="339" t="n"/>
      <c r="Q140" s="339" t="n"/>
      <c r="R140" s="339" t="n"/>
      <c r="S140" s="340" t="n"/>
      <c r="T140" s="43" t="inlineStr">
        <is>
          <t>кор</t>
        </is>
      </c>
      <c r="U140" s="370">
        <f>IFERROR(SUM(U139:U139),"0")</f>
        <v/>
      </c>
      <c r="V140" s="370">
        <f>IFERROR(SUM(V139:V139),"0")</f>
        <v/>
      </c>
      <c r="W140" s="370">
        <f>IFERROR(IF(W139="",0,W139),"0")</f>
        <v/>
      </c>
      <c r="X140" s="371" t="n"/>
      <c r="Y140" s="37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368" t="n"/>
      <c r="M141" s="369" t="inlineStr">
        <is>
          <t>Итого</t>
        </is>
      </c>
      <c r="N141" s="339" t="n"/>
      <c r="O141" s="339" t="n"/>
      <c r="P141" s="339" t="n"/>
      <c r="Q141" s="339" t="n"/>
      <c r="R141" s="339" t="n"/>
      <c r="S141" s="340" t="n"/>
      <c r="T141" s="43" t="inlineStr">
        <is>
          <t>кг</t>
        </is>
      </c>
      <c r="U141" s="370">
        <f>IFERROR(SUMPRODUCT(U139:U139*H139:H139),"0")</f>
        <v/>
      </c>
      <c r="V141" s="370">
        <f>IFERROR(SUMPRODUCT(V139:V139*H139:H139),"0")</f>
        <v/>
      </c>
      <c r="W141" s="43" t="n"/>
      <c r="X141" s="371" t="n"/>
      <c r="Y141" s="371" t="n"/>
    </row>
    <row r="142" ht="14.25" customHeight="1">
      <c r="A142" s="220" t="inlineStr">
        <is>
          <t>Наггетсы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220" t="n"/>
      <c r="Y142" s="220" t="n"/>
    </row>
    <row r="143" ht="27" customHeight="1">
      <c r="A143" s="64" t="inlineStr">
        <is>
          <t>SU002644</t>
        </is>
      </c>
      <c r="B143" s="64" t="inlineStr">
        <is>
          <t>P003016</t>
        </is>
      </c>
      <c r="C143" s="37" t="n">
        <v>4301132052</v>
      </c>
      <c r="D143" s="221" t="n">
        <v>4607111036872</v>
      </c>
      <c r="E143" s="331" t="n"/>
      <c r="F143" s="363" t="n">
        <v>1</v>
      </c>
      <c r="G143" s="38" t="n">
        <v>6</v>
      </c>
      <c r="H143" s="363" t="n">
        <v>6</v>
      </c>
      <c r="I143" s="363" t="n">
        <v>6.26</v>
      </c>
      <c r="J143" s="38" t="n">
        <v>84</v>
      </c>
      <c r="K143" s="39" t="inlineStr">
        <is>
          <t>МГ</t>
        </is>
      </c>
      <c r="L143" s="38" t="n">
        <v>180</v>
      </c>
      <c r="M143" s="419" t="inlineStr">
        <is>
          <t>Наггетсы Хрустящие No Name Весовые No Name 6 кг ТОП-ЛКК, дистр</t>
        </is>
      </c>
      <c r="N143" s="365" t="n"/>
      <c r="O143" s="365" t="n"/>
      <c r="P143" s="365" t="n"/>
      <c r="Q143" s="331" t="n"/>
      <c r="R143" s="40" t="inlineStr"/>
      <c r="S143" s="40" t="inlineStr"/>
      <c r="T143" s="41" t="inlineStr">
        <is>
          <t>кор</t>
        </is>
      </c>
      <c r="U143" s="366" t="n">
        <v>42</v>
      </c>
      <c r="V143" s="367">
        <f>IFERROR(IF(U143="","",U143),"")</f>
        <v/>
      </c>
      <c r="W143" s="42">
        <f>IFERROR(IF(U143="","",U143*0.0155),"")</f>
        <v/>
      </c>
      <c r="X143" s="69" t="inlineStr"/>
      <c r="Y143" s="70" t="inlineStr"/>
      <c r="AC143" s="123" t="inlineStr">
        <is>
          <t>ПГП</t>
        </is>
      </c>
    </row>
    <row r="144">
      <c r="A144" s="229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8" t="n"/>
      <c r="M144" s="369" t="inlineStr">
        <is>
          <t>Итого</t>
        </is>
      </c>
      <c r="N144" s="339" t="n"/>
      <c r="O144" s="339" t="n"/>
      <c r="P144" s="339" t="n"/>
      <c r="Q144" s="339" t="n"/>
      <c r="R144" s="339" t="n"/>
      <c r="S144" s="340" t="n"/>
      <c r="T144" s="43" t="inlineStr">
        <is>
          <t>кор</t>
        </is>
      </c>
      <c r="U144" s="370">
        <f>IFERROR(SUM(U143:U143),"0")</f>
        <v/>
      </c>
      <c r="V144" s="370">
        <f>IFERROR(SUM(V143:V143),"0")</f>
        <v/>
      </c>
      <c r="W144" s="370">
        <f>IFERROR(IF(W143="",0,W143),"0")</f>
        <v/>
      </c>
      <c r="X144" s="371" t="n"/>
      <c r="Y144" s="37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68" t="n"/>
      <c r="M145" s="369" t="inlineStr">
        <is>
          <t>Итого</t>
        </is>
      </c>
      <c r="N145" s="339" t="n"/>
      <c r="O145" s="339" t="n"/>
      <c r="P145" s="339" t="n"/>
      <c r="Q145" s="339" t="n"/>
      <c r="R145" s="339" t="n"/>
      <c r="S145" s="340" t="n"/>
      <c r="T145" s="43" t="inlineStr">
        <is>
          <t>кг</t>
        </is>
      </c>
      <c r="U145" s="370">
        <f>IFERROR(SUMPRODUCT(U143:U143*H143:H143),"0")</f>
        <v/>
      </c>
      <c r="V145" s="370">
        <f>IFERROR(SUMPRODUCT(V143:V143*H143:H143),"0")</f>
        <v/>
      </c>
      <c r="W145" s="43" t="n"/>
      <c r="X145" s="371" t="n"/>
      <c r="Y145" s="371" t="n"/>
    </row>
    <row r="146" ht="14.25" customHeight="1">
      <c r="A146" s="220" t="inlineStr">
        <is>
          <t>Чебуреки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220" t="n"/>
      <c r="Y146" s="220" t="n"/>
    </row>
    <row r="147" ht="27" customHeight="1">
      <c r="A147" s="64" t="inlineStr">
        <is>
          <t>SU002406</t>
        </is>
      </c>
      <c r="B147" s="64" t="inlineStr">
        <is>
          <t>P002685</t>
        </is>
      </c>
      <c r="C147" s="37" t="n">
        <v>4301136008</v>
      </c>
      <c r="D147" s="221" t="n">
        <v>4607111036438</v>
      </c>
      <c r="E147" s="331" t="n"/>
      <c r="F147" s="363" t="n">
        <v>2.7</v>
      </c>
      <c r="G147" s="38" t="n">
        <v>1</v>
      </c>
      <c r="H147" s="363" t="n">
        <v>2.7</v>
      </c>
      <c r="I147" s="363" t="n">
        <v>2.8906</v>
      </c>
      <c r="J147" s="38" t="n">
        <v>126</v>
      </c>
      <c r="K147" s="39" t="inlineStr">
        <is>
          <t>МГ</t>
        </is>
      </c>
      <c r="L147" s="38" t="n">
        <v>180</v>
      </c>
      <c r="M147" s="420">
        <f>HYPERLINK("https://abi.ru/products/Замороженные/No Name/No Name ПГП/Чебуреки/P002685/","Чебуреки Мясные No name Весовые No name 2,7 кг")</f>
        <v/>
      </c>
      <c r="N147" s="365" t="n"/>
      <c r="O147" s="365" t="n"/>
      <c r="P147" s="365" t="n"/>
      <c r="Q147" s="331" t="n"/>
      <c r="R147" s="40" t="inlineStr"/>
      <c r="S147" s="40" t="inlineStr"/>
      <c r="T147" s="41" t="inlineStr">
        <is>
          <t>кор</t>
        </is>
      </c>
      <c r="U147" s="366" t="n">
        <v>0</v>
      </c>
      <c r="V147" s="367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124" t="inlineStr">
        <is>
          <t>ПГП</t>
        </is>
      </c>
    </row>
    <row r="148" ht="37.5" customHeight="1">
      <c r="A148" s="64" t="inlineStr">
        <is>
          <t>SU002407</t>
        </is>
      </c>
      <c r="B148" s="64" t="inlineStr">
        <is>
          <t>P002684</t>
        </is>
      </c>
      <c r="C148" s="37" t="n">
        <v>4301136007</v>
      </c>
      <c r="D148" s="221" t="n">
        <v>4607111036636</v>
      </c>
      <c r="E148" s="331" t="n"/>
      <c r="F148" s="363" t="n">
        <v>2.7</v>
      </c>
      <c r="G148" s="38" t="n">
        <v>1</v>
      </c>
      <c r="H148" s="363" t="n">
        <v>2.7</v>
      </c>
      <c r="I148" s="363" t="n">
        <v>2.892</v>
      </c>
      <c r="J148" s="38" t="n">
        <v>126</v>
      </c>
      <c r="K148" s="39" t="inlineStr">
        <is>
          <t>МГ</t>
        </is>
      </c>
      <c r="L148" s="38" t="n">
        <v>180</v>
      </c>
      <c r="M148" s="421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8" s="365" t="n"/>
      <c r="O148" s="365" t="n"/>
      <c r="P148" s="365" t="n"/>
      <c r="Q148" s="331" t="n"/>
      <c r="R148" s="40" t="inlineStr"/>
      <c r="S148" s="40" t="inlineStr"/>
      <c r="T148" s="41" t="inlineStr">
        <is>
          <t>кор</t>
        </is>
      </c>
      <c r="U148" s="366" t="n">
        <v>0</v>
      </c>
      <c r="V148" s="367">
        <f>IFERROR(IF(U148="","",U148),"")</f>
        <v/>
      </c>
      <c r="W148" s="42">
        <f>IFERROR(IF(U148="","",U148*0.00936),"")</f>
        <v/>
      </c>
      <c r="X148" s="69" t="inlineStr"/>
      <c r="Y148" s="70" t="inlineStr"/>
      <c r="AC148" s="125" t="inlineStr">
        <is>
          <t>ПГП</t>
        </is>
      </c>
    </row>
    <row r="149" ht="27" customHeight="1">
      <c r="A149" s="64" t="inlineStr">
        <is>
          <t>SU002045</t>
        </is>
      </c>
      <c r="B149" s="64" t="inlineStr">
        <is>
          <t>P002166</t>
        </is>
      </c>
      <c r="C149" s="37" t="n">
        <v>4301136001</v>
      </c>
      <c r="D149" s="221" t="n">
        <v>4607111035714</v>
      </c>
      <c r="E149" s="331" t="n"/>
      <c r="F149" s="363" t="n">
        <v>5</v>
      </c>
      <c r="G149" s="38" t="n">
        <v>1</v>
      </c>
      <c r="H149" s="363" t="n">
        <v>5</v>
      </c>
      <c r="I149" s="363" t="n">
        <v>5.235</v>
      </c>
      <c r="J149" s="38" t="n">
        <v>84</v>
      </c>
      <c r="K149" s="39" t="inlineStr">
        <is>
          <t>МГ</t>
        </is>
      </c>
      <c r="L149" s="38" t="n">
        <v>180</v>
      </c>
      <c r="M149" s="422">
        <f>HYPERLINK("https://abi.ru/products/Замороженные/No Name/No Name ПГП/Чебуреки/P002166/","Чебуреки Чебуреки Сочные No Name Весовые No name 5 кг дистр")</f>
        <v/>
      </c>
      <c r="N149" s="365" t="n"/>
      <c r="O149" s="365" t="n"/>
      <c r="P149" s="365" t="n"/>
      <c r="Q149" s="331" t="n"/>
      <c r="R149" s="40" t="inlineStr"/>
      <c r="S149" s="40" t="inlineStr"/>
      <c r="T149" s="41" t="inlineStr">
        <is>
          <t>кор</t>
        </is>
      </c>
      <c r="U149" s="366" t="n">
        <v>0</v>
      </c>
      <c r="V149" s="367">
        <f>IFERROR(IF(U149="","",U149),"")</f>
        <v/>
      </c>
      <c r="W149" s="42">
        <f>IFERROR(IF(U149="","",U149*0.0155),"")</f>
        <v/>
      </c>
      <c r="X149" s="69" t="inlineStr"/>
      <c r="Y149" s="70" t="inlineStr"/>
      <c r="AC149" s="126" t="inlineStr">
        <is>
          <t>ПГП</t>
        </is>
      </c>
    </row>
    <row r="150" ht="27" customHeight="1">
      <c r="A150" s="64" t="inlineStr">
        <is>
          <t>SU002976</t>
        </is>
      </c>
      <c r="B150" s="64" t="inlineStr">
        <is>
          <t>P003435</t>
        </is>
      </c>
      <c r="C150" s="37" t="n">
        <v>4301136025</v>
      </c>
      <c r="D150" s="221" t="n">
        <v>4607111038029</v>
      </c>
      <c r="E150" s="331" t="n"/>
      <c r="F150" s="363" t="n">
        <v>2.24</v>
      </c>
      <c r="G150" s="38" t="n">
        <v>1</v>
      </c>
      <c r="H150" s="363" t="n">
        <v>2.24</v>
      </c>
      <c r="I150" s="363" t="n">
        <v>2.432</v>
      </c>
      <c r="J150" s="38" t="n">
        <v>126</v>
      </c>
      <c r="K150" s="39" t="inlineStr">
        <is>
          <t>МГ</t>
        </is>
      </c>
      <c r="L150" s="38" t="n">
        <v>180</v>
      </c>
      <c r="M150" s="423" t="inlineStr">
        <is>
          <t>Чебуреки "Сочный мегачебурек" Весовой ТМ "No Name"</t>
        </is>
      </c>
      <c r="N150" s="365" t="n"/>
      <c r="O150" s="365" t="n"/>
      <c r="P150" s="365" t="n"/>
      <c r="Q150" s="331" t="n"/>
      <c r="R150" s="40" t="inlineStr"/>
      <c r="S150" s="40" t="inlineStr"/>
      <c r="T150" s="41" t="inlineStr">
        <is>
          <t>кор</t>
        </is>
      </c>
      <c r="U150" s="366" t="n">
        <v>0</v>
      </c>
      <c r="V150" s="367">
        <f>IFERROR(IF(U150="","",U150),"")</f>
        <v/>
      </c>
      <c r="W150" s="42">
        <f>IFERROR(IF(U150="","",U150*0.00936),"")</f>
        <v/>
      </c>
      <c r="X150" s="69" t="inlineStr"/>
      <c r="Y150" s="70" t="inlineStr"/>
      <c r="AC150" s="127" t="inlineStr">
        <is>
          <t>ПГП</t>
        </is>
      </c>
    </row>
    <row r="151">
      <c r="A151" s="229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8" t="n"/>
      <c r="M151" s="369" t="inlineStr">
        <is>
          <t>Итого</t>
        </is>
      </c>
      <c r="N151" s="339" t="n"/>
      <c r="O151" s="339" t="n"/>
      <c r="P151" s="339" t="n"/>
      <c r="Q151" s="339" t="n"/>
      <c r="R151" s="339" t="n"/>
      <c r="S151" s="340" t="n"/>
      <c r="T151" s="43" t="inlineStr">
        <is>
          <t>кор</t>
        </is>
      </c>
      <c r="U151" s="370">
        <f>IFERROR(SUM(U147:U150),"0")</f>
        <v/>
      </c>
      <c r="V151" s="370">
        <f>IFERROR(SUM(V147:V150),"0")</f>
        <v/>
      </c>
      <c r="W151" s="370">
        <f>IFERROR(IF(W147="",0,W147),"0")+IFERROR(IF(W148="",0,W148),"0")+IFERROR(IF(W149="",0,W149),"0")+IFERROR(IF(W150="",0,W150),"0")</f>
        <v/>
      </c>
      <c r="X151" s="371" t="n"/>
      <c r="Y151" s="37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368" t="n"/>
      <c r="M152" s="369" t="inlineStr">
        <is>
          <t>Итого</t>
        </is>
      </c>
      <c r="N152" s="339" t="n"/>
      <c r="O152" s="339" t="n"/>
      <c r="P152" s="339" t="n"/>
      <c r="Q152" s="339" t="n"/>
      <c r="R152" s="339" t="n"/>
      <c r="S152" s="340" t="n"/>
      <c r="T152" s="43" t="inlineStr">
        <is>
          <t>кг</t>
        </is>
      </c>
      <c r="U152" s="370">
        <f>IFERROR(SUMPRODUCT(U147:U150*H147:H150),"0")</f>
        <v/>
      </c>
      <c r="V152" s="370">
        <f>IFERROR(SUMPRODUCT(V147:V150*H147:H150),"0")</f>
        <v/>
      </c>
      <c r="W152" s="43" t="n"/>
      <c r="X152" s="371" t="n"/>
      <c r="Y152" s="371" t="n"/>
    </row>
    <row r="153" ht="14.25" customHeight="1">
      <c r="A153" s="220" t="inlineStr">
        <is>
          <t>Снеки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220" t="n"/>
      <c r="Y153" s="220" t="n"/>
    </row>
    <row r="154" ht="27" customHeight="1">
      <c r="A154" s="64" t="inlineStr">
        <is>
          <t>SU002772</t>
        </is>
      </c>
      <c r="B154" s="64" t="inlineStr">
        <is>
          <t>P003159</t>
        </is>
      </c>
      <c r="C154" s="37" t="n">
        <v>4301135156</v>
      </c>
      <c r="D154" s="221" t="n">
        <v>4607111037275</v>
      </c>
      <c r="E154" s="331" t="n"/>
      <c r="F154" s="363" t="n">
        <v>3</v>
      </c>
      <c r="G154" s="38" t="n">
        <v>1</v>
      </c>
      <c r="H154" s="363" t="n">
        <v>3</v>
      </c>
      <c r="I154" s="363" t="n">
        <v>3.192</v>
      </c>
      <c r="J154" s="38" t="n">
        <v>126</v>
      </c>
      <c r="K154" s="39" t="inlineStr">
        <is>
          <t>МГ</t>
        </is>
      </c>
      <c r="L154" s="38" t="n">
        <v>180</v>
      </c>
      <c r="M154" s="424">
        <f>HYPERLINK("https://abi.ru/products/Замороженные/No Name/No Name ПГП/Снеки/P003159/","Жар-боллы с курочкой и сыром No Name ПГП Весовой No Name")</f>
        <v/>
      </c>
      <c r="N154" s="365" t="n"/>
      <c r="O154" s="365" t="n"/>
      <c r="P154" s="365" t="n"/>
      <c r="Q154" s="331" t="n"/>
      <c r="R154" s="40" t="inlineStr"/>
      <c r="S154" s="40" t="inlineStr"/>
      <c r="T154" s="41" t="inlineStr">
        <is>
          <t>кор</t>
        </is>
      </c>
      <c r="U154" s="366" t="n">
        <v>40</v>
      </c>
      <c r="V154" s="367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128" t="inlineStr">
        <is>
          <t>ПГП</t>
        </is>
      </c>
    </row>
    <row r="155" ht="27" customHeight="1">
      <c r="A155" s="64" t="inlineStr">
        <is>
          <t>SU002953</t>
        </is>
      </c>
      <c r="B155" s="64" t="inlineStr">
        <is>
          <t>P003377</t>
        </is>
      </c>
      <c r="C155" s="37" t="n">
        <v>4301135179</v>
      </c>
      <c r="D155" s="221" t="n">
        <v>4607111037923</v>
      </c>
      <c r="E155" s="331" t="n"/>
      <c r="F155" s="363" t="n">
        <v>3.7</v>
      </c>
      <c r="G155" s="38" t="n">
        <v>1</v>
      </c>
      <c r="H155" s="363" t="n">
        <v>3.7</v>
      </c>
      <c r="I155" s="363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5" t="inlineStr">
        <is>
          <t>"Жар-ладушки с клубникой и вишней" Весовые ТМ "No name"</t>
        </is>
      </c>
      <c r="N155" s="365" t="n"/>
      <c r="O155" s="365" t="n"/>
      <c r="P155" s="365" t="n"/>
      <c r="Q155" s="331" t="n"/>
      <c r="R155" s="40" t="inlineStr"/>
      <c r="S155" s="40" t="inlineStr"/>
      <c r="T155" s="41" t="inlineStr">
        <is>
          <t>кор</t>
        </is>
      </c>
      <c r="U155" s="366" t="n">
        <v>0</v>
      </c>
      <c r="V155" s="36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129" t="inlineStr">
        <is>
          <t>ПГП</t>
        </is>
      </c>
    </row>
    <row r="156" ht="27" customHeight="1">
      <c r="A156" s="64" t="inlineStr">
        <is>
          <t>SU002441</t>
        </is>
      </c>
      <c r="B156" s="64" t="inlineStr">
        <is>
          <t>P002732</t>
        </is>
      </c>
      <c r="C156" s="37" t="n">
        <v>4301135085</v>
      </c>
      <c r="D156" s="221" t="n">
        <v>4607111037220</v>
      </c>
      <c r="E156" s="331" t="n"/>
      <c r="F156" s="363" t="n">
        <v>3.7</v>
      </c>
      <c r="G156" s="38" t="n">
        <v>1</v>
      </c>
      <c r="H156" s="363" t="n">
        <v>3.7</v>
      </c>
      <c r="I156" s="363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6">
        <f>HYPERLINK("https://abi.ru/products/Замороженные/No Name/No Name ПГП/Снеки/P002732/","Жар-ладушки с мясом No name ПГП Весовые No name  3,7 кг")</f>
        <v/>
      </c>
      <c r="N156" s="365" t="n"/>
      <c r="O156" s="365" t="n"/>
      <c r="P156" s="365" t="n"/>
      <c r="Q156" s="331" t="n"/>
      <c r="R156" s="40" t="inlineStr"/>
      <c r="S156" s="40" t="inlineStr"/>
      <c r="T156" s="41" t="inlineStr">
        <is>
          <t>кор</t>
        </is>
      </c>
      <c r="U156" s="366" t="n">
        <v>0</v>
      </c>
      <c r="V156" s="367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130" t="inlineStr">
        <is>
          <t>ПГП</t>
        </is>
      </c>
    </row>
    <row r="157" ht="37.5" customHeight="1">
      <c r="A157" s="64" t="inlineStr">
        <is>
          <t>SU002494</t>
        </is>
      </c>
      <c r="B157" s="64" t="inlineStr">
        <is>
          <t>P002789</t>
        </is>
      </c>
      <c r="C157" s="37" t="n">
        <v>4301135097</v>
      </c>
      <c r="D157" s="221" t="n">
        <v>4607111037206</v>
      </c>
      <c r="E157" s="331" t="n"/>
      <c r="F157" s="363" t="n">
        <v>3.7</v>
      </c>
      <c r="G157" s="38" t="n">
        <v>1</v>
      </c>
      <c r="H157" s="363" t="n">
        <v>3.7</v>
      </c>
      <c r="I157" s="363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7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7" s="365" t="n"/>
      <c r="O157" s="365" t="n"/>
      <c r="P157" s="365" t="n"/>
      <c r="Q157" s="331" t="n"/>
      <c r="R157" s="40" t="inlineStr"/>
      <c r="S157" s="40" t="inlineStr"/>
      <c r="T157" s="41" t="inlineStr">
        <is>
          <t>кор</t>
        </is>
      </c>
      <c r="U157" s="366" t="n">
        <v>16</v>
      </c>
      <c r="V157" s="367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131" t="inlineStr">
        <is>
          <t>ПГП</t>
        </is>
      </c>
    </row>
    <row r="158" ht="27" customHeight="1">
      <c r="A158" s="64" t="inlineStr">
        <is>
          <t>SU002484</t>
        </is>
      </c>
      <c r="B158" s="64" t="inlineStr">
        <is>
          <t>P002778</t>
        </is>
      </c>
      <c r="C158" s="37" t="n">
        <v>4301135091</v>
      </c>
      <c r="D158" s="221" t="n">
        <v>4607111037244</v>
      </c>
      <c r="E158" s="331" t="n"/>
      <c r="F158" s="363" t="n">
        <v>3.7</v>
      </c>
      <c r="G158" s="38" t="n">
        <v>1</v>
      </c>
      <c r="H158" s="363" t="n">
        <v>3.7</v>
      </c>
      <c r="I158" s="363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8">
        <f>HYPERLINK("https://abi.ru/products/Замороженные/No Name/No Name ПГП/Снеки/P002778/","Жар-ладушки с яблоком и грушей No name ПГП Весовые No name 3,7 кг")</f>
        <v/>
      </c>
      <c r="N158" s="365" t="n"/>
      <c r="O158" s="365" t="n"/>
      <c r="P158" s="365" t="n"/>
      <c r="Q158" s="331" t="n"/>
      <c r="R158" s="40" t="inlineStr"/>
      <c r="S158" s="40" t="inlineStr"/>
      <c r="T158" s="41" t="inlineStr">
        <is>
          <t>кор</t>
        </is>
      </c>
      <c r="U158" s="366" t="n">
        <v>0</v>
      </c>
      <c r="V158" s="367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132" t="inlineStr">
        <is>
          <t>ПГП</t>
        </is>
      </c>
    </row>
    <row r="159" ht="27" customHeight="1">
      <c r="A159" s="64" t="inlineStr">
        <is>
          <t>SU002442</t>
        </is>
      </c>
      <c r="B159" s="64" t="inlineStr">
        <is>
          <t>P002970</t>
        </is>
      </c>
      <c r="C159" s="37" t="n">
        <v>4301135128</v>
      </c>
      <c r="D159" s="221" t="n">
        <v>4607111036797</v>
      </c>
      <c r="E159" s="331" t="n"/>
      <c r="F159" s="363" t="n">
        <v>3.7</v>
      </c>
      <c r="G159" s="38" t="n">
        <v>1</v>
      </c>
      <c r="H159" s="363" t="n">
        <v>3.7</v>
      </c>
      <c r="I159" s="363" t="n">
        <v>3.892</v>
      </c>
      <c r="J159" s="38" t="n">
        <v>126</v>
      </c>
      <c r="K159" s="39" t="inlineStr">
        <is>
          <t>МГ</t>
        </is>
      </c>
      <c r="L159" s="38" t="n">
        <v>180</v>
      </c>
      <c r="M159" s="429">
        <f>HYPERLINK("https://abi.ru/products/Замороженные/No Name/No Name ПГП/Снеки/P002970/","Мини-сосиски в тесте Фрайпики No name Весовые No name 3,7 кг")</f>
        <v/>
      </c>
      <c r="N159" s="365" t="n"/>
      <c r="O159" s="365" t="n"/>
      <c r="P159" s="365" t="n"/>
      <c r="Q159" s="331" t="n"/>
      <c r="R159" s="40" t="inlineStr"/>
      <c r="S159" s="40" t="inlineStr"/>
      <c r="T159" s="41" t="inlineStr">
        <is>
          <t>кор</t>
        </is>
      </c>
      <c r="U159" s="366" t="n">
        <v>0</v>
      </c>
      <c r="V159" s="36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133" t="inlineStr">
        <is>
          <t>ПГП</t>
        </is>
      </c>
    </row>
    <row r="160" ht="27" customHeight="1">
      <c r="A160" s="64" t="inlineStr">
        <is>
          <t>SU002046</t>
        </is>
      </c>
      <c r="B160" s="64" t="inlineStr">
        <is>
          <t>P002167</t>
        </is>
      </c>
      <c r="C160" s="37" t="n">
        <v>4301135004</v>
      </c>
      <c r="D160" s="221" t="n">
        <v>4607111035707</v>
      </c>
      <c r="E160" s="331" t="n"/>
      <c r="F160" s="363" t="n">
        <v>5.5</v>
      </c>
      <c r="G160" s="38" t="n">
        <v>1</v>
      </c>
      <c r="H160" s="363" t="n">
        <v>5.5</v>
      </c>
      <c r="I160" s="363" t="n">
        <v>5.735</v>
      </c>
      <c r="J160" s="38" t="n">
        <v>84</v>
      </c>
      <c r="K160" s="39" t="inlineStr">
        <is>
          <t>МГ</t>
        </is>
      </c>
      <c r="L160" s="38" t="n">
        <v>180</v>
      </c>
      <c r="M160" s="430">
        <f>HYPERLINK("https://abi.ru/products/Замороженные/No Name/No Name ПГП/Снеки/P002167/","Снеки Жар-мени No Name Весовые No name 5,5 кг дистр")</f>
        <v/>
      </c>
      <c r="N160" s="365" t="n"/>
      <c r="O160" s="365" t="n"/>
      <c r="P160" s="365" t="n"/>
      <c r="Q160" s="331" t="n"/>
      <c r="R160" s="40" t="inlineStr"/>
      <c r="S160" s="40" t="inlineStr"/>
      <c r="T160" s="41" t="inlineStr">
        <is>
          <t>кор</t>
        </is>
      </c>
      <c r="U160" s="366" t="n">
        <v>0</v>
      </c>
      <c r="V160" s="367">
        <f>IFERROR(IF(U160="","",U160),"")</f>
        <v/>
      </c>
      <c r="W160" s="42">
        <f>IFERROR(IF(U160="","",U160*0.0155),"")</f>
        <v/>
      </c>
      <c r="X160" s="69" t="inlineStr"/>
      <c r="Y160" s="70" t="inlineStr"/>
      <c r="AC160" s="134" t="inlineStr">
        <is>
          <t>ПГП</t>
        </is>
      </c>
    </row>
    <row r="161" ht="37.5" customHeight="1">
      <c r="A161" s="64" t="inlineStr">
        <is>
          <t>SU002405</t>
        </is>
      </c>
      <c r="B161" s="64" t="inlineStr">
        <is>
          <t>P002964</t>
        </is>
      </c>
      <c r="C161" s="37" t="n">
        <v>4301135129</v>
      </c>
      <c r="D161" s="221" t="n">
        <v>4607111036841</v>
      </c>
      <c r="E161" s="331" t="n"/>
      <c r="F161" s="363" t="n">
        <v>3.5</v>
      </c>
      <c r="G161" s="38" t="n">
        <v>1</v>
      </c>
      <c r="H161" s="363" t="n">
        <v>3.5</v>
      </c>
      <c r="I161" s="363" t="n">
        <v>3.692</v>
      </c>
      <c r="J161" s="38" t="n">
        <v>126</v>
      </c>
      <c r="K161" s="39" t="inlineStr">
        <is>
          <t>МГ</t>
        </is>
      </c>
      <c r="L161" s="38" t="n">
        <v>180</v>
      </c>
      <c r="M161" s="431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1" s="365" t="n"/>
      <c r="O161" s="365" t="n"/>
      <c r="P161" s="365" t="n"/>
      <c r="Q161" s="331" t="n"/>
      <c r="R161" s="40" t="inlineStr"/>
      <c r="S161" s="40" t="inlineStr"/>
      <c r="T161" s="41" t="inlineStr">
        <is>
          <t>кор</t>
        </is>
      </c>
      <c r="U161" s="366" t="n">
        <v>0</v>
      </c>
      <c r="V161" s="36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135" t="inlineStr">
        <is>
          <t>ПГП</t>
        </is>
      </c>
    </row>
    <row r="162" ht="27" customHeight="1">
      <c r="A162" s="64" t="inlineStr">
        <is>
          <t>SU002889</t>
        </is>
      </c>
      <c r="B162" s="64" t="inlineStr">
        <is>
          <t>P003310</t>
        </is>
      </c>
      <c r="C162" s="37" t="n">
        <v>4301135177</v>
      </c>
      <c r="D162" s="221" t="n">
        <v>4607111037862</v>
      </c>
      <c r="E162" s="331" t="n"/>
      <c r="F162" s="363" t="n">
        <v>1.8</v>
      </c>
      <c r="G162" s="38" t="n">
        <v>1</v>
      </c>
      <c r="H162" s="363" t="n">
        <v>1.8</v>
      </c>
      <c r="I162" s="363" t="n">
        <v>1.912</v>
      </c>
      <c r="J162" s="38" t="n">
        <v>234</v>
      </c>
      <c r="K162" s="39" t="inlineStr">
        <is>
          <t>МГ</t>
        </is>
      </c>
      <c r="L162" s="38" t="n">
        <v>180</v>
      </c>
      <c r="M162" s="432" t="inlineStr">
        <is>
          <t>Мини-сосиски в тесте Фрайпики No name Весовые No name 1,8 кг</t>
        </is>
      </c>
      <c r="N162" s="365" t="n"/>
      <c r="O162" s="365" t="n"/>
      <c r="P162" s="365" t="n"/>
      <c r="Q162" s="331" t="n"/>
      <c r="R162" s="40" t="inlineStr"/>
      <c r="S162" s="40" t="inlineStr"/>
      <c r="T162" s="41" t="inlineStr">
        <is>
          <t>кор</t>
        </is>
      </c>
      <c r="U162" s="366" t="n">
        <v>0</v>
      </c>
      <c r="V162" s="367">
        <f>IFERROR(IF(U162="","",U162),"")</f>
        <v/>
      </c>
      <c r="W162" s="42">
        <f>IFERROR(IF(U162="","",U162*0.00502),"")</f>
        <v/>
      </c>
      <c r="X162" s="69" t="inlineStr"/>
      <c r="Y162" s="70" t="inlineStr"/>
      <c r="AC162" s="136" t="inlineStr">
        <is>
          <t>ПГП</t>
        </is>
      </c>
    </row>
    <row r="163" ht="27" customHeight="1">
      <c r="A163" s="64" t="inlineStr">
        <is>
          <t>SU002794</t>
        </is>
      </c>
      <c r="B163" s="64" t="inlineStr">
        <is>
          <t>P003192</t>
        </is>
      </c>
      <c r="C163" s="37" t="n">
        <v>4301135161</v>
      </c>
      <c r="D163" s="221" t="n">
        <v>4607111037305</v>
      </c>
      <c r="E163" s="331" t="n"/>
      <c r="F163" s="363" t="n">
        <v>3</v>
      </c>
      <c r="G163" s="38" t="n">
        <v>1</v>
      </c>
      <c r="H163" s="363" t="n">
        <v>3</v>
      </c>
      <c r="I163" s="363" t="n">
        <v>3.192</v>
      </c>
      <c r="J163" s="38" t="n">
        <v>126</v>
      </c>
      <c r="K163" s="39" t="inlineStr">
        <is>
          <t>МГ</t>
        </is>
      </c>
      <c r="L163" s="38" t="n">
        <v>180</v>
      </c>
      <c r="M163" s="433" t="inlineStr">
        <is>
          <t>Снеки "Фрай-пицца с ветчиной и грибами" Весовые ТМ "No name" 3 кг</t>
        </is>
      </c>
      <c r="N163" s="365" t="n"/>
      <c r="O163" s="365" t="n"/>
      <c r="P163" s="365" t="n"/>
      <c r="Q163" s="331" t="n"/>
      <c r="R163" s="40" t="inlineStr"/>
      <c r="S163" s="40" t="inlineStr"/>
      <c r="T163" s="41" t="inlineStr">
        <is>
          <t>кор</t>
        </is>
      </c>
      <c r="U163" s="366" t="n">
        <v>0</v>
      </c>
      <c r="V163" s="36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137" t="inlineStr">
        <is>
          <t>ПГП</t>
        </is>
      </c>
    </row>
    <row r="164">
      <c r="A164" s="229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8" t="n"/>
      <c r="M164" s="369" t="inlineStr">
        <is>
          <t>Итого</t>
        </is>
      </c>
      <c r="N164" s="339" t="n"/>
      <c r="O164" s="339" t="n"/>
      <c r="P164" s="339" t="n"/>
      <c r="Q164" s="339" t="n"/>
      <c r="R164" s="339" t="n"/>
      <c r="S164" s="340" t="n"/>
      <c r="T164" s="43" t="inlineStr">
        <is>
          <t>кор</t>
        </is>
      </c>
      <c r="U164" s="370">
        <f>IFERROR(SUM(U154:U163),"0")</f>
        <v/>
      </c>
      <c r="V164" s="370">
        <f>IFERROR(SUM(V154:V163),"0")</f>
        <v/>
      </c>
      <c r="W164" s="370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/>
      </c>
      <c r="X164" s="371" t="n"/>
      <c r="Y164" s="37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368" t="n"/>
      <c r="M165" s="369" t="inlineStr">
        <is>
          <t>Итого</t>
        </is>
      </c>
      <c r="N165" s="339" t="n"/>
      <c r="O165" s="339" t="n"/>
      <c r="P165" s="339" t="n"/>
      <c r="Q165" s="339" t="n"/>
      <c r="R165" s="339" t="n"/>
      <c r="S165" s="340" t="n"/>
      <c r="T165" s="43" t="inlineStr">
        <is>
          <t>кг</t>
        </is>
      </c>
      <c r="U165" s="370">
        <f>IFERROR(SUMPRODUCT(U154:U163*H154:H163),"0")</f>
        <v/>
      </c>
      <c r="V165" s="370">
        <f>IFERROR(SUMPRODUCT(V154:V163*H154:H163),"0")</f>
        <v/>
      </c>
      <c r="W165" s="43" t="n"/>
      <c r="X165" s="371" t="n"/>
      <c r="Y165" s="371" t="n"/>
    </row>
    <row r="166" ht="16.5" customHeight="1">
      <c r="A166" s="219" t="inlineStr">
        <is>
          <t>Стародворье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219" t="n"/>
      <c r="Y166" s="219" t="n"/>
    </row>
    <row r="167" ht="14.25" customHeight="1">
      <c r="A167" s="220" t="inlineStr">
        <is>
          <t>Пельмени ПГП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220" t="n"/>
      <c r="Y167" s="220" t="n"/>
    </row>
    <row r="168" ht="16.5" customHeight="1">
      <c r="A168" s="64" t="inlineStr">
        <is>
          <t>SU002891</t>
        </is>
      </c>
      <c r="B168" s="64" t="inlineStr">
        <is>
          <t>P003301</t>
        </is>
      </c>
      <c r="C168" s="37" t="n">
        <v>4301071010</v>
      </c>
      <c r="D168" s="221" t="n">
        <v>4607111037701</v>
      </c>
      <c r="E168" s="331" t="n"/>
      <c r="F168" s="363" t="n">
        <v>5</v>
      </c>
      <c r="G168" s="38" t="n">
        <v>1</v>
      </c>
      <c r="H168" s="363" t="n">
        <v>5</v>
      </c>
      <c r="I168" s="363" t="n">
        <v>5.2</v>
      </c>
      <c r="J168" s="38" t="n">
        <v>144</v>
      </c>
      <c r="K168" s="39" t="inlineStr">
        <is>
          <t>МГ</t>
        </is>
      </c>
      <c r="L168" s="38" t="n">
        <v>180</v>
      </c>
      <c r="M168" s="434" t="inlineStr">
        <is>
          <t>Пельмени "Быстромени" Весовой ТМ "No Name" 5</t>
        </is>
      </c>
      <c r="N168" s="365" t="n"/>
      <c r="O168" s="365" t="n"/>
      <c r="P168" s="365" t="n"/>
      <c r="Q168" s="331" t="n"/>
      <c r="R168" s="40" t="inlineStr"/>
      <c r="S168" s="40" t="inlineStr"/>
      <c r="T168" s="41" t="inlineStr">
        <is>
          <t>кор</t>
        </is>
      </c>
      <c r="U168" s="366" t="n">
        <v>0</v>
      </c>
      <c r="V168" s="367">
        <f>IFERROR(IF(U168="","",U168),"")</f>
        <v/>
      </c>
      <c r="W168" s="42">
        <f>IFERROR(IF(U168="","",U168*0.00866),"")</f>
        <v/>
      </c>
      <c r="X168" s="69" t="inlineStr"/>
      <c r="Y168" s="70" t="inlineStr"/>
      <c r="AC168" s="138" t="inlineStr">
        <is>
          <t>ПГП</t>
        </is>
      </c>
    </row>
    <row r="169">
      <c r="A169" s="229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8" t="n"/>
      <c r="M169" s="369" t="inlineStr">
        <is>
          <t>Итого</t>
        </is>
      </c>
      <c r="N169" s="339" t="n"/>
      <c r="O169" s="339" t="n"/>
      <c r="P169" s="339" t="n"/>
      <c r="Q169" s="339" t="n"/>
      <c r="R169" s="339" t="n"/>
      <c r="S169" s="340" t="n"/>
      <c r="T169" s="43" t="inlineStr">
        <is>
          <t>кор</t>
        </is>
      </c>
      <c r="U169" s="370">
        <f>IFERROR(SUM(U168:U168),"0")</f>
        <v/>
      </c>
      <c r="V169" s="370">
        <f>IFERROR(SUM(V168:V168),"0")</f>
        <v/>
      </c>
      <c r="W169" s="370">
        <f>IFERROR(IF(W168="",0,W168),"0")</f>
        <v/>
      </c>
      <c r="X169" s="371" t="n"/>
      <c r="Y169" s="37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68" t="n"/>
      <c r="M170" s="369" t="inlineStr">
        <is>
          <t>Итого</t>
        </is>
      </c>
      <c r="N170" s="339" t="n"/>
      <c r="O170" s="339" t="n"/>
      <c r="P170" s="339" t="n"/>
      <c r="Q170" s="339" t="n"/>
      <c r="R170" s="339" t="n"/>
      <c r="S170" s="340" t="n"/>
      <c r="T170" s="43" t="inlineStr">
        <is>
          <t>кг</t>
        </is>
      </c>
      <c r="U170" s="370">
        <f>IFERROR(SUMPRODUCT(U168:U168*H168:H168),"0")</f>
        <v/>
      </c>
      <c r="V170" s="370">
        <f>IFERROR(SUMPRODUCT(V168:V168*H168:H168),"0")</f>
        <v/>
      </c>
      <c r="W170" s="43" t="n"/>
      <c r="X170" s="371" t="n"/>
      <c r="Y170" s="371" t="n"/>
    </row>
    <row r="171" ht="16.5" customHeight="1">
      <c r="A171" s="219" t="inlineStr">
        <is>
          <t>No Name ЗПФ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219" t="n"/>
      <c r="Y171" s="219" t="n"/>
    </row>
    <row r="172" ht="14.25" customHeight="1">
      <c r="A172" s="220" t="inlineStr">
        <is>
          <t>Пельмени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220" t="n"/>
      <c r="Y172" s="220" t="n"/>
    </row>
    <row r="173" ht="16.5" customHeight="1">
      <c r="A173" s="64" t="inlineStr">
        <is>
          <t>SU002396</t>
        </is>
      </c>
      <c r="B173" s="64" t="inlineStr">
        <is>
          <t>P002689</t>
        </is>
      </c>
      <c r="C173" s="37" t="n">
        <v>4301070871</v>
      </c>
      <c r="D173" s="221" t="n">
        <v>4607111036384</v>
      </c>
      <c r="E173" s="331" t="n"/>
      <c r="F173" s="363" t="n">
        <v>1</v>
      </c>
      <c r="G173" s="38" t="n">
        <v>5</v>
      </c>
      <c r="H173" s="363" t="n">
        <v>5</v>
      </c>
      <c r="I173" s="363" t="n">
        <v>5.253</v>
      </c>
      <c r="J173" s="38" t="n">
        <v>144</v>
      </c>
      <c r="K173" s="39" t="inlineStr">
        <is>
          <t>МГ</t>
        </is>
      </c>
      <c r="L173" s="38" t="n">
        <v>90</v>
      </c>
      <c r="M173" s="435">
        <f>HYPERLINK("https://abi.ru/products/Замороженные/No Name/No Name ЗПФ/Пельмени/P002689/","Пельмени Зареченские No name Весовые Сфера No name 5 кг")</f>
        <v/>
      </c>
      <c r="N173" s="365" t="n"/>
      <c r="O173" s="365" t="n"/>
      <c r="P173" s="365" t="n"/>
      <c r="Q173" s="331" t="n"/>
      <c r="R173" s="40" t="inlineStr"/>
      <c r="S173" s="40" t="inlineStr"/>
      <c r="T173" s="41" t="inlineStr">
        <is>
          <t>кор</t>
        </is>
      </c>
      <c r="U173" s="366" t="n">
        <v>0</v>
      </c>
      <c r="V173" s="36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139" t="inlineStr">
        <is>
          <t>ЗПФ</t>
        </is>
      </c>
    </row>
    <row r="174" ht="27" customHeight="1">
      <c r="A174" s="64" t="inlineStr">
        <is>
          <t>SU002314</t>
        </is>
      </c>
      <c r="B174" s="64" t="inlineStr">
        <is>
          <t>P002579</t>
        </is>
      </c>
      <c r="C174" s="37" t="n">
        <v>4301070858</v>
      </c>
      <c r="D174" s="221" t="n">
        <v>4607111036193</v>
      </c>
      <c r="E174" s="331" t="n"/>
      <c r="F174" s="363" t="n">
        <v>1</v>
      </c>
      <c r="G174" s="38" t="n">
        <v>5</v>
      </c>
      <c r="H174" s="363" t="n">
        <v>5</v>
      </c>
      <c r="I174" s="363" t="n">
        <v>5.275</v>
      </c>
      <c r="J174" s="38" t="n">
        <v>144</v>
      </c>
      <c r="K174" s="39" t="inlineStr">
        <is>
          <t>МГ</t>
        </is>
      </c>
      <c r="L174" s="38" t="n">
        <v>90</v>
      </c>
      <c r="M174" s="436">
        <f>HYPERLINK("https://abi.ru/products/Замороженные/No Name/No Name ЗПФ/Пельмени/P002579/","Пельмени Классические No name Весовые Хинкали No name 5 кг")</f>
        <v/>
      </c>
      <c r="N174" s="365" t="n"/>
      <c r="O174" s="365" t="n"/>
      <c r="P174" s="365" t="n"/>
      <c r="Q174" s="331" t="n"/>
      <c r="R174" s="40" t="inlineStr"/>
      <c r="S174" s="40" t="inlineStr"/>
      <c r="T174" s="41" t="inlineStr">
        <is>
          <t>кор</t>
        </is>
      </c>
      <c r="U174" s="366" t="n">
        <v>0</v>
      </c>
      <c r="V174" s="367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140" t="inlineStr">
        <is>
          <t>ЗПФ</t>
        </is>
      </c>
    </row>
    <row r="175" ht="27" customHeight="1">
      <c r="A175" s="64" t="inlineStr">
        <is>
          <t>SU000197</t>
        </is>
      </c>
      <c r="B175" s="64" t="inlineStr">
        <is>
          <t>P002413</t>
        </is>
      </c>
      <c r="C175" s="37" t="n">
        <v>4301070827</v>
      </c>
      <c r="D175" s="221" t="n">
        <v>4607111036216</v>
      </c>
      <c r="E175" s="331" t="n"/>
      <c r="F175" s="363" t="n">
        <v>1</v>
      </c>
      <c r="G175" s="38" t="n">
        <v>5</v>
      </c>
      <c r="H175" s="363" t="n">
        <v>5</v>
      </c>
      <c r="I175" s="363" t="n">
        <v>5.266</v>
      </c>
      <c r="J175" s="38" t="n">
        <v>144</v>
      </c>
      <c r="K175" s="39" t="inlineStr">
        <is>
          <t>МГ</t>
        </is>
      </c>
      <c r="L175" s="38" t="n">
        <v>90</v>
      </c>
      <c r="M175" s="43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5" s="365" t="n"/>
      <c r="O175" s="365" t="n"/>
      <c r="P175" s="365" t="n"/>
      <c r="Q175" s="331" t="n"/>
      <c r="R175" s="40" t="inlineStr"/>
      <c r="S175" s="40" t="inlineStr"/>
      <c r="T175" s="41" t="inlineStr">
        <is>
          <t>кор</t>
        </is>
      </c>
      <c r="U175" s="366" t="n">
        <v>0</v>
      </c>
      <c r="V175" s="367">
        <f>IFERROR(IF(U175="","",U175),"")</f>
        <v/>
      </c>
      <c r="W175" s="42">
        <f>IFERROR(IF(U175="","",U175*0.00866),"")</f>
        <v/>
      </c>
      <c r="X175" s="69" t="inlineStr"/>
      <c r="Y175" s="70" t="inlineStr"/>
      <c r="AC175" s="141" t="inlineStr">
        <is>
          <t>ЗПФ</t>
        </is>
      </c>
    </row>
    <row r="176" ht="27" customHeight="1">
      <c r="A176" s="64" t="inlineStr">
        <is>
          <t>SU002335</t>
        </is>
      </c>
      <c r="B176" s="64" t="inlineStr">
        <is>
          <t>P002980</t>
        </is>
      </c>
      <c r="C176" s="37" t="n">
        <v>4301070911</v>
      </c>
      <c r="D176" s="221" t="n">
        <v>4607111036278</v>
      </c>
      <c r="E176" s="331" t="n"/>
      <c r="F176" s="363" t="n">
        <v>1</v>
      </c>
      <c r="G176" s="38" t="n">
        <v>5</v>
      </c>
      <c r="H176" s="363" t="n">
        <v>5</v>
      </c>
      <c r="I176" s="363" t="n">
        <v>5.283</v>
      </c>
      <c r="J176" s="38" t="n">
        <v>84</v>
      </c>
      <c r="K176" s="39" t="inlineStr">
        <is>
          <t>МГ</t>
        </is>
      </c>
      <c r="L176" s="38" t="n">
        <v>120</v>
      </c>
      <c r="M176" s="438">
        <f>HYPERLINK("https://abi.ru/products/Замороженные/No Name/No Name ЗПФ/Пельмени/P002980/","Пельмени Умелый повар No name Весовые Равиоли No name 5 кг")</f>
        <v/>
      </c>
      <c r="N176" s="365" t="n"/>
      <c r="O176" s="365" t="n"/>
      <c r="P176" s="365" t="n"/>
      <c r="Q176" s="331" t="n"/>
      <c r="R176" s="40" t="inlineStr"/>
      <c r="S176" s="40" t="inlineStr"/>
      <c r="T176" s="41" t="inlineStr">
        <is>
          <t>кор</t>
        </is>
      </c>
      <c r="U176" s="366" t="n">
        <v>0</v>
      </c>
      <c r="V176" s="367">
        <f>IFERROR(IF(U176="","",U176),"")</f>
        <v/>
      </c>
      <c r="W176" s="42">
        <f>IFERROR(IF(U176="","",U176*0.0155),"")</f>
        <v/>
      </c>
      <c r="X176" s="69" t="inlineStr"/>
      <c r="Y176" s="70" t="inlineStr"/>
      <c r="AC176" s="142" t="inlineStr">
        <is>
          <t>ЗПФ</t>
        </is>
      </c>
    </row>
    <row r="177">
      <c r="A177" s="229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8" t="n"/>
      <c r="M177" s="369" t="inlineStr">
        <is>
          <t>Итого</t>
        </is>
      </c>
      <c r="N177" s="339" t="n"/>
      <c r="O177" s="339" t="n"/>
      <c r="P177" s="339" t="n"/>
      <c r="Q177" s="339" t="n"/>
      <c r="R177" s="339" t="n"/>
      <c r="S177" s="340" t="n"/>
      <c r="T177" s="43" t="inlineStr">
        <is>
          <t>кор</t>
        </is>
      </c>
      <c r="U177" s="370">
        <f>IFERROR(SUM(U173:U176),"0")</f>
        <v/>
      </c>
      <c r="V177" s="370">
        <f>IFERROR(SUM(V173:V176),"0")</f>
        <v/>
      </c>
      <c r="W177" s="370">
        <f>IFERROR(IF(W173="",0,W173),"0")+IFERROR(IF(W174="",0,W174),"0")+IFERROR(IF(W175="",0,W175),"0")+IFERROR(IF(W176="",0,W176),"0")</f>
        <v/>
      </c>
      <c r="X177" s="371" t="n"/>
      <c r="Y177" s="37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368" t="n"/>
      <c r="M178" s="369" t="inlineStr">
        <is>
          <t>Итого</t>
        </is>
      </c>
      <c r="N178" s="339" t="n"/>
      <c r="O178" s="339" t="n"/>
      <c r="P178" s="339" t="n"/>
      <c r="Q178" s="339" t="n"/>
      <c r="R178" s="339" t="n"/>
      <c r="S178" s="340" t="n"/>
      <c r="T178" s="43" t="inlineStr">
        <is>
          <t>кг</t>
        </is>
      </c>
      <c r="U178" s="370">
        <f>IFERROR(SUMPRODUCT(U173:U176*H173:H176),"0")</f>
        <v/>
      </c>
      <c r="V178" s="370">
        <f>IFERROR(SUMPRODUCT(V173:V176*H173:H176),"0")</f>
        <v/>
      </c>
      <c r="W178" s="43" t="n"/>
      <c r="X178" s="371" t="n"/>
      <c r="Y178" s="371" t="n"/>
    </row>
    <row r="179" ht="14.25" customHeight="1">
      <c r="A179" s="220" t="inlineStr">
        <is>
          <t>Вареники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220" t="n"/>
      <c r="Y179" s="220" t="n"/>
    </row>
    <row r="180" ht="27" customHeight="1">
      <c r="A180" s="64" t="inlineStr">
        <is>
          <t>SU002532</t>
        </is>
      </c>
      <c r="B180" s="64" t="inlineStr">
        <is>
          <t>P002958</t>
        </is>
      </c>
      <c r="C180" s="37" t="n">
        <v>4301080153</v>
      </c>
      <c r="D180" s="221" t="n">
        <v>4607111036827</v>
      </c>
      <c r="E180" s="331" t="n"/>
      <c r="F180" s="363" t="n">
        <v>1</v>
      </c>
      <c r="G180" s="38" t="n">
        <v>5</v>
      </c>
      <c r="H180" s="363" t="n">
        <v>5</v>
      </c>
      <c r="I180" s="363" t="n">
        <v>5.2</v>
      </c>
      <c r="J180" s="38" t="n">
        <v>144</v>
      </c>
      <c r="K180" s="39" t="inlineStr">
        <is>
          <t>МГ</t>
        </is>
      </c>
      <c r="L180" s="38" t="n">
        <v>90</v>
      </c>
      <c r="M180" s="43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0" s="365" t="n"/>
      <c r="O180" s="365" t="n"/>
      <c r="P180" s="365" t="n"/>
      <c r="Q180" s="331" t="n"/>
      <c r="R180" s="40" t="inlineStr"/>
      <c r="S180" s="40" t="inlineStr"/>
      <c r="T180" s="41" t="inlineStr">
        <is>
          <t>кор</t>
        </is>
      </c>
      <c r="U180" s="366" t="n">
        <v>0</v>
      </c>
      <c r="V180" s="36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143" t="inlineStr">
        <is>
          <t>ЗПФ</t>
        </is>
      </c>
    </row>
    <row r="181" ht="27" customHeight="1">
      <c r="A181" s="64" t="inlineStr">
        <is>
          <t>SU002483</t>
        </is>
      </c>
      <c r="B181" s="64" t="inlineStr">
        <is>
          <t>P002961</t>
        </is>
      </c>
      <c r="C181" s="37" t="n">
        <v>4301080154</v>
      </c>
      <c r="D181" s="221" t="n">
        <v>4607111036834</v>
      </c>
      <c r="E181" s="331" t="n"/>
      <c r="F181" s="363" t="n">
        <v>1</v>
      </c>
      <c r="G181" s="38" t="n">
        <v>5</v>
      </c>
      <c r="H181" s="363" t="n">
        <v>5</v>
      </c>
      <c r="I181" s="363" t="n">
        <v>5.253</v>
      </c>
      <c r="J181" s="38" t="n">
        <v>144</v>
      </c>
      <c r="K181" s="39" t="inlineStr">
        <is>
          <t>МГ</t>
        </is>
      </c>
      <c r="L181" s="38" t="n">
        <v>90</v>
      </c>
      <c r="M181" s="44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1" s="365" t="n"/>
      <c r="O181" s="365" t="n"/>
      <c r="P181" s="365" t="n"/>
      <c r="Q181" s="331" t="n"/>
      <c r="R181" s="40" t="inlineStr"/>
      <c r="S181" s="40" t="inlineStr"/>
      <c r="T181" s="41" t="inlineStr">
        <is>
          <t>кор</t>
        </is>
      </c>
      <c r="U181" s="366" t="n">
        <v>0</v>
      </c>
      <c r="V181" s="367">
        <f>IFERROR(IF(U181="","",U181),"")</f>
        <v/>
      </c>
      <c r="W181" s="42">
        <f>IFERROR(IF(U181="","",U181*0.00866),"")</f>
        <v/>
      </c>
      <c r="X181" s="69" t="inlineStr"/>
      <c r="Y181" s="70" t="inlineStr"/>
      <c r="AC181" s="144" t="inlineStr">
        <is>
          <t>ЗПФ</t>
        </is>
      </c>
    </row>
    <row r="182">
      <c r="A182" s="229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8" t="n"/>
      <c r="M182" s="369" t="inlineStr">
        <is>
          <t>Итого</t>
        </is>
      </c>
      <c r="N182" s="339" t="n"/>
      <c r="O182" s="339" t="n"/>
      <c r="P182" s="339" t="n"/>
      <c r="Q182" s="339" t="n"/>
      <c r="R182" s="339" t="n"/>
      <c r="S182" s="340" t="n"/>
      <c r="T182" s="43" t="inlineStr">
        <is>
          <t>кор</t>
        </is>
      </c>
      <c r="U182" s="370">
        <f>IFERROR(SUM(U180:U181),"0")</f>
        <v/>
      </c>
      <c r="V182" s="370">
        <f>IFERROR(SUM(V180:V181),"0")</f>
        <v/>
      </c>
      <c r="W182" s="370">
        <f>IFERROR(IF(W180="",0,W180),"0")+IFERROR(IF(W181="",0,W181),"0")</f>
        <v/>
      </c>
      <c r="X182" s="371" t="n"/>
      <c r="Y182" s="37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68" t="n"/>
      <c r="M183" s="369" t="inlineStr">
        <is>
          <t>Итого</t>
        </is>
      </c>
      <c r="N183" s="339" t="n"/>
      <c r="O183" s="339" t="n"/>
      <c r="P183" s="339" t="n"/>
      <c r="Q183" s="339" t="n"/>
      <c r="R183" s="339" t="n"/>
      <c r="S183" s="340" t="n"/>
      <c r="T183" s="43" t="inlineStr">
        <is>
          <t>кг</t>
        </is>
      </c>
      <c r="U183" s="370">
        <f>IFERROR(SUMPRODUCT(U180:U181*H180:H181),"0")</f>
        <v/>
      </c>
      <c r="V183" s="370">
        <f>IFERROR(SUMPRODUCT(V180:V181*H180:H181),"0")</f>
        <v/>
      </c>
      <c r="W183" s="43" t="n"/>
      <c r="X183" s="371" t="n"/>
      <c r="Y183" s="371" t="n"/>
    </row>
    <row r="184" ht="27.75" customHeight="1">
      <c r="A184" s="218" t="inlineStr">
        <is>
          <t>Вязанка</t>
        </is>
      </c>
      <c r="B184" s="362" t="n"/>
      <c r="C184" s="362" t="n"/>
      <c r="D184" s="362" t="n"/>
      <c r="E184" s="362" t="n"/>
      <c r="F184" s="362" t="n"/>
      <c r="G184" s="362" t="n"/>
      <c r="H184" s="362" t="n"/>
      <c r="I184" s="362" t="n"/>
      <c r="J184" s="362" t="n"/>
      <c r="K184" s="362" t="n"/>
      <c r="L184" s="362" t="n"/>
      <c r="M184" s="362" t="n"/>
      <c r="N184" s="362" t="n"/>
      <c r="O184" s="362" t="n"/>
      <c r="P184" s="362" t="n"/>
      <c r="Q184" s="362" t="n"/>
      <c r="R184" s="362" t="n"/>
      <c r="S184" s="362" t="n"/>
      <c r="T184" s="362" t="n"/>
      <c r="U184" s="362" t="n"/>
      <c r="V184" s="362" t="n"/>
      <c r="W184" s="362" t="n"/>
      <c r="X184" s="55" t="n"/>
      <c r="Y184" s="55" t="n"/>
    </row>
    <row r="185" ht="16.5" customHeight="1">
      <c r="A185" s="219" t="inlineStr">
        <is>
          <t>Няняггетсы Сливушки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219" t="n"/>
      <c r="Y185" s="219" t="n"/>
    </row>
    <row r="186" ht="14.25" customHeight="1">
      <c r="A186" s="220" t="inlineStr">
        <is>
          <t>Наггетсы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220" t="n"/>
      <c r="Y186" s="220" t="n"/>
    </row>
    <row r="187" ht="16.5" customHeight="1">
      <c r="A187" s="64" t="inlineStr">
        <is>
          <t>SU002516</t>
        </is>
      </c>
      <c r="B187" s="64" t="inlineStr">
        <is>
          <t>P002823</t>
        </is>
      </c>
      <c r="C187" s="37" t="n">
        <v>4301132048</v>
      </c>
      <c r="D187" s="221" t="n">
        <v>4607111035721</v>
      </c>
      <c r="E187" s="331" t="n"/>
      <c r="F187" s="363" t="n">
        <v>0.25</v>
      </c>
      <c r="G187" s="38" t="n">
        <v>12</v>
      </c>
      <c r="H187" s="363" t="n">
        <v>3</v>
      </c>
      <c r="I187" s="363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4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7" s="365" t="n"/>
      <c r="O187" s="365" t="n"/>
      <c r="P187" s="365" t="n"/>
      <c r="Q187" s="331" t="n"/>
      <c r="R187" s="40" t="inlineStr"/>
      <c r="S187" s="40" t="inlineStr"/>
      <c r="T187" s="41" t="inlineStr">
        <is>
          <t>кор</t>
        </is>
      </c>
      <c r="U187" s="366" t="n">
        <v>100</v>
      </c>
      <c r="V187" s="367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145" t="inlineStr">
        <is>
          <t>ПГП</t>
        </is>
      </c>
    </row>
    <row r="188" ht="27" customHeight="1">
      <c r="A188" s="64" t="inlineStr">
        <is>
          <t>SU002514</t>
        </is>
      </c>
      <c r="B188" s="64" t="inlineStr">
        <is>
          <t>P002820</t>
        </is>
      </c>
      <c r="C188" s="37" t="n">
        <v>4301132046</v>
      </c>
      <c r="D188" s="221" t="n">
        <v>4607111035691</v>
      </c>
      <c r="E188" s="331" t="n"/>
      <c r="F188" s="363" t="n">
        <v>0.25</v>
      </c>
      <c r="G188" s="38" t="n">
        <v>12</v>
      </c>
      <c r="H188" s="363" t="n">
        <v>3</v>
      </c>
      <c r="I188" s="363" t="n">
        <v>3.388</v>
      </c>
      <c r="J188" s="38" t="n">
        <v>70</v>
      </c>
      <c r="K188" s="39" t="inlineStr">
        <is>
          <t>МГ</t>
        </is>
      </c>
      <c r="L188" s="38" t="n">
        <v>180</v>
      </c>
      <c r="M188" s="44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8" s="365" t="n"/>
      <c r="O188" s="365" t="n"/>
      <c r="P188" s="365" t="n"/>
      <c r="Q188" s="331" t="n"/>
      <c r="R188" s="40" t="inlineStr"/>
      <c r="S188" s="40" t="inlineStr"/>
      <c r="T188" s="41" t="inlineStr">
        <is>
          <t>кор</t>
        </is>
      </c>
      <c r="U188" s="366" t="n">
        <v>100</v>
      </c>
      <c r="V188" s="367">
        <f>IFERROR(IF(U188="","",U188),"")</f>
        <v/>
      </c>
      <c r="W188" s="42">
        <f>IFERROR(IF(U188="","",U188*0.01788),"")</f>
        <v/>
      </c>
      <c r="X188" s="69" t="inlineStr"/>
      <c r="Y188" s="70" t="inlineStr"/>
      <c r="AC188" s="146" t="inlineStr">
        <is>
          <t>ПГП</t>
        </is>
      </c>
    </row>
    <row r="189">
      <c r="A189" s="229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8" t="n"/>
      <c r="M189" s="369" t="inlineStr">
        <is>
          <t>Итого</t>
        </is>
      </c>
      <c r="N189" s="339" t="n"/>
      <c r="O189" s="339" t="n"/>
      <c r="P189" s="339" t="n"/>
      <c r="Q189" s="339" t="n"/>
      <c r="R189" s="339" t="n"/>
      <c r="S189" s="340" t="n"/>
      <c r="T189" s="43" t="inlineStr">
        <is>
          <t>кор</t>
        </is>
      </c>
      <c r="U189" s="370">
        <f>IFERROR(SUM(U187:U188),"0")</f>
        <v/>
      </c>
      <c r="V189" s="370">
        <f>IFERROR(SUM(V187:V188),"0")</f>
        <v/>
      </c>
      <c r="W189" s="370">
        <f>IFERROR(IF(W187="",0,W187),"0")+IFERROR(IF(W188="",0,W188),"0")</f>
        <v/>
      </c>
      <c r="X189" s="371" t="n"/>
      <c r="Y189" s="37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368" t="n"/>
      <c r="M190" s="369" t="inlineStr">
        <is>
          <t>Итого</t>
        </is>
      </c>
      <c r="N190" s="339" t="n"/>
      <c r="O190" s="339" t="n"/>
      <c r="P190" s="339" t="n"/>
      <c r="Q190" s="339" t="n"/>
      <c r="R190" s="339" t="n"/>
      <c r="S190" s="340" t="n"/>
      <c r="T190" s="43" t="inlineStr">
        <is>
          <t>кг</t>
        </is>
      </c>
      <c r="U190" s="370">
        <f>IFERROR(SUMPRODUCT(U187:U188*H187:H188),"0")</f>
        <v/>
      </c>
      <c r="V190" s="370">
        <f>IFERROR(SUMPRODUCT(V187:V188*H187:H188),"0")</f>
        <v/>
      </c>
      <c r="W190" s="43" t="n"/>
      <c r="X190" s="371" t="n"/>
      <c r="Y190" s="371" t="n"/>
    </row>
    <row r="191" ht="16.5" customHeight="1">
      <c r="A191" s="219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219" t="n"/>
      <c r="Y191" s="219" t="n"/>
    </row>
    <row r="192" ht="14.25" customHeight="1">
      <c r="A192" s="220" t="inlineStr">
        <is>
          <t>Печеные пельмени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220" t="n"/>
      <c r="Y192" s="220" t="n"/>
    </row>
    <row r="193" ht="27" customHeight="1">
      <c r="A193" s="64" t="inlineStr">
        <is>
          <t>SU002225</t>
        </is>
      </c>
      <c r="B193" s="64" t="inlineStr">
        <is>
          <t>P002411</t>
        </is>
      </c>
      <c r="C193" s="37" t="n">
        <v>4301133002</v>
      </c>
      <c r="D193" s="221" t="n">
        <v>4607111035783</v>
      </c>
      <c r="E193" s="331" t="n"/>
      <c r="F193" s="363" t="n">
        <v>0.2</v>
      </c>
      <c r="G193" s="38" t="n">
        <v>8</v>
      </c>
      <c r="H193" s="363" t="n">
        <v>1.6</v>
      </c>
      <c r="I193" s="363" t="n">
        <v>2.12</v>
      </c>
      <c r="J193" s="38" t="n">
        <v>72</v>
      </c>
      <c r="K193" s="39" t="inlineStr">
        <is>
          <t>МГ</t>
        </is>
      </c>
      <c r="L193" s="38" t="n">
        <v>180</v>
      </c>
      <c r="M193" s="44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3" s="365" t="n"/>
      <c r="O193" s="365" t="n"/>
      <c r="P193" s="365" t="n"/>
      <c r="Q193" s="331" t="n"/>
      <c r="R193" s="40" t="inlineStr"/>
      <c r="S193" s="40" t="inlineStr"/>
      <c r="T193" s="41" t="inlineStr">
        <is>
          <t>кор</t>
        </is>
      </c>
      <c r="U193" s="366" t="n">
        <v>0</v>
      </c>
      <c r="V193" s="367">
        <f>IFERROR(IF(U193="","",U193),"")</f>
        <v/>
      </c>
      <c r="W193" s="42">
        <f>IFERROR(IF(U193="","",U193*0.01157),"")</f>
        <v/>
      </c>
      <c r="X193" s="69" t="inlineStr"/>
      <c r="Y193" s="70" t="inlineStr"/>
      <c r="AC193" s="147" t="inlineStr">
        <is>
          <t>ПГП</t>
        </is>
      </c>
    </row>
    <row r="194">
      <c r="A194" s="229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8" t="n"/>
      <c r="M194" s="369" t="inlineStr">
        <is>
          <t>Итого</t>
        </is>
      </c>
      <c r="N194" s="339" t="n"/>
      <c r="O194" s="339" t="n"/>
      <c r="P194" s="339" t="n"/>
      <c r="Q194" s="339" t="n"/>
      <c r="R194" s="339" t="n"/>
      <c r="S194" s="340" t="n"/>
      <c r="T194" s="43" t="inlineStr">
        <is>
          <t>кор</t>
        </is>
      </c>
      <c r="U194" s="370">
        <f>IFERROR(SUM(U193:U193),"0")</f>
        <v/>
      </c>
      <c r="V194" s="370">
        <f>IFERROR(SUM(V193:V193),"0")</f>
        <v/>
      </c>
      <c r="W194" s="370">
        <f>IFERROR(IF(W193="",0,W193),"0")</f>
        <v/>
      </c>
      <c r="X194" s="371" t="n"/>
      <c r="Y194" s="37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68" t="n"/>
      <c r="M195" s="369" t="inlineStr">
        <is>
          <t>Итого</t>
        </is>
      </c>
      <c r="N195" s="339" t="n"/>
      <c r="O195" s="339" t="n"/>
      <c r="P195" s="339" t="n"/>
      <c r="Q195" s="339" t="n"/>
      <c r="R195" s="339" t="n"/>
      <c r="S195" s="340" t="n"/>
      <c r="T195" s="43" t="inlineStr">
        <is>
          <t>кг</t>
        </is>
      </c>
      <c r="U195" s="370">
        <f>IFERROR(SUMPRODUCT(U193:U193*H193:H193),"0")</f>
        <v/>
      </c>
      <c r="V195" s="370">
        <f>IFERROR(SUMPRODUCT(V193:V193*H193:H193),"0")</f>
        <v/>
      </c>
      <c r="W195" s="43" t="n"/>
      <c r="X195" s="371" t="n"/>
      <c r="Y195" s="371" t="n"/>
    </row>
    <row r="196" ht="16.5" customHeight="1">
      <c r="A196" s="219" t="inlineStr">
        <is>
          <t>Вязанка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219" t="n"/>
      <c r="Y196" s="219" t="n"/>
    </row>
    <row r="197" ht="14.25" customHeight="1">
      <c r="A197" s="220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220" t="n"/>
      <c r="Y197" s="220" t="n"/>
    </row>
    <row r="198" ht="27" customHeight="1">
      <c r="A198" s="64" t="inlineStr">
        <is>
          <t>SU002677</t>
        </is>
      </c>
      <c r="B198" s="64" t="inlineStr">
        <is>
          <t>P003053</t>
        </is>
      </c>
      <c r="C198" s="37" t="n">
        <v>4301051319</v>
      </c>
      <c r="D198" s="221" t="n">
        <v>4680115881204</v>
      </c>
      <c r="E198" s="331" t="n"/>
      <c r="F198" s="363" t="n">
        <v>0.33</v>
      </c>
      <c r="G198" s="38" t="n">
        <v>6</v>
      </c>
      <c r="H198" s="363" t="n">
        <v>1.98</v>
      </c>
      <c r="I198" s="363" t="n">
        <v>2.246</v>
      </c>
      <c r="J198" s="38" t="n">
        <v>156</v>
      </c>
      <c r="K198" s="39" t="inlineStr">
        <is>
          <t>СК2</t>
        </is>
      </c>
      <c r="L198" s="38" t="n">
        <v>365</v>
      </c>
      <c r="M198" s="444" t="inlineStr">
        <is>
          <t>Сосиски "Сливушки #нежнушки" замороженные Фикс.вес 0,33 п/а ТМ "Вязанка"</t>
        </is>
      </c>
      <c r="N198" s="365" t="n"/>
      <c r="O198" s="365" t="n"/>
      <c r="P198" s="365" t="n"/>
      <c r="Q198" s="331" t="n"/>
      <c r="R198" s="40" t="inlineStr"/>
      <c r="S198" s="40" t="inlineStr"/>
      <c r="T198" s="41" t="inlineStr">
        <is>
          <t>кор</t>
        </is>
      </c>
      <c r="U198" s="366" t="n">
        <v>0</v>
      </c>
      <c r="V198" s="367">
        <f>IFERROR(IF(U198="","",U198),"")</f>
        <v/>
      </c>
      <c r="W198" s="42">
        <f>IFERROR(IF(U198="","",U198*0.00753),"")</f>
        <v/>
      </c>
      <c r="X198" s="69" t="inlineStr"/>
      <c r="Y198" s="70" t="inlineStr"/>
      <c r="AC198" s="148" t="inlineStr">
        <is>
          <t>КИЗ</t>
        </is>
      </c>
    </row>
    <row r="199">
      <c r="A199" s="229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8" t="n"/>
      <c r="M199" s="369" t="inlineStr">
        <is>
          <t>Итого</t>
        </is>
      </c>
      <c r="N199" s="339" t="n"/>
      <c r="O199" s="339" t="n"/>
      <c r="P199" s="339" t="n"/>
      <c r="Q199" s="339" t="n"/>
      <c r="R199" s="339" t="n"/>
      <c r="S199" s="340" t="n"/>
      <c r="T199" s="43" t="inlineStr">
        <is>
          <t>кор</t>
        </is>
      </c>
      <c r="U199" s="370">
        <f>IFERROR(SUM(U198:U198),"0")</f>
        <v/>
      </c>
      <c r="V199" s="370">
        <f>IFERROR(SUM(V198:V198),"0")</f>
        <v/>
      </c>
      <c r="W199" s="370">
        <f>IFERROR(IF(W198="",0,W198),"0")</f>
        <v/>
      </c>
      <c r="X199" s="371" t="n"/>
      <c r="Y199" s="37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68" t="n"/>
      <c r="M200" s="369" t="inlineStr">
        <is>
          <t>Итого</t>
        </is>
      </c>
      <c r="N200" s="339" t="n"/>
      <c r="O200" s="339" t="n"/>
      <c r="P200" s="339" t="n"/>
      <c r="Q200" s="339" t="n"/>
      <c r="R200" s="339" t="n"/>
      <c r="S200" s="340" t="n"/>
      <c r="T200" s="43" t="inlineStr">
        <is>
          <t>кг</t>
        </is>
      </c>
      <c r="U200" s="370">
        <f>IFERROR(SUMPRODUCT(U198:U198*H198:H198),"0")</f>
        <v/>
      </c>
      <c r="V200" s="370">
        <f>IFERROR(SUMPRODUCT(V198:V198*H198:H198),"0")</f>
        <v/>
      </c>
      <c r="W200" s="43" t="n"/>
      <c r="X200" s="371" t="n"/>
      <c r="Y200" s="371" t="n"/>
    </row>
    <row r="201" ht="27.75" customHeight="1">
      <c r="A201" s="218" t="inlineStr">
        <is>
          <t>Стародворье</t>
        </is>
      </c>
      <c r="B201" s="362" t="n"/>
      <c r="C201" s="362" t="n"/>
      <c r="D201" s="362" t="n"/>
      <c r="E201" s="362" t="n"/>
      <c r="F201" s="362" t="n"/>
      <c r="G201" s="362" t="n"/>
      <c r="H201" s="362" t="n"/>
      <c r="I201" s="362" t="n"/>
      <c r="J201" s="362" t="n"/>
      <c r="K201" s="362" t="n"/>
      <c r="L201" s="362" t="n"/>
      <c r="M201" s="362" t="n"/>
      <c r="N201" s="362" t="n"/>
      <c r="O201" s="362" t="n"/>
      <c r="P201" s="362" t="n"/>
      <c r="Q201" s="362" t="n"/>
      <c r="R201" s="362" t="n"/>
      <c r="S201" s="362" t="n"/>
      <c r="T201" s="362" t="n"/>
      <c r="U201" s="362" t="n"/>
      <c r="V201" s="362" t="n"/>
      <c r="W201" s="362" t="n"/>
      <c r="X201" s="55" t="n"/>
      <c r="Y201" s="55" t="n"/>
    </row>
    <row r="202" ht="16.5" customHeight="1">
      <c r="A202" s="219" t="inlineStr">
        <is>
          <t>Стародворье ЗПФ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219" t="n"/>
      <c r="Y202" s="219" t="n"/>
    </row>
    <row r="203" ht="14.25" customHeight="1">
      <c r="A203" s="220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220" t="n"/>
      <c r="Y203" s="220" t="n"/>
    </row>
    <row r="204" ht="27" customHeight="1">
      <c r="A204" s="64" t="inlineStr">
        <is>
          <t>SU002755</t>
        </is>
      </c>
      <c r="B204" s="64" t="inlineStr">
        <is>
          <t>P003116</t>
        </is>
      </c>
      <c r="C204" s="37" t="n">
        <v>4301070934</v>
      </c>
      <c r="D204" s="221" t="n">
        <v>4607111037022</v>
      </c>
      <c r="E204" s="331" t="n"/>
      <c r="F204" s="363" t="n">
        <v>0.7</v>
      </c>
      <c r="G204" s="38" t="n">
        <v>6</v>
      </c>
      <c r="H204" s="363" t="n">
        <v>4.2</v>
      </c>
      <c r="I204" s="363" t="n">
        <v>4.46</v>
      </c>
      <c r="J204" s="38" t="n">
        <v>84</v>
      </c>
      <c r="K204" s="39" t="inlineStr">
        <is>
          <t>МГ</t>
        </is>
      </c>
      <c r="L204" s="38" t="n">
        <v>180</v>
      </c>
      <c r="M204" s="445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/>
      </c>
      <c r="N204" s="365" t="n"/>
      <c r="O204" s="365" t="n"/>
      <c r="P204" s="365" t="n"/>
      <c r="Q204" s="331" t="n"/>
      <c r="R204" s="40" t="inlineStr"/>
      <c r="S204" s="40" t="inlineStr"/>
      <c r="T204" s="41" t="inlineStr">
        <is>
          <t>кор</t>
        </is>
      </c>
      <c r="U204" s="366" t="n">
        <v>80</v>
      </c>
      <c r="V204" s="367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149" t="inlineStr">
        <is>
          <t>ЗПФ</t>
        </is>
      </c>
    </row>
    <row r="205" ht="27" customHeight="1">
      <c r="A205" s="64" t="inlineStr">
        <is>
          <t>SU002920</t>
        </is>
      </c>
      <c r="B205" s="64" t="inlineStr">
        <is>
          <t>P003355</t>
        </is>
      </c>
      <c r="C205" s="37" t="n">
        <v>4301070948</v>
      </c>
      <c r="D205" s="221" t="n">
        <v>4607111037022</v>
      </c>
      <c r="E205" s="331" t="n"/>
      <c r="F205" s="363" t="n">
        <v>0.7</v>
      </c>
      <c r="G205" s="38" t="n">
        <v>8</v>
      </c>
      <c r="H205" s="363" t="n">
        <v>5.6</v>
      </c>
      <c r="I205" s="363" t="n">
        <v>5.87</v>
      </c>
      <c r="J205" s="38" t="n">
        <v>84</v>
      </c>
      <c r="K205" s="39" t="inlineStr">
        <is>
          <t>МГ</t>
        </is>
      </c>
      <c r="L205" s="38" t="n">
        <v>180</v>
      </c>
      <c r="M205" s="446" t="inlineStr">
        <is>
          <t>Пельмени Мясорубские Стародворье ЗПФ 0,7 Равиоли Стародворье</t>
        </is>
      </c>
      <c r="N205" s="365" t="n"/>
      <c r="O205" s="365" t="n"/>
      <c r="P205" s="365" t="n"/>
      <c r="Q205" s="331" t="n"/>
      <c r="R205" s="40" t="inlineStr"/>
      <c r="S205" s="40" t="inlineStr"/>
      <c r="T205" s="41" t="inlineStr">
        <is>
          <t>кор</t>
        </is>
      </c>
      <c r="U205" s="366" t="n">
        <v>0</v>
      </c>
      <c r="V205" s="367">
        <f>IFERROR(IF(U205="","",U205),"")</f>
        <v/>
      </c>
      <c r="W205" s="42">
        <f>IFERROR(IF(U205="","",U205*0.0155),"")</f>
        <v/>
      </c>
      <c r="X205" s="69" t="inlineStr"/>
      <c r="Y205" s="70" t="inlineStr"/>
      <c r="AC205" s="150" t="inlineStr">
        <is>
          <t>ЗПФ</t>
        </is>
      </c>
    </row>
    <row r="206">
      <c r="A206" s="229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8" t="n"/>
      <c r="M206" s="369" t="inlineStr">
        <is>
          <t>Итого</t>
        </is>
      </c>
      <c r="N206" s="339" t="n"/>
      <c r="O206" s="339" t="n"/>
      <c r="P206" s="339" t="n"/>
      <c r="Q206" s="339" t="n"/>
      <c r="R206" s="339" t="n"/>
      <c r="S206" s="340" t="n"/>
      <c r="T206" s="43" t="inlineStr">
        <is>
          <t>кор</t>
        </is>
      </c>
      <c r="U206" s="370">
        <f>IFERROR(SUM(U204:U205),"0")</f>
        <v/>
      </c>
      <c r="V206" s="370">
        <f>IFERROR(SUM(V204:V205),"0")</f>
        <v/>
      </c>
      <c r="W206" s="370">
        <f>IFERROR(IF(W204="",0,W204),"0")+IFERROR(IF(W205="",0,W205),"0")</f>
        <v/>
      </c>
      <c r="X206" s="371" t="n"/>
      <c r="Y206" s="371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368" t="n"/>
      <c r="M207" s="369" t="inlineStr">
        <is>
          <t>Итого</t>
        </is>
      </c>
      <c r="N207" s="339" t="n"/>
      <c r="O207" s="339" t="n"/>
      <c r="P207" s="339" t="n"/>
      <c r="Q207" s="339" t="n"/>
      <c r="R207" s="339" t="n"/>
      <c r="S207" s="340" t="n"/>
      <c r="T207" s="43" t="inlineStr">
        <is>
          <t>кг</t>
        </is>
      </c>
      <c r="U207" s="370">
        <f>IFERROR(SUMPRODUCT(U204:U205*H204:H205),"0")</f>
        <v/>
      </c>
      <c r="V207" s="370">
        <f>IFERROR(SUMPRODUCT(V204:V205*H204:H205),"0")</f>
        <v/>
      </c>
      <c r="W207" s="43" t="n"/>
      <c r="X207" s="371" t="n"/>
      <c r="Y207" s="371" t="n"/>
    </row>
    <row r="208" ht="16.5" customHeight="1">
      <c r="A208" s="219" t="inlineStr">
        <is>
          <t>Медвежье ушко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219" t="n"/>
      <c r="Y208" s="219" t="n"/>
    </row>
    <row r="209" ht="14.25" customHeight="1">
      <c r="A209" s="220" t="inlineStr">
        <is>
          <t>Пельмени</t>
        </is>
      </c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220" t="n"/>
      <c r="Y209" s="220" t="n"/>
    </row>
    <row r="210" ht="27" customHeight="1">
      <c r="A210" s="64" t="inlineStr">
        <is>
          <t>SU002067</t>
        </is>
      </c>
      <c r="B210" s="64" t="inlineStr">
        <is>
          <t>P002999</t>
        </is>
      </c>
      <c r="C210" s="37" t="n">
        <v>4301070915</v>
      </c>
      <c r="D210" s="221" t="n">
        <v>4607111035882</v>
      </c>
      <c r="E210" s="331" t="n"/>
      <c r="F210" s="363" t="n">
        <v>0.43</v>
      </c>
      <c r="G210" s="38" t="n">
        <v>16</v>
      </c>
      <c r="H210" s="363" t="n">
        <v>6.88</v>
      </c>
      <c r="I210" s="363" t="n">
        <v>7.19</v>
      </c>
      <c r="J210" s="38" t="n">
        <v>84</v>
      </c>
      <c r="K210" s="39" t="inlineStr">
        <is>
          <t>МГ</t>
        </is>
      </c>
      <c r="L210" s="38" t="n">
        <v>180</v>
      </c>
      <c r="M210" s="447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10" s="365" t="n"/>
      <c r="O210" s="365" t="n"/>
      <c r="P210" s="365" t="n"/>
      <c r="Q210" s="331" t="n"/>
      <c r="R210" s="40" t="inlineStr"/>
      <c r="S210" s="40" t="inlineStr"/>
      <c r="T210" s="41" t="inlineStr">
        <is>
          <t>кор</t>
        </is>
      </c>
      <c r="U210" s="366" t="n">
        <v>0</v>
      </c>
      <c r="V210" s="367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151" t="inlineStr">
        <is>
          <t>ЗПФ</t>
        </is>
      </c>
    </row>
    <row r="211" ht="27" customHeight="1">
      <c r="A211" s="64" t="inlineStr">
        <is>
          <t>SU002068</t>
        </is>
      </c>
      <c r="B211" s="64" t="inlineStr">
        <is>
          <t>P003005</t>
        </is>
      </c>
      <c r="C211" s="37" t="n">
        <v>4301070921</v>
      </c>
      <c r="D211" s="221" t="n">
        <v>4607111035905</v>
      </c>
      <c r="E211" s="331" t="n"/>
      <c r="F211" s="363" t="n">
        <v>0.9</v>
      </c>
      <c r="G211" s="38" t="n">
        <v>8</v>
      </c>
      <c r="H211" s="363" t="n">
        <v>7.2</v>
      </c>
      <c r="I211" s="363" t="n">
        <v>7.47</v>
      </c>
      <c r="J211" s="38" t="n">
        <v>84</v>
      </c>
      <c r="K211" s="39" t="inlineStr">
        <is>
          <t>МГ</t>
        </is>
      </c>
      <c r="L211" s="38" t="n">
        <v>180</v>
      </c>
      <c r="M211" s="448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1" s="365" t="n"/>
      <c r="O211" s="365" t="n"/>
      <c r="P211" s="365" t="n"/>
      <c r="Q211" s="331" t="n"/>
      <c r="R211" s="40" t="inlineStr"/>
      <c r="S211" s="40" t="inlineStr"/>
      <c r="T211" s="41" t="inlineStr">
        <is>
          <t>кор</t>
        </is>
      </c>
      <c r="U211" s="366" t="n">
        <v>0</v>
      </c>
      <c r="V211" s="367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152" t="inlineStr">
        <is>
          <t>ЗПФ</t>
        </is>
      </c>
    </row>
    <row r="212" ht="27" customHeight="1">
      <c r="A212" s="64" t="inlineStr">
        <is>
          <t>SU002069</t>
        </is>
      </c>
      <c r="B212" s="64" t="inlineStr">
        <is>
          <t>P003001</t>
        </is>
      </c>
      <c r="C212" s="37" t="n">
        <v>4301070917</v>
      </c>
      <c r="D212" s="221" t="n">
        <v>4607111035912</v>
      </c>
      <c r="E212" s="331" t="n"/>
      <c r="F212" s="363" t="n">
        <v>0.43</v>
      </c>
      <c r="G212" s="38" t="n">
        <v>16</v>
      </c>
      <c r="H212" s="363" t="n">
        <v>6.88</v>
      </c>
      <c r="I212" s="363" t="n">
        <v>7.19</v>
      </c>
      <c r="J212" s="38" t="n">
        <v>84</v>
      </c>
      <c r="K212" s="39" t="inlineStr">
        <is>
          <t>МГ</t>
        </is>
      </c>
      <c r="L212" s="38" t="n">
        <v>180</v>
      </c>
      <c r="M212" s="449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2" s="365" t="n"/>
      <c r="O212" s="365" t="n"/>
      <c r="P212" s="365" t="n"/>
      <c r="Q212" s="331" t="n"/>
      <c r="R212" s="40" t="inlineStr"/>
      <c r="S212" s="40" t="inlineStr"/>
      <c r="T212" s="41" t="inlineStr">
        <is>
          <t>кор</t>
        </is>
      </c>
      <c r="U212" s="366" t="n">
        <v>0</v>
      </c>
      <c r="V212" s="367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153" t="inlineStr">
        <is>
          <t>ЗПФ</t>
        </is>
      </c>
    </row>
    <row r="213" ht="27" customHeight="1">
      <c r="A213" s="64" t="inlineStr">
        <is>
          <t>SU002066</t>
        </is>
      </c>
      <c r="B213" s="64" t="inlineStr">
        <is>
          <t>P003004</t>
        </is>
      </c>
      <c r="C213" s="37" t="n">
        <v>4301070920</v>
      </c>
      <c r="D213" s="221" t="n">
        <v>4607111035929</v>
      </c>
      <c r="E213" s="331" t="n"/>
      <c r="F213" s="363" t="n">
        <v>0.9</v>
      </c>
      <c r="G213" s="38" t="n">
        <v>8</v>
      </c>
      <c r="H213" s="363" t="n">
        <v>7.2</v>
      </c>
      <c r="I213" s="363" t="n">
        <v>7.47</v>
      </c>
      <c r="J213" s="38" t="n">
        <v>84</v>
      </c>
      <c r="K213" s="39" t="inlineStr">
        <is>
          <t>МГ</t>
        </is>
      </c>
      <c r="L213" s="38" t="n">
        <v>180</v>
      </c>
      <c r="M213" s="450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3" s="365" t="n"/>
      <c r="O213" s="365" t="n"/>
      <c r="P213" s="365" t="n"/>
      <c r="Q213" s="331" t="n"/>
      <c r="R213" s="40" t="inlineStr"/>
      <c r="S213" s="40" t="inlineStr"/>
      <c r="T213" s="41" t="inlineStr">
        <is>
          <t>кор</t>
        </is>
      </c>
      <c r="U213" s="366" t="n">
        <v>25</v>
      </c>
      <c r="V213" s="367">
        <f>IFERROR(IF(U213="","",U213),"")</f>
        <v/>
      </c>
      <c r="W213" s="42">
        <f>IFERROR(IF(U213="","",U213*0.0155),"")</f>
        <v/>
      </c>
      <c r="X213" s="69" t="inlineStr"/>
      <c r="Y213" s="70" t="inlineStr"/>
      <c r="AC213" s="154" t="inlineStr">
        <is>
          <t>ЗПФ</t>
        </is>
      </c>
    </row>
    <row r="214">
      <c r="A214" s="229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8" t="n"/>
      <c r="M214" s="369" t="inlineStr">
        <is>
          <t>Итого</t>
        </is>
      </c>
      <c r="N214" s="339" t="n"/>
      <c r="O214" s="339" t="n"/>
      <c r="P214" s="339" t="n"/>
      <c r="Q214" s="339" t="n"/>
      <c r="R214" s="339" t="n"/>
      <c r="S214" s="340" t="n"/>
      <c r="T214" s="43" t="inlineStr">
        <is>
          <t>кор</t>
        </is>
      </c>
      <c r="U214" s="370">
        <f>IFERROR(SUM(U210:U213),"0")</f>
        <v/>
      </c>
      <c r="V214" s="370">
        <f>IFERROR(SUM(V210:V213),"0")</f>
        <v/>
      </c>
      <c r="W214" s="370">
        <f>IFERROR(IF(W210="",0,W210),"0")+IFERROR(IF(W211="",0,W211),"0")+IFERROR(IF(W212="",0,W212),"0")+IFERROR(IF(W213="",0,W213),"0")</f>
        <v/>
      </c>
      <c r="X214" s="371" t="n"/>
      <c r="Y214" s="371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368" t="n"/>
      <c r="M215" s="369" t="inlineStr">
        <is>
          <t>Итого</t>
        </is>
      </c>
      <c r="N215" s="339" t="n"/>
      <c r="O215" s="339" t="n"/>
      <c r="P215" s="339" t="n"/>
      <c r="Q215" s="339" t="n"/>
      <c r="R215" s="339" t="n"/>
      <c r="S215" s="340" t="n"/>
      <c r="T215" s="43" t="inlineStr">
        <is>
          <t>кг</t>
        </is>
      </c>
      <c r="U215" s="370">
        <f>IFERROR(SUMPRODUCT(U210:U213*H210:H213),"0")</f>
        <v/>
      </c>
      <c r="V215" s="370">
        <f>IFERROR(SUMPRODUCT(V210:V213*H210:H213),"0")</f>
        <v/>
      </c>
      <c r="W215" s="43" t="n"/>
      <c r="X215" s="371" t="n"/>
      <c r="Y215" s="371" t="n"/>
    </row>
    <row r="216" ht="16.5" customHeight="1">
      <c r="A216" s="219" t="inlineStr">
        <is>
          <t>Бордо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219" t="n"/>
      <c r="Y216" s="219" t="n"/>
    </row>
    <row r="217" ht="14.25" customHeight="1">
      <c r="A217" s="220" t="inlineStr">
        <is>
          <t>Сосиски замороженные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220" t="n"/>
      <c r="Y217" s="220" t="n"/>
    </row>
    <row r="218" ht="27" customHeight="1">
      <c r="A218" s="64" t="inlineStr">
        <is>
          <t>SU002678</t>
        </is>
      </c>
      <c r="B218" s="64" t="inlineStr">
        <is>
          <t>P003054</t>
        </is>
      </c>
      <c r="C218" s="37" t="n">
        <v>4301051320</v>
      </c>
      <c r="D218" s="221" t="n">
        <v>4680115881334</v>
      </c>
      <c r="E218" s="331" t="n"/>
      <c r="F218" s="363" t="n">
        <v>0.33</v>
      </c>
      <c r="G218" s="38" t="n">
        <v>6</v>
      </c>
      <c r="H218" s="363" t="n">
        <v>1.98</v>
      </c>
      <c r="I218" s="363" t="n">
        <v>2.27</v>
      </c>
      <c r="J218" s="38" t="n">
        <v>156</v>
      </c>
      <c r="K218" s="39" t="inlineStr">
        <is>
          <t>СК2</t>
        </is>
      </c>
      <c r="L218" s="38" t="n">
        <v>365</v>
      </c>
      <c r="M218" s="451" t="inlineStr">
        <is>
          <t>Сосиски "Оригинальные" замороженные Фикс.вес 0,33 п/а ТМ "Стародворье"</t>
        </is>
      </c>
      <c r="N218" s="365" t="n"/>
      <c r="O218" s="365" t="n"/>
      <c r="P218" s="365" t="n"/>
      <c r="Q218" s="331" t="n"/>
      <c r="R218" s="40" t="inlineStr"/>
      <c r="S218" s="40" t="inlineStr"/>
      <c r="T218" s="41" t="inlineStr">
        <is>
          <t>кор</t>
        </is>
      </c>
      <c r="U218" s="366" t="n">
        <v>0</v>
      </c>
      <c r="V218" s="367">
        <f>IFERROR(IF(U218="","",U218),"")</f>
        <v/>
      </c>
      <c r="W218" s="42">
        <f>IFERROR(IF(U218="","",U218*0.00753),"")</f>
        <v/>
      </c>
      <c r="X218" s="69" t="inlineStr"/>
      <c r="Y218" s="70" t="inlineStr"/>
      <c r="AC218" s="155" t="inlineStr">
        <is>
          <t>КИЗ</t>
        </is>
      </c>
    </row>
    <row r="219">
      <c r="A219" s="229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8" t="n"/>
      <c r="M219" s="369" t="inlineStr">
        <is>
          <t>Итого</t>
        </is>
      </c>
      <c r="N219" s="339" t="n"/>
      <c r="O219" s="339" t="n"/>
      <c r="P219" s="339" t="n"/>
      <c r="Q219" s="339" t="n"/>
      <c r="R219" s="339" t="n"/>
      <c r="S219" s="340" t="n"/>
      <c r="T219" s="43" t="inlineStr">
        <is>
          <t>кор</t>
        </is>
      </c>
      <c r="U219" s="370">
        <f>IFERROR(SUM(U218:U218),"0")</f>
        <v/>
      </c>
      <c r="V219" s="370">
        <f>IFERROR(SUM(V218:V218),"0")</f>
        <v/>
      </c>
      <c r="W219" s="370">
        <f>IFERROR(IF(W218="",0,W218),"0")</f>
        <v/>
      </c>
      <c r="X219" s="371" t="n"/>
      <c r="Y219" s="371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368" t="n"/>
      <c r="M220" s="369" t="inlineStr">
        <is>
          <t>Итого</t>
        </is>
      </c>
      <c r="N220" s="339" t="n"/>
      <c r="O220" s="339" t="n"/>
      <c r="P220" s="339" t="n"/>
      <c r="Q220" s="339" t="n"/>
      <c r="R220" s="339" t="n"/>
      <c r="S220" s="340" t="n"/>
      <c r="T220" s="43" t="inlineStr">
        <is>
          <t>кг</t>
        </is>
      </c>
      <c r="U220" s="370">
        <f>IFERROR(SUMPRODUCT(U218:U218*H218:H218),"0")</f>
        <v/>
      </c>
      <c r="V220" s="370">
        <f>IFERROR(SUMPRODUCT(V218:V218*H218:H218),"0")</f>
        <v/>
      </c>
      <c r="W220" s="43" t="n"/>
      <c r="X220" s="371" t="n"/>
      <c r="Y220" s="371" t="n"/>
    </row>
    <row r="221" ht="16.5" customHeight="1">
      <c r="A221" s="219" t="inlineStr">
        <is>
          <t>Сочные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219" t="n"/>
      <c r="Y221" s="219" t="n"/>
    </row>
    <row r="222" ht="14.25" customHeight="1">
      <c r="A222" s="220" t="inlineStr">
        <is>
          <t>Пельмени</t>
        </is>
      </c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220" t="n"/>
      <c r="Y222" s="220" t="n"/>
    </row>
    <row r="223" ht="16.5" customHeight="1">
      <c r="A223" s="64" t="inlineStr">
        <is>
          <t>SU001859</t>
        </is>
      </c>
      <c r="B223" s="64" t="inlineStr">
        <is>
          <t>P002720</t>
        </is>
      </c>
      <c r="C223" s="37" t="n">
        <v>4301070874</v>
      </c>
      <c r="D223" s="221" t="n">
        <v>4607111035332</v>
      </c>
      <c r="E223" s="331" t="n"/>
      <c r="F223" s="363" t="n">
        <v>0.43</v>
      </c>
      <c r="G223" s="38" t="n">
        <v>16</v>
      </c>
      <c r="H223" s="363" t="n">
        <v>6.88</v>
      </c>
      <c r="I223" s="363" t="n">
        <v>7.206</v>
      </c>
      <c r="J223" s="38" t="n">
        <v>84</v>
      </c>
      <c r="K223" s="39" t="inlineStr">
        <is>
          <t>МГ</t>
        </is>
      </c>
      <c r="L223" s="38" t="n">
        <v>180</v>
      </c>
      <c r="M223" s="452">
        <f>HYPERLINK("https://abi.ru/products/Замороженные/Стародворье/Сочные/Пельмени/P002720/","Пельмени Сочные Сочные 0,43 Сфера Стародворье")</f>
        <v/>
      </c>
      <c r="N223" s="365" t="n"/>
      <c r="O223" s="365" t="n"/>
      <c r="P223" s="365" t="n"/>
      <c r="Q223" s="331" t="n"/>
      <c r="R223" s="40" t="inlineStr"/>
      <c r="S223" s="40" t="inlineStr"/>
      <c r="T223" s="41" t="inlineStr">
        <is>
          <t>кор</t>
        </is>
      </c>
      <c r="U223" s="366" t="n">
        <v>0</v>
      </c>
      <c r="V223" s="367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156" t="inlineStr">
        <is>
          <t>ЗПФ</t>
        </is>
      </c>
    </row>
    <row r="224" ht="16.5" customHeight="1">
      <c r="A224" s="64" t="inlineStr">
        <is>
          <t>SU001776</t>
        </is>
      </c>
      <c r="B224" s="64" t="inlineStr">
        <is>
          <t>P002719</t>
        </is>
      </c>
      <c r="C224" s="37" t="n">
        <v>4301070873</v>
      </c>
      <c r="D224" s="221" t="n">
        <v>4607111035080</v>
      </c>
      <c r="E224" s="331" t="n"/>
      <c r="F224" s="363" t="n">
        <v>0.9</v>
      </c>
      <c r="G224" s="38" t="n">
        <v>8</v>
      </c>
      <c r="H224" s="363" t="n">
        <v>7.2</v>
      </c>
      <c r="I224" s="363" t="n">
        <v>7.47</v>
      </c>
      <c r="J224" s="38" t="n">
        <v>84</v>
      </c>
      <c r="K224" s="39" t="inlineStr">
        <is>
          <t>МГ</t>
        </is>
      </c>
      <c r="L224" s="38" t="n">
        <v>180</v>
      </c>
      <c r="M224" s="453">
        <f>HYPERLINK("https://abi.ru/products/Замороженные/Стародворье/Сочные/Пельмени/P002719/","Пельмени Сочные Сочные 0,9 Сфера Стародворье")</f>
        <v/>
      </c>
      <c r="N224" s="365" t="n"/>
      <c r="O224" s="365" t="n"/>
      <c r="P224" s="365" t="n"/>
      <c r="Q224" s="331" t="n"/>
      <c r="R224" s="40" t="inlineStr"/>
      <c r="S224" s="40" t="inlineStr"/>
      <c r="T224" s="41" t="inlineStr">
        <is>
          <t>кор</t>
        </is>
      </c>
      <c r="U224" s="366" t="n">
        <v>75</v>
      </c>
      <c r="V224" s="367">
        <f>IFERROR(IF(U224="","",U224),"")</f>
        <v/>
      </c>
      <c r="W224" s="42">
        <f>IFERROR(IF(U224="","",U224*0.0155),"")</f>
        <v/>
      </c>
      <c r="X224" s="69" t="inlineStr"/>
      <c r="Y224" s="70" t="inlineStr"/>
      <c r="AC224" s="157" t="inlineStr">
        <is>
          <t>ЗПФ</t>
        </is>
      </c>
    </row>
    <row r="225">
      <c r="A225" s="229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8" t="n"/>
      <c r="M225" s="369" t="inlineStr">
        <is>
          <t>Итого</t>
        </is>
      </c>
      <c r="N225" s="339" t="n"/>
      <c r="O225" s="339" t="n"/>
      <c r="P225" s="339" t="n"/>
      <c r="Q225" s="339" t="n"/>
      <c r="R225" s="339" t="n"/>
      <c r="S225" s="340" t="n"/>
      <c r="T225" s="43" t="inlineStr">
        <is>
          <t>кор</t>
        </is>
      </c>
      <c r="U225" s="370">
        <f>IFERROR(SUM(U223:U224),"0")</f>
        <v/>
      </c>
      <c r="V225" s="370">
        <f>IFERROR(SUM(V223:V224),"0")</f>
        <v/>
      </c>
      <c r="W225" s="370">
        <f>IFERROR(IF(W223="",0,W223),"0")+IFERROR(IF(W224="",0,W224),"0")</f>
        <v/>
      </c>
      <c r="X225" s="371" t="n"/>
      <c r="Y225" s="371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368" t="n"/>
      <c r="M226" s="369" t="inlineStr">
        <is>
          <t>Итого</t>
        </is>
      </c>
      <c r="N226" s="339" t="n"/>
      <c r="O226" s="339" t="n"/>
      <c r="P226" s="339" t="n"/>
      <c r="Q226" s="339" t="n"/>
      <c r="R226" s="339" t="n"/>
      <c r="S226" s="340" t="n"/>
      <c r="T226" s="43" t="inlineStr">
        <is>
          <t>кг</t>
        </is>
      </c>
      <c r="U226" s="370">
        <f>IFERROR(SUMPRODUCT(U223:U224*H223:H224),"0")</f>
        <v/>
      </c>
      <c r="V226" s="370">
        <f>IFERROR(SUMPRODUCT(V223:V224*H223:H224),"0")</f>
        <v/>
      </c>
      <c r="W226" s="43" t="n"/>
      <c r="X226" s="371" t="n"/>
      <c r="Y226" s="371" t="n"/>
    </row>
    <row r="227" ht="27.75" customHeight="1">
      <c r="A227" s="218" t="inlineStr">
        <is>
          <t>Колбасный стандарт</t>
        </is>
      </c>
      <c r="B227" s="362" t="n"/>
      <c r="C227" s="362" t="n"/>
      <c r="D227" s="362" t="n"/>
      <c r="E227" s="362" t="n"/>
      <c r="F227" s="362" t="n"/>
      <c r="G227" s="362" t="n"/>
      <c r="H227" s="362" t="n"/>
      <c r="I227" s="362" t="n"/>
      <c r="J227" s="362" t="n"/>
      <c r="K227" s="362" t="n"/>
      <c r="L227" s="362" t="n"/>
      <c r="M227" s="362" t="n"/>
      <c r="N227" s="362" t="n"/>
      <c r="O227" s="362" t="n"/>
      <c r="P227" s="362" t="n"/>
      <c r="Q227" s="362" t="n"/>
      <c r="R227" s="362" t="n"/>
      <c r="S227" s="362" t="n"/>
      <c r="T227" s="362" t="n"/>
      <c r="U227" s="362" t="n"/>
      <c r="V227" s="362" t="n"/>
      <c r="W227" s="362" t="n"/>
      <c r="X227" s="55" t="n"/>
      <c r="Y227" s="55" t="n"/>
    </row>
    <row r="228" ht="16.5" customHeight="1">
      <c r="A228" s="219" t="inlineStr">
        <is>
          <t>Владимирский Стандарт ЗПФ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219" t="n"/>
      <c r="Y228" s="219" t="n"/>
    </row>
    <row r="229" ht="14.25" customHeight="1">
      <c r="A229" s="220" t="inlineStr">
        <is>
          <t>Пельмени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220" t="n"/>
      <c r="Y229" s="220" t="n"/>
    </row>
    <row r="230" ht="27" customHeight="1">
      <c r="A230" s="64" t="inlineStr">
        <is>
          <t>SU002267</t>
        </is>
      </c>
      <c r="B230" s="64" t="inlineStr">
        <is>
          <t>P003223</t>
        </is>
      </c>
      <c r="C230" s="37" t="n">
        <v>4301070941</v>
      </c>
      <c r="D230" s="221" t="n">
        <v>4607111036162</v>
      </c>
      <c r="E230" s="331" t="n"/>
      <c r="F230" s="363" t="n">
        <v>0.8</v>
      </c>
      <c r="G230" s="38" t="n">
        <v>8</v>
      </c>
      <c r="H230" s="363" t="n">
        <v>6.4</v>
      </c>
      <c r="I230" s="363" t="n">
        <v>6.6812</v>
      </c>
      <c r="J230" s="38" t="n">
        <v>84</v>
      </c>
      <c r="K230" s="39" t="inlineStr">
        <is>
          <t>МГ</t>
        </is>
      </c>
      <c r="L230" s="38" t="n">
        <v>90</v>
      </c>
      <c r="M230" s="454" t="inlineStr">
        <is>
          <t>Пельмени Со свининой и говядиной Владимирский стандарт флоу-пак 0,8 Сфера Колбасный стандарт</t>
        </is>
      </c>
      <c r="N230" s="365" t="n"/>
      <c r="O230" s="365" t="n"/>
      <c r="P230" s="365" t="n"/>
      <c r="Q230" s="331" t="n"/>
      <c r="R230" s="40" t="inlineStr"/>
      <c r="S230" s="40" t="inlineStr"/>
      <c r="T230" s="41" t="inlineStr">
        <is>
          <t>кор</t>
        </is>
      </c>
      <c r="U230" s="366" t="n">
        <v>0</v>
      </c>
      <c r="V230" s="367">
        <f>IFERROR(IF(U230="","",U230),"")</f>
        <v/>
      </c>
      <c r="W230" s="42">
        <f>IFERROR(IF(U230="","",U230*0.0155),"")</f>
        <v/>
      </c>
      <c r="X230" s="69" t="inlineStr"/>
      <c r="Y230" s="70" t="inlineStr"/>
      <c r="AC230" s="158" t="inlineStr">
        <is>
          <t>ЗПФ</t>
        </is>
      </c>
    </row>
    <row r="231">
      <c r="A231" s="229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8" t="n"/>
      <c r="M231" s="369" t="inlineStr">
        <is>
          <t>Итого</t>
        </is>
      </c>
      <c r="N231" s="339" t="n"/>
      <c r="O231" s="339" t="n"/>
      <c r="P231" s="339" t="n"/>
      <c r="Q231" s="339" t="n"/>
      <c r="R231" s="339" t="n"/>
      <c r="S231" s="340" t="n"/>
      <c r="T231" s="43" t="inlineStr">
        <is>
          <t>кор</t>
        </is>
      </c>
      <c r="U231" s="370">
        <f>IFERROR(SUM(U230:U230),"0")</f>
        <v/>
      </c>
      <c r="V231" s="370">
        <f>IFERROR(SUM(V230:V230),"0")</f>
        <v/>
      </c>
      <c r="W231" s="370">
        <f>IFERROR(IF(W230="",0,W230),"0")</f>
        <v/>
      </c>
      <c r="X231" s="371" t="n"/>
      <c r="Y231" s="371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368" t="n"/>
      <c r="M232" s="369" t="inlineStr">
        <is>
          <t>Итого</t>
        </is>
      </c>
      <c r="N232" s="339" t="n"/>
      <c r="O232" s="339" t="n"/>
      <c r="P232" s="339" t="n"/>
      <c r="Q232" s="339" t="n"/>
      <c r="R232" s="339" t="n"/>
      <c r="S232" s="340" t="n"/>
      <c r="T232" s="43" t="inlineStr">
        <is>
          <t>кг</t>
        </is>
      </c>
      <c r="U232" s="370">
        <f>IFERROR(SUMPRODUCT(U230:U230*H230:H230),"0")</f>
        <v/>
      </c>
      <c r="V232" s="370">
        <f>IFERROR(SUMPRODUCT(V230:V230*H230:H230),"0")</f>
        <v/>
      </c>
      <c r="W232" s="43" t="n"/>
      <c r="X232" s="371" t="n"/>
      <c r="Y232" s="371" t="n"/>
    </row>
    <row r="233" ht="27.75" customHeight="1">
      <c r="A233" s="218" t="inlineStr">
        <is>
          <t>Особый рецепт</t>
        </is>
      </c>
      <c r="B233" s="362" t="n"/>
      <c r="C233" s="362" t="n"/>
      <c r="D233" s="362" t="n"/>
      <c r="E233" s="362" t="n"/>
      <c r="F233" s="362" t="n"/>
      <c r="G233" s="362" t="n"/>
      <c r="H233" s="362" t="n"/>
      <c r="I233" s="362" t="n"/>
      <c r="J233" s="362" t="n"/>
      <c r="K233" s="362" t="n"/>
      <c r="L233" s="362" t="n"/>
      <c r="M233" s="362" t="n"/>
      <c r="N233" s="362" t="n"/>
      <c r="O233" s="362" t="n"/>
      <c r="P233" s="362" t="n"/>
      <c r="Q233" s="362" t="n"/>
      <c r="R233" s="362" t="n"/>
      <c r="S233" s="362" t="n"/>
      <c r="T233" s="362" t="n"/>
      <c r="U233" s="362" t="n"/>
      <c r="V233" s="362" t="n"/>
      <c r="W233" s="362" t="n"/>
      <c r="X233" s="55" t="n"/>
      <c r="Y233" s="55" t="n"/>
    </row>
    <row r="234" ht="16.5" customHeight="1">
      <c r="A234" s="219" t="inlineStr">
        <is>
          <t>Любимая ложка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219" t="n"/>
      <c r="Y234" s="219" t="n"/>
    </row>
    <row r="235" ht="14.25" customHeight="1">
      <c r="A235" s="220" t="inlineStr">
        <is>
          <t>Пельмени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220" t="n"/>
      <c r="Y235" s="220" t="n"/>
    </row>
    <row r="236" ht="27" customHeight="1">
      <c r="A236" s="64" t="inlineStr">
        <is>
          <t>SU002268</t>
        </is>
      </c>
      <c r="B236" s="64" t="inlineStr">
        <is>
          <t>P002746</t>
        </is>
      </c>
      <c r="C236" s="37" t="n">
        <v>4301070882</v>
      </c>
      <c r="D236" s="221" t="n">
        <v>4607111035899</v>
      </c>
      <c r="E236" s="331" t="n"/>
      <c r="F236" s="363" t="n">
        <v>1</v>
      </c>
      <c r="G236" s="38" t="n">
        <v>5</v>
      </c>
      <c r="H236" s="363" t="n">
        <v>5</v>
      </c>
      <c r="I236" s="363" t="n">
        <v>5.262</v>
      </c>
      <c r="J236" s="38" t="n">
        <v>84</v>
      </c>
      <c r="K236" s="39" t="inlineStr">
        <is>
          <t>МГ</t>
        </is>
      </c>
      <c r="L236" s="38" t="n">
        <v>120</v>
      </c>
      <c r="M236" s="455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6" s="365" t="n"/>
      <c r="O236" s="365" t="n"/>
      <c r="P236" s="365" t="n"/>
      <c r="Q236" s="331" t="n"/>
      <c r="R236" s="40" t="inlineStr"/>
      <c r="S236" s="40" t="inlineStr"/>
      <c r="T236" s="41" t="inlineStr">
        <is>
          <t>кор</t>
        </is>
      </c>
      <c r="U236" s="366" t="n">
        <v>0</v>
      </c>
      <c r="V236" s="367">
        <f>IFERROR(IF(U236="","",U236),"")</f>
        <v/>
      </c>
      <c r="W236" s="42">
        <f>IFERROR(IF(U236="","",U236*0.0155),"")</f>
        <v/>
      </c>
      <c r="X236" s="69" t="inlineStr"/>
      <c r="Y236" s="70" t="inlineStr"/>
      <c r="AC236" s="159" t="inlineStr">
        <is>
          <t>ЗПФ</t>
        </is>
      </c>
    </row>
    <row r="237">
      <c r="A237" s="229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8" t="n"/>
      <c r="M237" s="369" t="inlineStr">
        <is>
          <t>Итого</t>
        </is>
      </c>
      <c r="N237" s="339" t="n"/>
      <c r="O237" s="339" t="n"/>
      <c r="P237" s="339" t="n"/>
      <c r="Q237" s="339" t="n"/>
      <c r="R237" s="339" t="n"/>
      <c r="S237" s="340" t="n"/>
      <c r="T237" s="43" t="inlineStr">
        <is>
          <t>кор</t>
        </is>
      </c>
      <c r="U237" s="370">
        <f>IFERROR(SUM(U236:U236),"0")</f>
        <v/>
      </c>
      <c r="V237" s="370">
        <f>IFERROR(SUM(V236:V236),"0")</f>
        <v/>
      </c>
      <c r="W237" s="370">
        <f>IFERROR(IF(W236="",0,W236),"0")</f>
        <v/>
      </c>
      <c r="X237" s="371" t="n"/>
      <c r="Y237" s="371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368" t="n"/>
      <c r="M238" s="369" t="inlineStr">
        <is>
          <t>Итого</t>
        </is>
      </c>
      <c r="N238" s="339" t="n"/>
      <c r="O238" s="339" t="n"/>
      <c r="P238" s="339" t="n"/>
      <c r="Q238" s="339" t="n"/>
      <c r="R238" s="339" t="n"/>
      <c r="S238" s="340" t="n"/>
      <c r="T238" s="43" t="inlineStr">
        <is>
          <t>кг</t>
        </is>
      </c>
      <c r="U238" s="370">
        <f>IFERROR(SUMPRODUCT(U236:U236*H236:H236),"0")</f>
        <v/>
      </c>
      <c r="V238" s="370">
        <f>IFERROR(SUMPRODUCT(V236:V236*H236:H236),"0")</f>
        <v/>
      </c>
      <c r="W238" s="43" t="n"/>
      <c r="X238" s="371" t="n"/>
      <c r="Y238" s="371" t="n"/>
    </row>
    <row r="239" ht="16.5" customHeight="1">
      <c r="A239" s="219" t="inlineStr">
        <is>
          <t>Особая Без свинины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219" t="n"/>
      <c r="Y239" s="219" t="n"/>
    </row>
    <row r="240" ht="14.25" customHeight="1">
      <c r="A240" s="220" t="inlineStr">
        <is>
          <t>Пельмени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220" t="n"/>
      <c r="Y240" s="220" t="n"/>
    </row>
    <row r="241" ht="27" customHeight="1">
      <c r="A241" s="64" t="inlineStr">
        <is>
          <t>SU002408</t>
        </is>
      </c>
      <c r="B241" s="64" t="inlineStr">
        <is>
          <t>P002686</t>
        </is>
      </c>
      <c r="C241" s="37" t="n">
        <v>4301070870</v>
      </c>
      <c r="D241" s="221" t="n">
        <v>4607111036711</v>
      </c>
      <c r="E241" s="331" t="n"/>
      <c r="F241" s="363" t="n">
        <v>0.8</v>
      </c>
      <c r="G241" s="38" t="n">
        <v>8</v>
      </c>
      <c r="H241" s="363" t="n">
        <v>6.4</v>
      </c>
      <c r="I241" s="363" t="n">
        <v>6.67</v>
      </c>
      <c r="J241" s="38" t="n">
        <v>84</v>
      </c>
      <c r="K241" s="39" t="inlineStr">
        <is>
          <t>МГ</t>
        </is>
      </c>
      <c r="L241" s="38" t="n">
        <v>90</v>
      </c>
      <c r="M241" s="456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1" s="365" t="n"/>
      <c r="O241" s="365" t="n"/>
      <c r="P241" s="365" t="n"/>
      <c r="Q241" s="331" t="n"/>
      <c r="R241" s="40" t="inlineStr"/>
      <c r="S241" s="40" t="inlineStr"/>
      <c r="T241" s="41" t="inlineStr">
        <is>
          <t>кор</t>
        </is>
      </c>
      <c r="U241" s="366" t="n">
        <v>0</v>
      </c>
      <c r="V241" s="367">
        <f>IFERROR(IF(U241="","",U241),"")</f>
        <v/>
      </c>
      <c r="W241" s="42">
        <f>IFERROR(IF(U241="","",U241*0.0155),"")</f>
        <v/>
      </c>
      <c r="X241" s="69" t="inlineStr"/>
      <c r="Y241" s="70" t="inlineStr"/>
      <c r="AC241" s="160" t="inlineStr">
        <is>
          <t>ЗПФ</t>
        </is>
      </c>
    </row>
    <row r="242">
      <c r="A242" s="229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8" t="n"/>
      <c r="M242" s="369" t="inlineStr">
        <is>
          <t>Итого</t>
        </is>
      </c>
      <c r="N242" s="339" t="n"/>
      <c r="O242" s="339" t="n"/>
      <c r="P242" s="339" t="n"/>
      <c r="Q242" s="339" t="n"/>
      <c r="R242" s="339" t="n"/>
      <c r="S242" s="340" t="n"/>
      <c r="T242" s="43" t="inlineStr">
        <is>
          <t>кор</t>
        </is>
      </c>
      <c r="U242" s="370">
        <f>IFERROR(SUM(U241:U241),"0")</f>
        <v/>
      </c>
      <c r="V242" s="370">
        <f>IFERROR(SUM(V241:V241),"0")</f>
        <v/>
      </c>
      <c r="W242" s="370">
        <f>IFERROR(IF(W241="",0,W241),"0")</f>
        <v/>
      </c>
      <c r="X242" s="371" t="n"/>
      <c r="Y242" s="371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68" t="n"/>
      <c r="M243" s="369" t="inlineStr">
        <is>
          <t>Итого</t>
        </is>
      </c>
      <c r="N243" s="339" t="n"/>
      <c r="O243" s="339" t="n"/>
      <c r="P243" s="339" t="n"/>
      <c r="Q243" s="339" t="n"/>
      <c r="R243" s="339" t="n"/>
      <c r="S243" s="340" t="n"/>
      <c r="T243" s="43" t="inlineStr">
        <is>
          <t>кг</t>
        </is>
      </c>
      <c r="U243" s="370">
        <f>IFERROR(SUMPRODUCT(U241:U241*H241:H241),"0")</f>
        <v/>
      </c>
      <c r="V243" s="370">
        <f>IFERROR(SUMPRODUCT(V241:V241*H241:H241),"0")</f>
        <v/>
      </c>
      <c r="W243" s="43" t="n"/>
      <c r="X243" s="371" t="n"/>
      <c r="Y243" s="371" t="n"/>
    </row>
    <row r="244" ht="15" customHeight="1">
      <c r="A244" s="318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8" t="n"/>
      <c r="M244" s="457" t="inlineStr">
        <is>
          <t>ИТОГО НЕТТО</t>
        </is>
      </c>
      <c r="N244" s="322" t="n"/>
      <c r="O244" s="322" t="n"/>
      <c r="P244" s="322" t="n"/>
      <c r="Q244" s="322" t="n"/>
      <c r="R244" s="322" t="n"/>
      <c r="S244" s="323" t="n"/>
      <c r="T244" s="43" t="inlineStr">
        <is>
          <t>кг</t>
        </is>
      </c>
      <c r="U244" s="370">
        <f>IFERROR(U24+U33+U41+U47+U57+U63+U68+U74+U85+U92+U100+U106+U111+U119+U124+U130+U135+U141+U145+U152+U165+U170+U178+U183+U190+U195+U200+U207+U215+U220+U226+U232+U238+U243,"0")</f>
        <v/>
      </c>
      <c r="V244" s="370">
        <f>IFERROR(V24+V33+V41+V47+V57+V63+V68+V74+V85+V92+V100+V106+V111+V119+V124+V130+V135+V141+V145+V152+V165+V170+V178+V183+V190+V195+V200+V207+V215+V220+V226+V232+V238+V243,"0")</f>
        <v/>
      </c>
      <c r="W244" s="43" t="n"/>
      <c r="X244" s="371" t="n"/>
      <c r="Y244" s="37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8" t="n"/>
      <c r="M245" s="457" t="inlineStr">
        <is>
          <t>ИТОГО БРУТТО</t>
        </is>
      </c>
      <c r="N245" s="322" t="n"/>
      <c r="O245" s="322" t="n"/>
      <c r="P245" s="322" t="n"/>
      <c r="Q245" s="322" t="n"/>
      <c r="R245" s="322" t="n"/>
      <c r="S245" s="323" t="n"/>
      <c r="T245" s="43" t="inlineStr">
        <is>
          <t>кг</t>
        </is>
      </c>
      <c r="U245" s="37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/>
      </c>
      <c r="V245" s="37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/>
      </c>
      <c r="W245" s="43" t="n"/>
      <c r="X245" s="371" t="n"/>
      <c r="Y245" s="37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8" t="n"/>
      <c r="M246" s="457" t="inlineStr">
        <is>
          <t>Кол-во паллет</t>
        </is>
      </c>
      <c r="N246" s="322" t="n"/>
      <c r="O246" s="322" t="n"/>
      <c r="P246" s="322" t="n"/>
      <c r="Q246" s="322" t="n"/>
      <c r="R246" s="322" t="n"/>
      <c r="S246" s="323" t="n"/>
      <c r="T246" s="43" t="inlineStr">
        <is>
          <t>шт</t>
        </is>
      </c>
      <c r="U246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/>
      </c>
      <c r="V246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/>
      </c>
      <c r="W246" s="43" t="n"/>
      <c r="X246" s="371" t="n"/>
      <c r="Y246" s="37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8" t="n"/>
      <c r="M247" s="457" t="inlineStr">
        <is>
          <t>Вес брутто  с паллетами</t>
        </is>
      </c>
      <c r="N247" s="322" t="n"/>
      <c r="O247" s="322" t="n"/>
      <c r="P247" s="322" t="n"/>
      <c r="Q247" s="322" t="n"/>
      <c r="R247" s="322" t="n"/>
      <c r="S247" s="323" t="n"/>
      <c r="T247" s="43" t="inlineStr">
        <is>
          <t>кг</t>
        </is>
      </c>
      <c r="U247" s="370">
        <f>GrossWeightTotal+PalletQtyTotal*25</f>
        <v/>
      </c>
      <c r="V247" s="370">
        <f>GrossWeightTotalR+PalletQtyTotalR*25</f>
        <v/>
      </c>
      <c r="W247" s="43" t="n"/>
      <c r="X247" s="371" t="n"/>
      <c r="Y247" s="371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8" t="n"/>
      <c r="M248" s="457" t="inlineStr">
        <is>
          <t>Кол-во коробок</t>
        </is>
      </c>
      <c r="N248" s="322" t="n"/>
      <c r="O248" s="322" t="n"/>
      <c r="P248" s="322" t="n"/>
      <c r="Q248" s="322" t="n"/>
      <c r="R248" s="322" t="n"/>
      <c r="S248" s="323" t="n"/>
      <c r="T248" s="43" t="inlineStr">
        <is>
          <t>шт</t>
        </is>
      </c>
      <c r="U248" s="370">
        <f>IFERROR(U23+U32+U40+U46+U56+U62+U67+U73+U84+U91+U99+U105+U110+U118+U123+U129+U134+U140+U144+U151+U164+U169+U177+U182+U189+U194+U199+U206+U214+U219+U225+U231+U237+U242,"0")</f>
        <v/>
      </c>
      <c r="V248" s="370">
        <f>IFERROR(V23+V32+V40+V46+V56+V62+V67+V73+V84+V91+V99+V105+V110+V118+V123+V129+V134+V140+V144+V151+V164+V169+V177+V182+V189+V194+V199+V206+V214+V219+V225+V231+V237+V242,"0")</f>
        <v/>
      </c>
      <c r="W248" s="43" t="n"/>
      <c r="X248" s="371" t="n"/>
      <c r="Y248" s="371" t="n"/>
    </row>
    <row r="249" ht="14.25" customHeight="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328" t="n"/>
      <c r="M249" s="457" t="inlineStr">
        <is>
          <t>Объем заказа</t>
        </is>
      </c>
      <c r="N249" s="322" t="n"/>
      <c r="O249" s="322" t="n"/>
      <c r="P249" s="322" t="n"/>
      <c r="Q249" s="322" t="n"/>
      <c r="R249" s="322" t="n"/>
      <c r="S249" s="323" t="n"/>
      <c r="T249" s="46" t="inlineStr">
        <is>
          <t>м3</t>
        </is>
      </c>
      <c r="U249" s="43" t="n"/>
      <c r="V249" s="43" t="n"/>
      <c r="W249" s="43">
        <f>IFERROR(W23+W32+W40+W46+W56+W62+W67+W73+W84+W91+W99+W105+W110+W118+W123+W129+W134+W140+W144+W151+W164+W169+W177+W182+W189+W194+W199+W206+W214+W219+W225+W231+W237+W242,"0")</f>
        <v/>
      </c>
      <c r="X249" s="371" t="n"/>
      <c r="Y249" s="371" t="n"/>
    </row>
    <row r="250" ht="13.5" customHeight="1" thickBot="1"/>
    <row r="251" ht="27" customHeight="1" thickBot="1" thickTop="1">
      <c r="A251" s="47" t="inlineStr">
        <is>
          <t>ТОРГОВАЯ МАРКА</t>
        </is>
      </c>
      <c r="B251" s="319" t="inlineStr">
        <is>
          <t>Ядрена копоть</t>
        </is>
      </c>
      <c r="C251" s="319" t="inlineStr">
        <is>
          <t>Горячая штучка</t>
        </is>
      </c>
      <c r="D251" s="458" t="n"/>
      <c r="E251" s="458" t="n"/>
      <c r="F251" s="458" t="n"/>
      <c r="G251" s="458" t="n"/>
      <c r="H251" s="458" t="n"/>
      <c r="I251" s="458" t="n"/>
      <c r="J251" s="458" t="n"/>
      <c r="K251" s="458" t="n"/>
      <c r="L251" s="458" t="n"/>
      <c r="M251" s="458" t="n"/>
      <c r="N251" s="458" t="n"/>
      <c r="O251" s="458" t="n"/>
      <c r="P251" s="458" t="n"/>
      <c r="Q251" s="458" t="n"/>
      <c r="R251" s="459" t="n"/>
      <c r="S251" s="319" t="inlineStr">
        <is>
          <t>No Name</t>
        </is>
      </c>
      <c r="T251" s="458" t="n"/>
      <c r="U251" s="459" t="n"/>
      <c r="V251" s="319" t="inlineStr">
        <is>
          <t>Вязанка</t>
        </is>
      </c>
      <c r="W251" s="458" t="n"/>
      <c r="X251" s="459" t="n"/>
      <c r="Y251" s="319" t="inlineStr">
        <is>
          <t>Стародворье</t>
        </is>
      </c>
      <c r="Z251" s="458" t="n"/>
      <c r="AA251" s="458" t="n"/>
      <c r="AB251" s="459" t="n"/>
      <c r="AC251" s="319" t="inlineStr">
        <is>
          <t>Колбасный стандарт</t>
        </is>
      </c>
      <c r="AD251" s="319" t="inlineStr">
        <is>
          <t>Особый рецепт</t>
        </is>
      </c>
      <c r="AE251" s="459" t="n"/>
    </row>
    <row r="252" ht="14.25" customHeight="1" thickTop="1">
      <c r="A252" s="320" t="inlineStr">
        <is>
          <t>СЕРИЯ</t>
        </is>
      </c>
      <c r="B252" s="319" t="inlineStr">
        <is>
          <t>Ядрена копоть</t>
        </is>
      </c>
      <c r="C252" s="319" t="inlineStr">
        <is>
          <t>Наггетсы ГШ</t>
        </is>
      </c>
      <c r="D252" s="319" t="inlineStr">
        <is>
          <t>Grandmeni</t>
        </is>
      </c>
      <c r="E252" s="319" t="inlineStr">
        <is>
          <t>Чебупай</t>
        </is>
      </c>
      <c r="F252" s="319" t="inlineStr">
        <is>
          <t>Бигбули ГШ</t>
        </is>
      </c>
      <c r="G252" s="319" t="inlineStr">
        <is>
          <t>Бульмени вес ГШ</t>
        </is>
      </c>
      <c r="H252" s="319" t="inlineStr">
        <is>
          <t>Бельмеши</t>
        </is>
      </c>
      <c r="I252" s="319" t="inlineStr">
        <is>
          <t>Крылышки ГШ</t>
        </is>
      </c>
      <c r="J252" s="319" t="inlineStr">
        <is>
          <t>Чебупели</t>
        </is>
      </c>
      <c r="K252" s="319" t="inlineStr">
        <is>
          <t>Чебуреки</t>
        </is>
      </c>
      <c r="L252" s="319" t="inlineStr">
        <is>
          <t>Бульмени ГШ</t>
        </is>
      </c>
      <c r="M252" s="319" t="inlineStr">
        <is>
          <t>Чебупицца</t>
        </is>
      </c>
      <c r="N252" s="319" t="inlineStr">
        <is>
          <t>Хотстеры</t>
        </is>
      </c>
      <c r="O252" s="319" t="inlineStr">
        <is>
          <t>Круггетсы</t>
        </is>
      </c>
      <c r="P252" s="319" t="inlineStr">
        <is>
          <t>Пекерсы</t>
        </is>
      </c>
      <c r="Q252" s="319" t="inlineStr">
        <is>
          <t>Супермени</t>
        </is>
      </c>
      <c r="R252" s="319" t="inlineStr">
        <is>
          <t>Чебуманы</t>
        </is>
      </c>
      <c r="S252" s="319" t="inlineStr">
        <is>
          <t>No Name ПГП</t>
        </is>
      </c>
      <c r="T252" s="319" t="inlineStr">
        <is>
          <t>Стародворье ПГП</t>
        </is>
      </c>
      <c r="U252" s="319" t="inlineStr">
        <is>
          <t>No Name ЗПФ</t>
        </is>
      </c>
      <c r="V252" s="319" t="inlineStr">
        <is>
          <t>Няняггетсы Сливушки</t>
        </is>
      </c>
      <c r="W252" s="319" t="inlineStr">
        <is>
          <t>Печеные пельмени</t>
        </is>
      </c>
      <c r="X252" s="319" t="inlineStr">
        <is>
          <t>Вязанка</t>
        </is>
      </c>
      <c r="Y252" s="319" t="inlineStr">
        <is>
          <t>Стародворье ЗПФ</t>
        </is>
      </c>
      <c r="Z252" s="319" t="inlineStr">
        <is>
          <t>Медвежье ушко</t>
        </is>
      </c>
      <c r="AA252" s="319" t="inlineStr">
        <is>
          <t>Бордо</t>
        </is>
      </c>
      <c r="AB252" s="319" t="inlineStr">
        <is>
          <t>Сочные</t>
        </is>
      </c>
      <c r="AC252" s="319" t="inlineStr">
        <is>
          <t>Владимирский Стандарт ЗПФ</t>
        </is>
      </c>
      <c r="AD252" s="319" t="inlineStr">
        <is>
          <t>Любимая ложка</t>
        </is>
      </c>
      <c r="AE252" s="319" t="inlineStr">
        <is>
          <t>Особая Без свинины</t>
        </is>
      </c>
    </row>
    <row r="253" ht="13.5" customHeight="1" thickBot="1">
      <c r="A253" s="460" t="n"/>
      <c r="B253" s="461" t="n"/>
      <c r="C253" s="461" t="n"/>
      <c r="D253" s="461" t="n"/>
      <c r="E253" s="461" t="n"/>
      <c r="F253" s="461" t="n"/>
      <c r="G253" s="461" t="n"/>
      <c r="H253" s="461" t="n"/>
      <c r="I253" s="461" t="n"/>
      <c r="J253" s="461" t="n"/>
      <c r="K253" s="461" t="n"/>
      <c r="L253" s="461" t="n"/>
      <c r="M253" s="461" t="n"/>
      <c r="N253" s="461" t="n"/>
      <c r="O253" s="461" t="n"/>
      <c r="P253" s="461" t="n"/>
      <c r="Q253" s="461" t="n"/>
      <c r="R253" s="461" t="n"/>
      <c r="S253" s="461" t="n"/>
      <c r="T253" s="461" t="n"/>
      <c r="U253" s="461" t="n"/>
      <c r="V253" s="461" t="n"/>
      <c r="W253" s="461" t="n"/>
      <c r="X253" s="461" t="n"/>
      <c r="Y253" s="461" t="n"/>
      <c r="Z253" s="461" t="n"/>
      <c r="AA253" s="461" t="n"/>
      <c r="AB253" s="461" t="n"/>
      <c r="AC253" s="461" t="n"/>
      <c r="AD253" s="461" t="n"/>
      <c r="AE253" s="461" t="n"/>
    </row>
    <row r="254" ht="18" customHeight="1" thickBot="1" thickTop="1">
      <c r="A254" s="47" t="inlineStr">
        <is>
          <t>ИТОГО, кг</t>
        </is>
      </c>
      <c r="B254" s="53">
        <f>IFERROR(U22*H22,"0")</f>
        <v/>
      </c>
      <c r="C254" s="53">
        <f>IFERROR(U28*H28,"0")+IFERROR(U29*H29,"0")+IFERROR(U30*H30,"0")+IFERROR(U31*H31,"0")</f>
        <v/>
      </c>
      <c r="D254" s="53">
        <f>IFERROR(U36*H36,"0")+IFERROR(U37*H37,"0")+IFERROR(U38*H38,"0")+IFERROR(U39*H39,"0")</f>
        <v/>
      </c>
      <c r="E254" s="53">
        <f>IFERROR(U44*H44,"0")+IFERROR(U45*H45,"0")</f>
        <v/>
      </c>
      <c r="F254" s="53">
        <f>IFERROR(U50*H50,"0")+IFERROR(U51*H51,"0")+IFERROR(U52*H52,"0")+IFERROR(U53*H53,"0")+IFERROR(U54*H54,"0")+IFERROR(U55*H55,"0")</f>
        <v/>
      </c>
      <c r="G254" s="53">
        <f>IFERROR(U60*H60,"0")+IFERROR(U61*H61,"0")</f>
        <v/>
      </c>
      <c r="H254" s="53">
        <f>IFERROR(U66*H66,"0")</f>
        <v/>
      </c>
      <c r="I254" s="53">
        <f>IFERROR(U71*H71,"0")+IFERROR(U72*H72,"0")</f>
        <v/>
      </c>
      <c r="J254" s="53">
        <f>IFERROR(U77*H77,"0")+IFERROR(U78*H78,"0")+IFERROR(U79*H79,"0")+IFERROR(U80*H80,"0")+IFERROR(U81*H81,"0")+IFERROR(U82*H82,"0")+IFERROR(U83*H83,"0")</f>
        <v/>
      </c>
      <c r="K254" s="53">
        <f>IFERROR(U88*H88,"0")+IFERROR(U89*H89,"0")+IFERROR(U90*H90,"0")</f>
        <v/>
      </c>
      <c r="L254" s="53">
        <f>IFERROR(U95*H95,"0")+IFERROR(U96*H96,"0")+IFERROR(U97*H97,"0")+IFERROR(U98*H98,"0")</f>
        <v/>
      </c>
      <c r="M254" s="53">
        <f>IFERROR(U103*H103,"0")+IFERROR(U104*H104,"0")</f>
        <v/>
      </c>
      <c r="N254" s="53">
        <f>IFERROR(U109*H109,"0")</f>
        <v/>
      </c>
      <c r="O254" s="53">
        <f>IFERROR(U114*H114,"0")+IFERROR(U115*H115,"0")+IFERROR(U116*H116,"0")+IFERROR(U117*H117,"0")</f>
        <v/>
      </c>
      <c r="P254" s="53">
        <f>IFERROR(U122*H122,"0")</f>
        <v/>
      </c>
      <c r="Q254" s="53">
        <f>IFERROR(U127*H127,"0")+IFERROR(U128*H128,"0")</f>
        <v/>
      </c>
      <c r="R254" s="53">
        <f>IFERROR(U133*H133,"0")</f>
        <v/>
      </c>
      <c r="S254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/>
      </c>
      <c r="T254" s="53">
        <f>IFERROR(U168*H168,"0")</f>
        <v/>
      </c>
      <c r="U254" s="53">
        <f>IFERROR(U173*H173,"0")+IFERROR(U174*H174,"0")+IFERROR(U175*H175,"0")+IFERROR(U176*H176,"0")+IFERROR(U180*H180,"0")+IFERROR(U181*H181,"0")</f>
        <v/>
      </c>
      <c r="V254" s="53">
        <f>IFERROR(U187*H187,"0")+IFERROR(U188*H188,"0")</f>
        <v/>
      </c>
      <c r="W254" s="53">
        <f>IFERROR(U193*H193,"0")</f>
        <v/>
      </c>
      <c r="X254" s="53">
        <f>IFERROR(U198*H198,"0")</f>
        <v/>
      </c>
      <c r="Y254" s="53">
        <f>IFERROR(U204*H204,"0")+IFERROR(U205*H205,"0")</f>
        <v/>
      </c>
      <c r="Z254" s="53">
        <f>IFERROR(U210*H210,"0")+IFERROR(U211*H211,"0")+IFERROR(U212*H212,"0")+IFERROR(U213*H213,"0")</f>
        <v/>
      </c>
      <c r="AA254" s="53">
        <f>IFERROR(U218*H218,"0")</f>
        <v/>
      </c>
      <c r="AB254" s="53">
        <f>IFERROR(U223*H223,"0")+IFERROR(U224*H224,"0")</f>
        <v/>
      </c>
      <c r="AC254" s="53">
        <f>IFERROR(U230*H230,"0")</f>
        <v/>
      </c>
      <c r="AD254" s="53">
        <f>IFERROR(U236*H236,"0")</f>
        <v/>
      </c>
      <c r="AE254" s="53">
        <f>IFERROR(U241*H241,"0")</f>
        <v/>
      </c>
    </row>
    <row r="255" ht="13.5" customHeight="1" thickTop="1">
      <c r="C255" s="1" t="n"/>
    </row>
    <row r="256" ht="19.5" customHeight="1">
      <c r="A256" s="71" t="inlineStr">
        <is>
          <t>ЗПФ, кг</t>
        </is>
      </c>
      <c r="B256" s="71" t="inlineStr">
        <is>
          <t xml:space="preserve">ПГП, кг </t>
        </is>
      </c>
      <c r="C256" s="71" t="inlineStr">
        <is>
          <t>КИЗ, кг</t>
        </is>
      </c>
    </row>
    <row r="257">
      <c r="A257" s="72">
        <f>SUMPRODUCT(--(AC:AC="ЗПФ"),H:H,V:V)</f>
        <v/>
      </c>
      <c r="B257" s="73">
        <f>SUMPRODUCT(--(AC:AC="ПГП"),H:H,V:V)</f>
        <v/>
      </c>
      <c r="C257" s="73">
        <f>SUMPRODUCT(--(AC:AC="КИЗ"),H:H,V:V)</f>
        <v/>
      </c>
    </row>
    <row r="25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gDzwXjYUbjPg2nYAuMaZw==" formatRows="1" sort="0" spinCount="100000" hashValue="BZSa3u8giLpe2sfanDujN4rBLo4nYbDbJsZgY/hWlmdT6xNUuODGtKeZMspZwaKDwL0DnazEGArd8xXxk3rAdA=="/>
  <autoFilter ref="B18:W249">
    <filterColumn colId="2" showButton="0"/>
    <filterColumn colId="11" showButton="0"/>
    <filterColumn colId="12" showButton="0"/>
    <filterColumn colId="13" showButton="0"/>
    <filterColumn colId="14" showButton="0"/>
  </autoFilter>
  <mergeCells count="451"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M242:S242"/>
    <mergeCell ref="A242:L243"/>
    <mergeCell ref="M243:S243"/>
    <mergeCell ref="M244:S244"/>
    <mergeCell ref="A244:L249"/>
    <mergeCell ref="M245:S245"/>
    <mergeCell ref="M246:S246"/>
    <mergeCell ref="M247:S247"/>
    <mergeCell ref="M248:S248"/>
    <mergeCell ref="M249:S249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A229:W229"/>
    <mergeCell ref="D230:E230"/>
    <mergeCell ref="M230:Q230"/>
    <mergeCell ref="M231:S231"/>
    <mergeCell ref="A231:L232"/>
    <mergeCell ref="M232:S232"/>
    <mergeCell ref="A233:W233"/>
    <mergeCell ref="A234:W234"/>
    <mergeCell ref="A235:W235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A228:W228"/>
    <mergeCell ref="A216:W216"/>
    <mergeCell ref="A217:W217"/>
    <mergeCell ref="D218:E218"/>
    <mergeCell ref="M218:Q218"/>
    <mergeCell ref="M219:S219"/>
    <mergeCell ref="A219:L220"/>
    <mergeCell ref="M220:S220"/>
    <mergeCell ref="A221:W221"/>
    <mergeCell ref="A222:W222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D205:E205"/>
    <mergeCell ref="M205:Q205"/>
    <mergeCell ref="M206:S206"/>
    <mergeCell ref="A206:L207"/>
    <mergeCell ref="M207:S207"/>
    <mergeCell ref="A208:W208"/>
    <mergeCell ref="A209:W209"/>
    <mergeCell ref="D210:E210"/>
    <mergeCell ref="M210:Q210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disablePrompts="1"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hYIk65A8ZsPYprOCmcWnw==" formatRows="1" sort="0" spinCount="100000" hashValue="OK4mNRsSblmdclE4BmePD3AJgGVteUUO2Y/jg1ROXLtpN4eM34Xl4vbsbVCdN3eRxR9+a6EubYwTOe53cdXQY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2023-07-24T13:04:36Z</dcterms:modified>
  <cp:lastModifiedBy>Uaer4</cp:lastModifiedBy>
</cp:coreProperties>
</file>