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62"/>
  <sheetViews>
    <sheetView showGridLines="0" tabSelected="1" topLeftCell="D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03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O1" s="32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0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03">
      <c r="A5" s="304" t="inlineStr">
        <is>
          <t xml:space="preserve">Ваш контактный телефон и имя: </t>
        </is>
      </c>
      <c r="B5" s="332" t="n"/>
      <c r="C5" s="333" t="n"/>
      <c r="D5" s="326" t="n"/>
      <c r="E5" s="334" t="n"/>
      <c r="F5" s="327" t="inlineStr">
        <is>
          <t>Комментарий к заказу:</t>
        </is>
      </c>
      <c r="G5" s="333" t="n"/>
      <c r="H5" s="326" t="n"/>
      <c r="I5" s="335" t="n"/>
      <c r="J5" s="335" t="n"/>
      <c r="K5" s="334" t="n"/>
      <c r="M5" s="29" t="inlineStr">
        <is>
          <t>Дата загрузки</t>
        </is>
      </c>
      <c r="N5" s="336" t="n">
        <v>45186</v>
      </c>
      <c r="O5" s="337" t="n"/>
      <c r="Q5" s="329" t="inlineStr">
        <is>
          <t>Способ доставки (доставка/самовывоз)</t>
        </is>
      </c>
      <c r="R5" s="338" t="n"/>
      <c r="S5" s="339" t="inlineStr">
        <is>
          <t>Самовывоз</t>
        </is>
      </c>
      <c r="T5" s="337" t="n"/>
      <c r="Y5" s="60" t="n"/>
      <c r="Z5" s="60" t="n"/>
      <c r="AA5" s="60" t="n"/>
    </row>
    <row r="6" ht="24" customFormat="1" customHeight="1" s="303">
      <c r="A6" s="304" t="inlineStr">
        <is>
          <t>Адрес доставки:</t>
        </is>
      </c>
      <c r="B6" s="332" t="n"/>
      <c r="C6" s="333" t="n"/>
      <c r="D6" s="305" t="inlineStr">
        <is>
          <t>ЛП, ООО, Крым Респ, Симферополь г, Данилова ул, 43В, лит В, офис 4,</t>
        </is>
      </c>
      <c r="E6" s="340" t="n"/>
      <c r="F6" s="340" t="n"/>
      <c r="G6" s="340" t="n"/>
      <c r="H6" s="340" t="n"/>
      <c r="I6" s="340" t="n"/>
      <c r="J6" s="340" t="n"/>
      <c r="K6" s="337" t="n"/>
      <c r="M6" s="29" t="inlineStr">
        <is>
          <t>День недели</t>
        </is>
      </c>
      <c r="N6" s="306">
        <f>IF(N5=0," ",CHOOSE(WEEKDAY(N5,2),"Понедельник","Вторник","Среда","Четверг","Пятница","Суббота","Воскресенье"))</f>
        <v/>
      </c>
      <c r="O6" s="341" t="n"/>
      <c r="Q6" s="308" t="inlineStr">
        <is>
          <t>Наименование клиента</t>
        </is>
      </c>
      <c r="R6" s="338" t="n"/>
      <c r="S6" s="342" t="inlineStr">
        <is>
          <t>ОБЩЕСТВО С ОГРАНИЧЕННОЙ ОТВЕТСТВЕННОСТЬЮ "ЛОГИСТИЧЕСКИЙ ПАРТНЕР"</t>
        </is>
      </c>
      <c r="T6" s="343" t="n"/>
      <c r="Y6" s="60" t="n"/>
      <c r="Z6" s="60" t="n"/>
      <c r="AA6" s="60" t="n"/>
    </row>
    <row r="7" hidden="1" ht="21.75" customFormat="1" customHeight="1" s="303">
      <c r="A7" s="65" t="n"/>
      <c r="B7" s="65" t="n"/>
      <c r="C7" s="65" t="n"/>
      <c r="D7" s="344">
        <f>IFERROR(VLOOKUP(DeliveryAddress,Table,3,0),1)</f>
        <v/>
      </c>
      <c r="E7" s="345" t="n"/>
      <c r="F7" s="345" t="n"/>
      <c r="G7" s="345" t="n"/>
      <c r="H7" s="345" t="n"/>
      <c r="I7" s="345" t="n"/>
      <c r="J7" s="345" t="n"/>
      <c r="K7" s="346" t="n"/>
      <c r="M7" s="29" t="n"/>
      <c r="N7" s="49" t="n"/>
      <c r="O7" s="49" t="n"/>
      <c r="Q7" s="1" t="n"/>
      <c r="R7" s="338" t="n"/>
      <c r="S7" s="347" t="n"/>
      <c r="T7" s="348" t="n"/>
      <c r="Y7" s="60" t="n"/>
      <c r="Z7" s="60" t="n"/>
      <c r="AA7" s="60" t="n"/>
    </row>
    <row r="8" ht="25.5" customFormat="1" customHeight="1" s="303">
      <c r="A8" s="318" t="inlineStr">
        <is>
          <t>Адрес сдачи груза:</t>
        </is>
      </c>
      <c r="B8" s="349" t="n"/>
      <c r="C8" s="350" t="n"/>
      <c r="D8" s="319" t="inlineStr">
        <is>
          <t>295021Российская Федерация, Крым Респ, Симферополь г, Данилова ул, 43В, лит В, офис 4,</t>
        </is>
      </c>
      <c r="E8" s="351" t="n"/>
      <c r="F8" s="351" t="n"/>
      <c r="G8" s="351" t="n"/>
      <c r="H8" s="351" t="n"/>
      <c r="I8" s="351" t="n"/>
      <c r="J8" s="351" t="n"/>
      <c r="K8" s="352" t="n"/>
      <c r="M8" s="29" t="inlineStr">
        <is>
          <t>Время загрузки</t>
        </is>
      </c>
      <c r="N8" s="299" t="n">
        <v>0.3333333333333333</v>
      </c>
      <c r="O8" s="337" t="n"/>
      <c r="Q8" s="1" t="n"/>
      <c r="R8" s="338" t="n"/>
      <c r="S8" s="347" t="n"/>
      <c r="T8" s="348" t="n"/>
      <c r="Y8" s="60" t="n"/>
      <c r="Z8" s="60" t="n"/>
      <c r="AA8" s="60" t="n"/>
    </row>
    <row r="9" ht="39.95" customFormat="1" customHeight="1" s="303">
      <c r="A9" s="2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6" t="inlineStr"/>
      <c r="E9" s="3" t="n"/>
      <c r="F9" s="2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36" t="n"/>
      <c r="O9" s="337" t="n"/>
      <c r="Q9" s="1" t="n"/>
      <c r="R9" s="338" t="n"/>
      <c r="S9" s="353" t="n"/>
      <c r="T9" s="35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03">
      <c r="A10" s="2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6" t="n"/>
      <c r="E10" s="3" t="n"/>
      <c r="F10" s="2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99" t="n"/>
      <c r="O10" s="337" t="n"/>
      <c r="R10" s="29" t="inlineStr">
        <is>
          <t>КОД Аксапты Клиента</t>
        </is>
      </c>
      <c r="S10" s="355" t="inlineStr">
        <is>
          <t>590704</t>
        </is>
      </c>
      <c r="T10" s="34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99" t="n"/>
      <c r="O11" s="337" t="n"/>
      <c r="R11" s="29" t="inlineStr">
        <is>
          <t>Тип заказа</t>
        </is>
      </c>
      <c r="S11" s="287" t="inlineStr">
        <is>
          <t>Основной заказ</t>
        </is>
      </c>
      <c r="T11" s="35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03">
      <c r="A12" s="286" t="inlineStr">
        <is>
          <t>Телефоны для заказов:8(919)022-63-02 E-mail: Zamorozka@abiproduct.ru, Телефон сотрудников склада: 8-980-75-76-203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9" t="inlineStr">
        <is>
          <t>Время доставки 3 машины</t>
        </is>
      </c>
      <c r="N12" s="302" t="n"/>
      <c r="O12" s="346" t="n"/>
      <c r="P12" s="28" t="n"/>
      <c r="R12" s="29" t="inlineStr"/>
      <c r="S12" s="303" t="n"/>
      <c r="T12" s="1" t="n"/>
      <c r="Y12" s="60" t="n"/>
      <c r="Z12" s="60" t="n"/>
      <c r="AA12" s="60" t="n"/>
    </row>
    <row r="13" ht="23.25" customFormat="1" customHeight="1" s="303">
      <c r="A13" s="28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31" t="n"/>
      <c r="M13" s="31" t="inlineStr">
        <is>
          <t>Время доставки 4 машины</t>
        </is>
      </c>
      <c r="N13" s="287" t="n"/>
      <c r="O13" s="35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03">
      <c r="A14" s="286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03">
      <c r="A15" s="288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290" t="inlineStr">
        <is>
          <t>Кликните на продукт, чтобы просмотреть изображение</t>
        </is>
      </c>
      <c r="U15" s="303" t="n"/>
      <c r="V15" s="303" t="n"/>
      <c r="W15" s="303" t="n"/>
      <c r="X15" s="30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57" t="n"/>
      <c r="N16" s="357" t="n"/>
      <c r="O16" s="357" t="n"/>
      <c r="P16" s="357" t="n"/>
      <c r="Q16" s="35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74" t="inlineStr">
        <is>
          <t>Код единицы продаж</t>
        </is>
      </c>
      <c r="B17" s="274" t="inlineStr">
        <is>
          <t>Код продукта</t>
        </is>
      </c>
      <c r="C17" s="292" t="inlineStr">
        <is>
          <t>Номер варианта</t>
        </is>
      </c>
      <c r="D17" s="274" t="inlineStr">
        <is>
          <t xml:space="preserve">Штрих-код </t>
        </is>
      </c>
      <c r="E17" s="358" t="n"/>
      <c r="F17" s="274" t="inlineStr">
        <is>
          <t>Вес нетто штуки, кг</t>
        </is>
      </c>
      <c r="G17" s="274" t="inlineStr">
        <is>
          <t>Кол-во штук в коробе, шт</t>
        </is>
      </c>
      <c r="H17" s="274" t="inlineStr">
        <is>
          <t>Вес нетто короба, кг</t>
        </is>
      </c>
      <c r="I17" s="274" t="inlineStr">
        <is>
          <t>Вес брутто короба, кг</t>
        </is>
      </c>
      <c r="J17" s="274" t="inlineStr">
        <is>
          <t>Кол-во кор. на паллте, шт</t>
        </is>
      </c>
      <c r="K17" s="274" t="inlineStr">
        <is>
          <t>Завод</t>
        </is>
      </c>
      <c r="L17" s="274" t="inlineStr">
        <is>
          <t>Срок годности, сут.</t>
        </is>
      </c>
      <c r="M17" s="274" t="inlineStr">
        <is>
          <t>Наименование</t>
        </is>
      </c>
      <c r="N17" s="359" t="n"/>
      <c r="O17" s="359" t="n"/>
      <c r="P17" s="359" t="n"/>
      <c r="Q17" s="358" t="n"/>
      <c r="R17" s="291" t="inlineStr">
        <is>
          <t>Доступно к отгрузке</t>
        </is>
      </c>
      <c r="S17" s="333" t="n"/>
      <c r="T17" s="274" t="inlineStr">
        <is>
          <t>Ед. изм.</t>
        </is>
      </c>
      <c r="U17" s="274" t="inlineStr">
        <is>
          <t>Заказ</t>
        </is>
      </c>
      <c r="V17" s="275" t="inlineStr">
        <is>
          <t>Заказ с округлением до короба</t>
        </is>
      </c>
      <c r="W17" s="274" t="inlineStr">
        <is>
          <t>Объём заказа, м3</t>
        </is>
      </c>
      <c r="X17" s="277" t="inlineStr">
        <is>
          <t>Примечание по продуктку</t>
        </is>
      </c>
      <c r="Y17" s="277" t="inlineStr">
        <is>
          <t>Признак "НОВИНКА"</t>
        </is>
      </c>
      <c r="Z17" s="277" t="inlineStr">
        <is>
          <t>Для формул</t>
        </is>
      </c>
      <c r="AA17" s="360" t="n"/>
      <c r="AB17" s="361" t="n"/>
      <c r="AC17" s="284" t="n"/>
      <c r="AZ17" s="285" t="inlineStr">
        <is>
          <t>Вид продукции</t>
        </is>
      </c>
    </row>
    <row r="18" ht="14.25" customHeight="1">
      <c r="A18" s="362" t="n"/>
      <c r="B18" s="362" t="n"/>
      <c r="C18" s="362" t="n"/>
      <c r="D18" s="363" t="n"/>
      <c r="E18" s="364" t="n"/>
      <c r="F18" s="362" t="n"/>
      <c r="G18" s="362" t="n"/>
      <c r="H18" s="362" t="n"/>
      <c r="I18" s="362" t="n"/>
      <c r="J18" s="362" t="n"/>
      <c r="K18" s="362" t="n"/>
      <c r="L18" s="362" t="n"/>
      <c r="M18" s="363" t="n"/>
      <c r="N18" s="365" t="n"/>
      <c r="O18" s="365" t="n"/>
      <c r="P18" s="365" t="n"/>
      <c r="Q18" s="364" t="n"/>
      <c r="R18" s="291" t="inlineStr">
        <is>
          <t>начиная с</t>
        </is>
      </c>
      <c r="S18" s="291" t="inlineStr">
        <is>
          <t>до</t>
        </is>
      </c>
      <c r="T18" s="362" t="n"/>
      <c r="U18" s="362" t="n"/>
      <c r="V18" s="366" t="n"/>
      <c r="W18" s="362" t="n"/>
      <c r="X18" s="367" t="n"/>
      <c r="Y18" s="367" t="n"/>
      <c r="Z18" s="368" t="n"/>
      <c r="AA18" s="369" t="n"/>
      <c r="AB18" s="370" t="n"/>
      <c r="AC18" s="371" t="n"/>
      <c r="AZ18" s="1" t="n"/>
    </row>
    <row r="19" ht="27.75" customHeight="1">
      <c r="A19" s="184" t="inlineStr">
        <is>
          <t>Ядрена копоть</t>
        </is>
      </c>
      <c r="B19" s="372" t="n"/>
      <c r="C19" s="372" t="n"/>
      <c r="D19" s="372" t="n"/>
      <c r="E19" s="372" t="n"/>
      <c r="F19" s="372" t="n"/>
      <c r="G19" s="372" t="n"/>
      <c r="H19" s="372" t="n"/>
      <c r="I19" s="372" t="n"/>
      <c r="J19" s="372" t="n"/>
      <c r="K19" s="372" t="n"/>
      <c r="L19" s="372" t="n"/>
      <c r="M19" s="372" t="n"/>
      <c r="N19" s="372" t="n"/>
      <c r="O19" s="372" t="n"/>
      <c r="P19" s="372" t="n"/>
      <c r="Q19" s="372" t="n"/>
      <c r="R19" s="372" t="n"/>
      <c r="S19" s="372" t="n"/>
      <c r="T19" s="372" t="n"/>
      <c r="U19" s="372" t="n"/>
      <c r="V19" s="372" t="n"/>
      <c r="W19" s="372" t="n"/>
      <c r="X19" s="55" t="n"/>
      <c r="Y19" s="55" t="n"/>
    </row>
    <row r="20" ht="16.5" customHeight="1">
      <c r="A20" s="1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9" t="n"/>
      <c r="Y20" s="169" t="n"/>
    </row>
    <row r="21" ht="14.25" customHeight="1">
      <c r="A21" s="17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0" t="n"/>
      <c r="Y21" s="17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1" t="n">
        <v>4607111035752</v>
      </c>
      <c r="E22" s="341" t="n"/>
      <c r="F22" s="373" t="n">
        <v>0.43</v>
      </c>
      <c r="G22" s="38" t="n">
        <v>16</v>
      </c>
      <c r="H22" s="373" t="n">
        <v>6.88</v>
      </c>
      <c r="I22" s="37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7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75" t="n"/>
      <c r="O22" s="375" t="n"/>
      <c r="P22" s="375" t="n"/>
      <c r="Q22" s="341" t="n"/>
      <c r="R22" s="40" t="inlineStr"/>
      <c r="S22" s="40" t="inlineStr"/>
      <c r="T22" s="41" t="inlineStr">
        <is>
          <t>кор</t>
        </is>
      </c>
      <c r="U22" s="376" t="n">
        <v>0</v>
      </c>
      <c r="V22" s="37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78" t="n"/>
      <c r="M23" s="379" t="inlineStr">
        <is>
          <t>Итого</t>
        </is>
      </c>
      <c r="N23" s="349" t="n"/>
      <c r="O23" s="349" t="n"/>
      <c r="P23" s="349" t="n"/>
      <c r="Q23" s="349" t="n"/>
      <c r="R23" s="349" t="n"/>
      <c r="S23" s="350" t="n"/>
      <c r="T23" s="43" t="inlineStr">
        <is>
          <t>кор</t>
        </is>
      </c>
      <c r="U23" s="380">
        <f>IFERROR(SUM(U22:U22),"0")</f>
        <v/>
      </c>
      <c r="V23" s="380">
        <f>IFERROR(SUM(V22:V22),"0")</f>
        <v/>
      </c>
      <c r="W23" s="380">
        <f>IFERROR(IF(W22="",0,W22),"0")</f>
        <v/>
      </c>
      <c r="X23" s="381" t="n"/>
      <c r="Y23" s="38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78" t="n"/>
      <c r="M24" s="379" t="inlineStr">
        <is>
          <t>Итого</t>
        </is>
      </c>
      <c r="N24" s="349" t="n"/>
      <c r="O24" s="349" t="n"/>
      <c r="P24" s="349" t="n"/>
      <c r="Q24" s="349" t="n"/>
      <c r="R24" s="349" t="n"/>
      <c r="S24" s="350" t="n"/>
      <c r="T24" s="43" t="inlineStr">
        <is>
          <t>кг</t>
        </is>
      </c>
      <c r="U24" s="380">
        <f>IFERROR(SUMPRODUCT(U22:U22*H22:H22),"0")</f>
        <v/>
      </c>
      <c r="V24" s="380">
        <f>IFERROR(SUMPRODUCT(V22:V22*H22:H22),"0")</f>
        <v/>
      </c>
      <c r="W24" s="43" t="n"/>
      <c r="X24" s="381" t="n"/>
      <c r="Y24" s="381" t="n"/>
    </row>
    <row r="25" ht="27.75" customHeight="1">
      <c r="A25" s="184" t="inlineStr">
        <is>
          <t>Горячая штучка</t>
        </is>
      </c>
      <c r="B25" s="372" t="n"/>
      <c r="C25" s="372" t="n"/>
      <c r="D25" s="372" t="n"/>
      <c r="E25" s="372" t="n"/>
      <c r="F25" s="372" t="n"/>
      <c r="G25" s="372" t="n"/>
      <c r="H25" s="372" t="n"/>
      <c r="I25" s="372" t="n"/>
      <c r="J25" s="372" t="n"/>
      <c r="K25" s="372" t="n"/>
      <c r="L25" s="372" t="n"/>
      <c r="M25" s="372" t="n"/>
      <c r="N25" s="372" t="n"/>
      <c r="O25" s="372" t="n"/>
      <c r="P25" s="372" t="n"/>
      <c r="Q25" s="372" t="n"/>
      <c r="R25" s="372" t="n"/>
      <c r="S25" s="372" t="n"/>
      <c r="T25" s="372" t="n"/>
      <c r="U25" s="372" t="n"/>
      <c r="V25" s="372" t="n"/>
      <c r="W25" s="372" t="n"/>
      <c r="X25" s="55" t="n"/>
      <c r="Y25" s="55" t="n"/>
    </row>
    <row r="26" ht="16.5" customHeight="1">
      <c r="A26" s="16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9" t="n"/>
      <c r="Y26" s="169" t="n"/>
    </row>
    <row r="27" ht="14.25" customHeight="1">
      <c r="A27" s="17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0" t="n"/>
      <c r="Y27" s="17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1" t="n">
        <v>4607111036520</v>
      </c>
      <c r="E28" s="341" t="n"/>
      <c r="F28" s="373" t="n">
        <v>0.25</v>
      </c>
      <c r="G28" s="38" t="n">
        <v>6</v>
      </c>
      <c r="H28" s="373" t="n">
        <v>1.5</v>
      </c>
      <c r="I28" s="37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8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75" t="n"/>
      <c r="O28" s="375" t="n"/>
      <c r="P28" s="375" t="n"/>
      <c r="Q28" s="341" t="n"/>
      <c r="R28" s="40" t="inlineStr"/>
      <c r="S28" s="40" t="inlineStr"/>
      <c r="T28" s="41" t="inlineStr">
        <is>
          <t>кор</t>
        </is>
      </c>
      <c r="U28" s="376" t="n">
        <v>0</v>
      </c>
      <c r="V28" s="37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1" t="n">
        <v>4607111036605</v>
      </c>
      <c r="E29" s="341" t="n"/>
      <c r="F29" s="373" t="n">
        <v>0.25</v>
      </c>
      <c r="G29" s="38" t="n">
        <v>6</v>
      </c>
      <c r="H29" s="373" t="n">
        <v>1.5</v>
      </c>
      <c r="I29" s="37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8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75" t="n"/>
      <c r="O29" s="375" t="n"/>
      <c r="P29" s="375" t="n"/>
      <c r="Q29" s="341" t="n"/>
      <c r="R29" s="40" t="inlineStr"/>
      <c r="S29" s="40" t="inlineStr"/>
      <c r="T29" s="41" t="inlineStr">
        <is>
          <t>кор</t>
        </is>
      </c>
      <c r="U29" s="376" t="n">
        <v>0</v>
      </c>
      <c r="V29" s="37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1" t="n">
        <v>4607111036537</v>
      </c>
      <c r="E30" s="341" t="n"/>
      <c r="F30" s="373" t="n">
        <v>0.25</v>
      </c>
      <c r="G30" s="38" t="n">
        <v>6</v>
      </c>
      <c r="H30" s="373" t="n">
        <v>1.5</v>
      </c>
      <c r="I30" s="37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8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75" t="n"/>
      <c r="O30" s="375" t="n"/>
      <c r="P30" s="375" t="n"/>
      <c r="Q30" s="341" t="n"/>
      <c r="R30" s="40" t="inlineStr"/>
      <c r="S30" s="40" t="inlineStr"/>
      <c r="T30" s="41" t="inlineStr">
        <is>
          <t>кор</t>
        </is>
      </c>
      <c r="U30" s="376" t="n">
        <v>350</v>
      </c>
      <c r="V30" s="37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1" t="n">
        <v>4607111036599</v>
      </c>
      <c r="E31" s="341" t="n"/>
      <c r="F31" s="373" t="n">
        <v>0.25</v>
      </c>
      <c r="G31" s="38" t="n">
        <v>6</v>
      </c>
      <c r="H31" s="373" t="n">
        <v>1.5</v>
      </c>
      <c r="I31" s="37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8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75" t="n"/>
      <c r="O31" s="375" t="n"/>
      <c r="P31" s="375" t="n"/>
      <c r="Q31" s="341" t="n"/>
      <c r="R31" s="40" t="inlineStr"/>
      <c r="S31" s="40" t="inlineStr"/>
      <c r="T31" s="41" t="inlineStr">
        <is>
          <t>кор</t>
        </is>
      </c>
      <c r="U31" s="376" t="n">
        <v>0</v>
      </c>
      <c r="V31" s="37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78" t="n"/>
      <c r="M32" s="379" t="inlineStr">
        <is>
          <t>Итого</t>
        </is>
      </c>
      <c r="N32" s="349" t="n"/>
      <c r="O32" s="349" t="n"/>
      <c r="P32" s="349" t="n"/>
      <c r="Q32" s="349" t="n"/>
      <c r="R32" s="349" t="n"/>
      <c r="S32" s="350" t="n"/>
      <c r="T32" s="43" t="inlineStr">
        <is>
          <t>кор</t>
        </is>
      </c>
      <c r="U32" s="380">
        <f>IFERROR(SUM(U28:U31),"0")</f>
        <v/>
      </c>
      <c r="V32" s="380">
        <f>IFERROR(SUM(V28:V31),"0")</f>
        <v/>
      </c>
      <c r="W32" s="380">
        <f>IFERROR(IF(W28="",0,W28),"0")+IFERROR(IF(W29="",0,W29),"0")+IFERROR(IF(W30="",0,W30),"0")+IFERROR(IF(W31="",0,W31),"0")</f>
        <v/>
      </c>
      <c r="X32" s="381" t="n"/>
      <c r="Y32" s="38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78" t="n"/>
      <c r="M33" s="379" t="inlineStr">
        <is>
          <t>Итого</t>
        </is>
      </c>
      <c r="N33" s="349" t="n"/>
      <c r="O33" s="349" t="n"/>
      <c r="P33" s="349" t="n"/>
      <c r="Q33" s="349" t="n"/>
      <c r="R33" s="349" t="n"/>
      <c r="S33" s="350" t="n"/>
      <c r="T33" s="43" t="inlineStr">
        <is>
          <t>кг</t>
        </is>
      </c>
      <c r="U33" s="380">
        <f>IFERROR(SUMPRODUCT(U28:U31*H28:H31),"0")</f>
        <v/>
      </c>
      <c r="V33" s="380">
        <f>IFERROR(SUMPRODUCT(V28:V31*H28:H31),"0")</f>
        <v/>
      </c>
      <c r="W33" s="43" t="n"/>
      <c r="X33" s="381" t="n"/>
      <c r="Y33" s="381" t="n"/>
    </row>
    <row r="34" ht="16.5" customHeight="1">
      <c r="A34" s="16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9" t="n"/>
      <c r="Y34" s="169" t="n"/>
    </row>
    <row r="35" ht="14.25" customHeight="1">
      <c r="A35" s="17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0" t="n"/>
      <c r="Y35" s="17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1" t="n">
        <v>4607111036285</v>
      </c>
      <c r="E36" s="341" t="n"/>
      <c r="F36" s="373" t="n">
        <v>0.75</v>
      </c>
      <c r="G36" s="38" t="n">
        <v>8</v>
      </c>
      <c r="H36" s="373" t="n">
        <v>6</v>
      </c>
      <c r="I36" s="37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8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75" t="n"/>
      <c r="O36" s="375" t="n"/>
      <c r="P36" s="375" t="n"/>
      <c r="Q36" s="341" t="n"/>
      <c r="R36" s="40" t="inlineStr"/>
      <c r="S36" s="40" t="inlineStr"/>
      <c r="T36" s="41" t="inlineStr">
        <is>
          <t>кор</t>
        </is>
      </c>
      <c r="U36" s="376" t="n">
        <v>0</v>
      </c>
      <c r="V36" s="37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1" t="n">
        <v>4607111036308</v>
      </c>
      <c r="E37" s="341" t="n"/>
      <c r="F37" s="373" t="n">
        <v>0.75</v>
      </c>
      <c r="G37" s="38" t="n">
        <v>8</v>
      </c>
      <c r="H37" s="373" t="n">
        <v>6</v>
      </c>
      <c r="I37" s="37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87" t="inlineStr">
        <is>
          <t>Пельмени Grandmeni с говядиной в сливочном соусе Grandmeni 0,75 Сфера Горячая штучка</t>
        </is>
      </c>
      <c r="N37" s="375" t="n"/>
      <c r="O37" s="375" t="n"/>
      <c r="P37" s="375" t="n"/>
      <c r="Q37" s="341" t="n"/>
      <c r="R37" s="40" t="inlineStr"/>
      <c r="S37" s="40" t="inlineStr"/>
      <c r="T37" s="41" t="inlineStr">
        <is>
          <t>кор</t>
        </is>
      </c>
      <c r="U37" s="376" t="n">
        <v>0</v>
      </c>
      <c r="V37" s="37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1" t="n">
        <v>4607111036315</v>
      </c>
      <c r="E38" s="341" t="n"/>
      <c r="F38" s="373" t="n">
        <v>0.75</v>
      </c>
      <c r="G38" s="38" t="n">
        <v>8</v>
      </c>
      <c r="H38" s="373" t="n">
        <v>6</v>
      </c>
      <c r="I38" s="37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8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75" t="n"/>
      <c r="O38" s="375" t="n"/>
      <c r="P38" s="375" t="n"/>
      <c r="Q38" s="341" t="n"/>
      <c r="R38" s="40" t="inlineStr"/>
      <c r="S38" s="40" t="inlineStr"/>
      <c r="T38" s="41" t="inlineStr">
        <is>
          <t>кор</t>
        </is>
      </c>
      <c r="U38" s="376" t="n">
        <v>0</v>
      </c>
      <c r="V38" s="37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1" t="n">
        <v>4607111036292</v>
      </c>
      <c r="E39" s="341" t="n"/>
      <c r="F39" s="373" t="n">
        <v>0.75</v>
      </c>
      <c r="G39" s="38" t="n">
        <v>8</v>
      </c>
      <c r="H39" s="373" t="n">
        <v>6</v>
      </c>
      <c r="I39" s="37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8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75" t="n"/>
      <c r="O39" s="375" t="n"/>
      <c r="P39" s="375" t="n"/>
      <c r="Q39" s="341" t="n"/>
      <c r="R39" s="40" t="inlineStr"/>
      <c r="S39" s="40" t="inlineStr"/>
      <c r="T39" s="41" t="inlineStr">
        <is>
          <t>кор</t>
        </is>
      </c>
      <c r="U39" s="376" t="n">
        <v>0</v>
      </c>
      <c r="V39" s="37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78" t="n"/>
      <c r="M40" s="379" t="inlineStr">
        <is>
          <t>Итого</t>
        </is>
      </c>
      <c r="N40" s="349" t="n"/>
      <c r="O40" s="349" t="n"/>
      <c r="P40" s="349" t="n"/>
      <c r="Q40" s="349" t="n"/>
      <c r="R40" s="349" t="n"/>
      <c r="S40" s="350" t="n"/>
      <c r="T40" s="43" t="inlineStr">
        <is>
          <t>кор</t>
        </is>
      </c>
      <c r="U40" s="380">
        <f>IFERROR(SUM(U36:U39),"0")</f>
        <v/>
      </c>
      <c r="V40" s="380">
        <f>IFERROR(SUM(V36:V39),"0")</f>
        <v/>
      </c>
      <c r="W40" s="380">
        <f>IFERROR(IF(W36="",0,W36),"0")+IFERROR(IF(W37="",0,W37),"0")+IFERROR(IF(W38="",0,W38),"0")+IFERROR(IF(W39="",0,W39),"0")</f>
        <v/>
      </c>
      <c r="X40" s="381" t="n"/>
      <c r="Y40" s="38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78" t="n"/>
      <c r="M41" s="379" t="inlineStr">
        <is>
          <t>Итого</t>
        </is>
      </c>
      <c r="N41" s="349" t="n"/>
      <c r="O41" s="349" t="n"/>
      <c r="P41" s="349" t="n"/>
      <c r="Q41" s="349" t="n"/>
      <c r="R41" s="349" t="n"/>
      <c r="S41" s="350" t="n"/>
      <c r="T41" s="43" t="inlineStr">
        <is>
          <t>кг</t>
        </is>
      </c>
      <c r="U41" s="380">
        <f>IFERROR(SUMPRODUCT(U36:U39*H36:H39),"0")</f>
        <v/>
      </c>
      <c r="V41" s="380">
        <f>IFERROR(SUMPRODUCT(V36:V39*H36:H39),"0")</f>
        <v/>
      </c>
      <c r="W41" s="43" t="n"/>
      <c r="X41" s="381" t="n"/>
      <c r="Y41" s="381" t="n"/>
    </row>
    <row r="42" ht="16.5" customHeight="1">
      <c r="A42" s="16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9" t="n"/>
      <c r="Y42" s="169" t="n"/>
    </row>
    <row r="43" ht="14.25" customHeight="1">
      <c r="A43" s="17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0" t="n"/>
      <c r="Y43" s="17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1" t="n">
        <v>4607111037053</v>
      </c>
      <c r="E44" s="341" t="n"/>
      <c r="F44" s="373" t="n">
        <v>0.2</v>
      </c>
      <c r="G44" s="38" t="n">
        <v>6</v>
      </c>
      <c r="H44" s="373" t="n">
        <v>1.2</v>
      </c>
      <c r="I44" s="37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9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75" t="n"/>
      <c r="O44" s="375" t="n"/>
      <c r="P44" s="375" t="n"/>
      <c r="Q44" s="341" t="n"/>
      <c r="R44" s="40" t="inlineStr"/>
      <c r="S44" s="40" t="inlineStr"/>
      <c r="T44" s="41" t="inlineStr">
        <is>
          <t>кор</t>
        </is>
      </c>
      <c r="U44" s="376" t="n">
        <v>0</v>
      </c>
      <c r="V44" s="37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1" t="n">
        <v>4607111037060</v>
      </c>
      <c r="E45" s="341" t="n"/>
      <c r="F45" s="373" t="n">
        <v>0.2</v>
      </c>
      <c r="G45" s="38" t="n">
        <v>6</v>
      </c>
      <c r="H45" s="373" t="n">
        <v>1.2</v>
      </c>
      <c r="I45" s="37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9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75" t="n"/>
      <c r="O45" s="375" t="n"/>
      <c r="P45" s="375" t="n"/>
      <c r="Q45" s="341" t="n"/>
      <c r="R45" s="40" t="inlineStr"/>
      <c r="S45" s="40" t="inlineStr"/>
      <c r="T45" s="41" t="inlineStr">
        <is>
          <t>кор</t>
        </is>
      </c>
      <c r="U45" s="376" t="n">
        <v>50</v>
      </c>
      <c r="V45" s="37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78" t="n"/>
      <c r="M46" s="379" t="inlineStr">
        <is>
          <t>Итого</t>
        </is>
      </c>
      <c r="N46" s="349" t="n"/>
      <c r="O46" s="349" t="n"/>
      <c r="P46" s="349" t="n"/>
      <c r="Q46" s="349" t="n"/>
      <c r="R46" s="349" t="n"/>
      <c r="S46" s="350" t="n"/>
      <c r="T46" s="43" t="inlineStr">
        <is>
          <t>кор</t>
        </is>
      </c>
      <c r="U46" s="380">
        <f>IFERROR(SUM(U44:U45),"0")</f>
        <v/>
      </c>
      <c r="V46" s="380">
        <f>IFERROR(SUM(V44:V45),"0")</f>
        <v/>
      </c>
      <c r="W46" s="380">
        <f>IFERROR(IF(W44="",0,W44),"0")+IFERROR(IF(W45="",0,W45),"0")</f>
        <v/>
      </c>
      <c r="X46" s="381" t="n"/>
      <c r="Y46" s="38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78" t="n"/>
      <c r="M47" s="379" t="inlineStr">
        <is>
          <t>Итого</t>
        </is>
      </c>
      <c r="N47" s="349" t="n"/>
      <c r="O47" s="349" t="n"/>
      <c r="P47" s="349" t="n"/>
      <c r="Q47" s="349" t="n"/>
      <c r="R47" s="349" t="n"/>
      <c r="S47" s="350" t="n"/>
      <c r="T47" s="43" t="inlineStr">
        <is>
          <t>кг</t>
        </is>
      </c>
      <c r="U47" s="380">
        <f>IFERROR(SUMPRODUCT(U44:U45*H44:H45),"0")</f>
        <v/>
      </c>
      <c r="V47" s="380">
        <f>IFERROR(SUMPRODUCT(V44:V45*H44:H45),"0")</f>
        <v/>
      </c>
      <c r="W47" s="43" t="n"/>
      <c r="X47" s="381" t="n"/>
      <c r="Y47" s="381" t="n"/>
    </row>
    <row r="48" ht="16.5" customHeight="1">
      <c r="A48" s="16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9" t="n"/>
      <c r="Y48" s="169" t="n"/>
    </row>
    <row r="49" ht="14.25" customHeight="1">
      <c r="A49" s="17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0" t="n"/>
      <c r="Y49" s="17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1" t="n">
        <v>4607111037190</v>
      </c>
      <c r="E50" s="341" t="n"/>
      <c r="F50" s="373" t="n">
        <v>0.43</v>
      </c>
      <c r="G50" s="38" t="n">
        <v>16</v>
      </c>
      <c r="H50" s="373" t="n">
        <v>6.88</v>
      </c>
      <c r="I50" s="37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9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75" t="n"/>
      <c r="O50" s="375" t="n"/>
      <c r="P50" s="375" t="n"/>
      <c r="Q50" s="341" t="n"/>
      <c r="R50" s="40" t="inlineStr"/>
      <c r="S50" s="40" t="inlineStr"/>
      <c r="T50" s="41" t="inlineStr">
        <is>
          <t>кор</t>
        </is>
      </c>
      <c r="U50" s="376" t="n">
        <v>0</v>
      </c>
      <c r="V50" s="37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1" t="n">
        <v>4607111037183</v>
      </c>
      <c r="E51" s="341" t="n"/>
      <c r="F51" s="373" t="n">
        <v>0.9</v>
      </c>
      <c r="G51" s="38" t="n">
        <v>8</v>
      </c>
      <c r="H51" s="373" t="n">
        <v>7.2</v>
      </c>
      <c r="I51" s="37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9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75" t="n"/>
      <c r="O51" s="375" t="n"/>
      <c r="P51" s="375" t="n"/>
      <c r="Q51" s="341" t="n"/>
      <c r="R51" s="40" t="inlineStr">
        <is>
          <t>15.09.2023</t>
        </is>
      </c>
      <c r="S51" s="40" t="inlineStr"/>
      <c r="T51" s="41" t="inlineStr">
        <is>
          <t>кор</t>
        </is>
      </c>
      <c r="U51" s="376" t="n">
        <v>75</v>
      </c>
      <c r="V51" s="37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71" t="n">
        <v>4607111037183</v>
      </c>
      <c r="E52" s="341" t="n"/>
      <c r="F52" s="373" t="n">
        <v>0.9</v>
      </c>
      <c r="G52" s="38" t="n">
        <v>8</v>
      </c>
      <c r="H52" s="373" t="n">
        <v>7.2</v>
      </c>
      <c r="I52" s="373" t="n">
        <v>7.486</v>
      </c>
      <c r="J52" s="38" t="n">
        <v>84</v>
      </c>
      <c r="K52" s="39" t="inlineStr">
        <is>
          <t>МГ</t>
        </is>
      </c>
      <c r="L52" s="38" t="n">
        <v>180</v>
      </c>
      <c r="M52" s="394" t="inlineStr">
        <is>
          <t>Пельмени «Бигбули #МЕГАВКУСИЩЕ с сочной грудинкой» 0,9 сфера ТМ «Горячая штучка»</t>
        </is>
      </c>
      <c r="N52" s="375" t="n"/>
      <c r="O52" s="375" t="n"/>
      <c r="P52" s="375" t="n"/>
      <c r="Q52" s="341" t="n"/>
      <c r="R52" s="40" t="inlineStr"/>
      <c r="S52" s="40" t="inlineStr"/>
      <c r="T52" s="41" t="inlineStr">
        <is>
          <t>кор</t>
        </is>
      </c>
      <c r="U52" s="376" t="n">
        <v>0</v>
      </c>
      <c r="V52" s="37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P003081</t>
        </is>
      </c>
      <c r="C53" s="37" t="n">
        <v>4301070928</v>
      </c>
      <c r="D53" s="171" t="n">
        <v>4607111037091</v>
      </c>
      <c r="E53" s="341" t="n"/>
      <c r="F53" s="373" t="n">
        <v>0.43</v>
      </c>
      <c r="G53" s="38" t="n">
        <v>16</v>
      </c>
      <c r="H53" s="373" t="n">
        <v>6.88</v>
      </c>
      <c r="I53" s="373" t="n">
        <v>7.11</v>
      </c>
      <c r="J53" s="38" t="n">
        <v>84</v>
      </c>
      <c r="K53" s="39" t="inlineStr">
        <is>
          <t>МГ</t>
        </is>
      </c>
      <c r="L53" s="38" t="n">
        <v>150</v>
      </c>
      <c r="M53" s="395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3" s="375" t="n"/>
      <c r="O53" s="375" t="n"/>
      <c r="P53" s="375" t="n"/>
      <c r="Q53" s="341" t="n"/>
      <c r="R53" s="40" t="inlineStr"/>
      <c r="S53" s="40" t="inlineStr"/>
      <c r="T53" s="41" t="inlineStr">
        <is>
          <t>кор</t>
        </is>
      </c>
      <c r="U53" s="376" t="n">
        <v>100</v>
      </c>
      <c r="V53" s="37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SU002707</t>
        </is>
      </c>
      <c r="B54" s="64" t="inlineStr">
        <is>
          <t>P003680</t>
        </is>
      </c>
      <c r="C54" s="37" t="n">
        <v>4301070970</v>
      </c>
      <c r="D54" s="171" t="n">
        <v>4607111037091</v>
      </c>
      <c r="E54" s="341" t="n"/>
      <c r="F54" s="373" t="n">
        <v>0.43</v>
      </c>
      <c r="G54" s="38" t="n">
        <v>16</v>
      </c>
      <c r="H54" s="373" t="n">
        <v>6.88</v>
      </c>
      <c r="I54" s="373" t="n">
        <v>7.11</v>
      </c>
      <c r="J54" s="38" t="n">
        <v>84</v>
      </c>
      <c r="K54" s="39" t="inlineStr">
        <is>
          <t>МГ</t>
        </is>
      </c>
      <c r="L54" s="38" t="n">
        <v>180</v>
      </c>
      <c r="M54" s="396" t="inlineStr">
        <is>
          <t>Пельмени «Бигбули #МЕГАМАСЛИЩЕ со сливочным маслом» 0,43 сфера ТМ «Горячая штучка»</t>
        </is>
      </c>
      <c r="N54" s="375" t="n"/>
      <c r="O54" s="375" t="n"/>
      <c r="P54" s="375" t="n"/>
      <c r="Q54" s="341" t="n"/>
      <c r="R54" s="40" t="inlineStr">
        <is>
          <t>15.09.2023</t>
        </is>
      </c>
      <c r="S54" s="40" t="inlineStr"/>
      <c r="T54" s="41" t="inlineStr">
        <is>
          <t>кор</t>
        </is>
      </c>
      <c r="U54" s="376" t="n">
        <v>0</v>
      </c>
      <c r="V54" s="37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SU002838</t>
        </is>
      </c>
      <c r="B55" s="64" t="inlineStr">
        <is>
          <t>P003251</t>
        </is>
      </c>
      <c r="C55" s="37" t="n">
        <v>4301070944</v>
      </c>
      <c r="D55" s="171" t="n">
        <v>4607111036902</v>
      </c>
      <c r="E55" s="341" t="n"/>
      <c r="F55" s="373" t="n">
        <v>0.9</v>
      </c>
      <c r="G55" s="38" t="n">
        <v>8</v>
      </c>
      <c r="H55" s="373" t="n">
        <v>7.2</v>
      </c>
      <c r="I55" s="373" t="n">
        <v>7.43</v>
      </c>
      <c r="J55" s="38" t="n">
        <v>84</v>
      </c>
      <c r="K55" s="39" t="inlineStr">
        <is>
          <t>МГ</t>
        </is>
      </c>
      <c r="L55" s="38" t="n">
        <v>150</v>
      </c>
      <c r="M55" s="397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5" s="375" t="n"/>
      <c r="O55" s="375" t="n"/>
      <c r="P55" s="375" t="n"/>
      <c r="Q55" s="341" t="n"/>
      <c r="R55" s="40" t="inlineStr"/>
      <c r="S55" s="40" t="inlineStr"/>
      <c r="T55" s="41" t="inlineStr">
        <is>
          <t>кор</t>
        </is>
      </c>
      <c r="U55" s="376" t="n">
        <v>0</v>
      </c>
      <c r="V55" s="37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 ht="27" customHeight="1">
      <c r="A56" s="64" t="inlineStr">
        <is>
          <t>SU002625</t>
        </is>
      </c>
      <c r="B56" s="64" t="inlineStr">
        <is>
          <t>P002963</t>
        </is>
      </c>
      <c r="C56" s="37" t="n">
        <v>4301070938</v>
      </c>
      <c r="D56" s="171" t="n">
        <v>4607111036858</v>
      </c>
      <c r="E56" s="341" t="n"/>
      <c r="F56" s="373" t="n">
        <v>0.43</v>
      </c>
      <c r="G56" s="38" t="n">
        <v>16</v>
      </c>
      <c r="H56" s="373" t="n">
        <v>6.88</v>
      </c>
      <c r="I56" s="373" t="n">
        <v>7.1996</v>
      </c>
      <c r="J56" s="38" t="n">
        <v>84</v>
      </c>
      <c r="K56" s="39" t="inlineStr">
        <is>
          <t>МГ</t>
        </is>
      </c>
      <c r="L56" s="38" t="n">
        <v>150</v>
      </c>
      <c r="M56" s="398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6" s="375" t="n"/>
      <c r="O56" s="375" t="n"/>
      <c r="P56" s="375" t="n"/>
      <c r="Q56" s="341" t="n"/>
      <c r="R56" s="40" t="inlineStr"/>
      <c r="S56" s="40" t="inlineStr"/>
      <c r="T56" s="41" t="inlineStr">
        <is>
          <t>кор</t>
        </is>
      </c>
      <c r="U56" s="376" t="n">
        <v>10</v>
      </c>
      <c r="V56" s="377">
        <f>IFERROR(IF(U56="","",U56),"")</f>
        <v/>
      </c>
      <c r="W56" s="42">
        <f>IFERROR(IF(U56="","",U56*0.0155),"")</f>
        <v/>
      </c>
      <c r="X56" s="69" t="inlineStr"/>
      <c r="Y56" s="70" t="inlineStr"/>
      <c r="AC56" s="74" t="n"/>
      <c r="AZ56" s="93" t="inlineStr">
        <is>
          <t>ЗПФ</t>
        </is>
      </c>
    </row>
    <row r="57" ht="27" customHeight="1">
      <c r="A57" s="64" t="inlineStr">
        <is>
          <t>SU002624</t>
        </is>
      </c>
      <c r="B57" s="64" t="inlineStr">
        <is>
          <t>P002962</t>
        </is>
      </c>
      <c r="C57" s="37" t="n">
        <v>4301070909</v>
      </c>
      <c r="D57" s="171" t="n">
        <v>4607111036889</v>
      </c>
      <c r="E57" s="341" t="n"/>
      <c r="F57" s="373" t="n">
        <v>0.9</v>
      </c>
      <c r="G57" s="38" t="n">
        <v>8</v>
      </c>
      <c r="H57" s="373" t="n">
        <v>7.2</v>
      </c>
      <c r="I57" s="373" t="n">
        <v>7.486</v>
      </c>
      <c r="J57" s="38" t="n">
        <v>84</v>
      </c>
      <c r="K57" s="39" t="inlineStr">
        <is>
          <t>МГ</t>
        </is>
      </c>
      <c r="L57" s="38" t="n">
        <v>150</v>
      </c>
      <c r="M57" s="399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7" s="375" t="n"/>
      <c r="O57" s="375" t="n"/>
      <c r="P57" s="375" t="n"/>
      <c r="Q57" s="341" t="n"/>
      <c r="R57" s="40" t="inlineStr"/>
      <c r="S57" s="40" t="inlineStr"/>
      <c r="T57" s="41" t="inlineStr">
        <is>
          <t>кор</t>
        </is>
      </c>
      <c r="U57" s="376" t="n">
        <v>121</v>
      </c>
      <c r="V57" s="377">
        <f>IFERROR(IF(U57="","",U57),"")</f>
        <v/>
      </c>
      <c r="W57" s="42">
        <f>IFERROR(IF(U57="","",U57*0.0155),"")</f>
        <v/>
      </c>
      <c r="X57" s="69" t="inlineStr"/>
      <c r="Y57" s="70" t="inlineStr"/>
      <c r="AC57" s="74" t="n"/>
      <c r="AZ57" s="94" t="inlineStr">
        <is>
          <t>ЗПФ</t>
        </is>
      </c>
    </row>
    <row r="58">
      <c r="A58" s="179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78" t="n"/>
      <c r="M58" s="379" t="inlineStr">
        <is>
          <t>Итого</t>
        </is>
      </c>
      <c r="N58" s="349" t="n"/>
      <c r="O58" s="349" t="n"/>
      <c r="P58" s="349" t="n"/>
      <c r="Q58" s="349" t="n"/>
      <c r="R58" s="349" t="n"/>
      <c r="S58" s="350" t="n"/>
      <c r="T58" s="43" t="inlineStr">
        <is>
          <t>кор</t>
        </is>
      </c>
      <c r="U58" s="380">
        <f>IFERROR(SUM(U50:U57),"0")</f>
        <v/>
      </c>
      <c r="V58" s="380">
        <f>IFERROR(SUM(V50:V57),"0")</f>
        <v/>
      </c>
      <c r="W58" s="380">
        <f>IFERROR(IF(W50="",0,W50),"0")+IFERROR(IF(W51="",0,W51),"0")+IFERROR(IF(W52="",0,W52),"0")+IFERROR(IF(W53="",0,W53),"0")+IFERROR(IF(W54="",0,W54),"0")+IFERROR(IF(W55="",0,W55),"0")+IFERROR(IF(W56="",0,W56),"0")+IFERROR(IF(W57="",0,W57),"0")</f>
        <v/>
      </c>
      <c r="X58" s="381" t="n"/>
      <c r="Y58" s="38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378" t="n"/>
      <c r="M59" s="379" t="inlineStr">
        <is>
          <t>Итого</t>
        </is>
      </c>
      <c r="N59" s="349" t="n"/>
      <c r="O59" s="349" t="n"/>
      <c r="P59" s="349" t="n"/>
      <c r="Q59" s="349" t="n"/>
      <c r="R59" s="349" t="n"/>
      <c r="S59" s="350" t="n"/>
      <c r="T59" s="43" t="inlineStr">
        <is>
          <t>кг</t>
        </is>
      </c>
      <c r="U59" s="380">
        <f>IFERROR(SUMPRODUCT(U50:U57*H50:H57),"0")</f>
        <v/>
      </c>
      <c r="V59" s="380">
        <f>IFERROR(SUMPRODUCT(V50:V57*H50:H57),"0")</f>
        <v/>
      </c>
      <c r="W59" s="43" t="n"/>
      <c r="X59" s="381" t="n"/>
      <c r="Y59" s="381" t="n"/>
    </row>
    <row r="60" ht="16.5" customHeight="1">
      <c r="A60" s="169" t="inlineStr">
        <is>
          <t>Бульмени вес ГШ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69" t="n"/>
      <c r="Y60" s="169" t="n"/>
    </row>
    <row r="61" ht="14.25" customHeight="1">
      <c r="A61" s="170" t="inlineStr">
        <is>
          <t>Пельмени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70" t="n"/>
      <c r="Y61" s="170" t="n"/>
    </row>
    <row r="62" ht="27" customHeight="1">
      <c r="A62" s="64" t="inlineStr">
        <is>
          <t>SU002798</t>
        </is>
      </c>
      <c r="B62" s="64" t="inlineStr">
        <is>
          <t>P003687</t>
        </is>
      </c>
      <c r="C62" s="37" t="n">
        <v>4301070977</v>
      </c>
      <c r="D62" s="171" t="n">
        <v>4607111037411</v>
      </c>
      <c r="E62" s="341" t="n"/>
      <c r="F62" s="373" t="n">
        <v>2.7</v>
      </c>
      <c r="G62" s="38" t="n">
        <v>1</v>
      </c>
      <c r="H62" s="373" t="n">
        <v>2.7</v>
      </c>
      <c r="I62" s="373" t="n">
        <v>2.8132</v>
      </c>
      <c r="J62" s="38" t="n">
        <v>234</v>
      </c>
      <c r="K62" s="39" t="inlineStr">
        <is>
          <t>МГ</t>
        </is>
      </c>
      <c r="L62" s="38" t="n">
        <v>180</v>
      </c>
      <c r="M62" s="400" t="inlineStr">
        <is>
          <t>Пельмени «Бульмени с говядиной и свининой Наваристые» Весовые Сфера ТМ «Горячая штучка» 2,7 кг</t>
        </is>
      </c>
      <c r="N62" s="375" t="n"/>
      <c r="O62" s="375" t="n"/>
      <c r="P62" s="375" t="n"/>
      <c r="Q62" s="341" t="n"/>
      <c r="R62" s="40" t="inlineStr">
        <is>
          <t>15.09.2023</t>
        </is>
      </c>
      <c r="S62" s="40" t="inlineStr"/>
      <c r="T62" s="41" t="inlineStr">
        <is>
          <t>кор</t>
        </is>
      </c>
      <c r="U62" s="376" t="n">
        <v>0</v>
      </c>
      <c r="V62" s="377">
        <f>IFERROR(IF(U62="","",U62),"")</f>
        <v/>
      </c>
      <c r="W62" s="42">
        <f>IFERROR(IF(U62="","",U62*0.00502),"")</f>
        <v/>
      </c>
      <c r="X62" s="69" t="inlineStr"/>
      <c r="Y62" s="70" t="inlineStr"/>
      <c r="AC62" s="74" t="n"/>
      <c r="AZ62" s="95" t="inlineStr">
        <is>
          <t>ЗПФ</t>
        </is>
      </c>
    </row>
    <row r="63" ht="27" customHeight="1">
      <c r="A63" s="64" t="inlineStr">
        <is>
          <t>SU002798</t>
        </is>
      </c>
      <c r="B63" s="64" t="inlineStr">
        <is>
          <t>P003220</t>
        </is>
      </c>
      <c r="C63" s="37" t="n">
        <v>4301070939</v>
      </c>
      <c r="D63" s="171" t="n">
        <v>4607111037411</v>
      </c>
      <c r="E63" s="341" t="n"/>
      <c r="F63" s="373" t="n">
        <v>2.7</v>
      </c>
      <c r="G63" s="38" t="n">
        <v>1</v>
      </c>
      <c r="H63" s="373" t="n">
        <v>2.7</v>
      </c>
      <c r="I63" s="373" t="n">
        <v>2.8132</v>
      </c>
      <c r="J63" s="38" t="n">
        <v>234</v>
      </c>
      <c r="K63" s="39" t="inlineStr">
        <is>
          <t>МГ</t>
        </is>
      </c>
      <c r="L63" s="38" t="n">
        <v>150</v>
      </c>
      <c r="M63" s="401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3" s="375" t="n"/>
      <c r="O63" s="375" t="n"/>
      <c r="P63" s="375" t="n"/>
      <c r="Q63" s="341" t="n"/>
      <c r="R63" s="40" t="inlineStr"/>
      <c r="S63" s="40" t="inlineStr"/>
      <c r="T63" s="41" t="inlineStr">
        <is>
          <t>кор</t>
        </is>
      </c>
      <c r="U63" s="376" t="n">
        <v>0</v>
      </c>
      <c r="V63" s="377">
        <f>IFERROR(IF(U63="","",U63),"")</f>
        <v/>
      </c>
      <c r="W63" s="42">
        <f>IFERROR(IF(U63="","",U63*0.00502),"")</f>
        <v/>
      </c>
      <c r="X63" s="69" t="inlineStr"/>
      <c r="Y63" s="70" t="inlineStr"/>
      <c r="AC63" s="74" t="n"/>
      <c r="AZ63" s="96" t="inlineStr">
        <is>
          <t>ЗПФ</t>
        </is>
      </c>
    </row>
    <row r="64" ht="27" customHeight="1">
      <c r="A64" s="64" t="inlineStr">
        <is>
          <t>SU002595</t>
        </is>
      </c>
      <c r="B64" s="64" t="inlineStr">
        <is>
          <t>P003697</t>
        </is>
      </c>
      <c r="C64" s="37" t="n">
        <v>4301070981</v>
      </c>
      <c r="D64" s="171" t="n">
        <v>4607111036728</v>
      </c>
      <c r="E64" s="341" t="n"/>
      <c r="F64" s="373" t="n">
        <v>5</v>
      </c>
      <c r="G64" s="38" t="n">
        <v>1</v>
      </c>
      <c r="H64" s="373" t="n">
        <v>5</v>
      </c>
      <c r="I64" s="373" t="n">
        <v>5.2132</v>
      </c>
      <c r="J64" s="38" t="n">
        <v>144</v>
      </c>
      <c r="K64" s="39" t="inlineStr">
        <is>
          <t>МГ</t>
        </is>
      </c>
      <c r="L64" s="38" t="n">
        <v>180</v>
      </c>
      <c r="M64" s="402" t="inlineStr">
        <is>
          <t>Пельмени «Бульмени с говядиной и свининой Наваристые» Весовые Сфера ТМ «Горячая штучка» 5 кг</t>
        </is>
      </c>
      <c r="N64" s="375" t="n"/>
      <c r="O64" s="375" t="n"/>
      <c r="P64" s="375" t="n"/>
      <c r="Q64" s="341" t="n"/>
      <c r="R64" s="40" t="inlineStr"/>
      <c r="S64" s="40" t="inlineStr"/>
      <c r="T64" s="41" t="inlineStr">
        <is>
          <t>кор</t>
        </is>
      </c>
      <c r="U64" s="376" t="n">
        <v>180</v>
      </c>
      <c r="V64" s="377">
        <f>IFERROR(IF(U64="","",U64),"")</f>
        <v/>
      </c>
      <c r="W64" s="42">
        <f>IFERROR(IF(U64="","",U64*0.00866),"")</f>
        <v/>
      </c>
      <c r="X64" s="69" t="inlineStr"/>
      <c r="Y64" s="70" t="inlineStr"/>
      <c r="AC64" s="74" t="n"/>
      <c r="AZ64" s="97" t="inlineStr">
        <is>
          <t>ЗПФ</t>
        </is>
      </c>
    </row>
    <row r="65">
      <c r="A65" s="179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378" t="n"/>
      <c r="M65" s="379" t="inlineStr">
        <is>
          <t>Итого</t>
        </is>
      </c>
      <c r="N65" s="349" t="n"/>
      <c r="O65" s="349" t="n"/>
      <c r="P65" s="349" t="n"/>
      <c r="Q65" s="349" t="n"/>
      <c r="R65" s="349" t="n"/>
      <c r="S65" s="350" t="n"/>
      <c r="T65" s="43" t="inlineStr">
        <is>
          <t>кор</t>
        </is>
      </c>
      <c r="U65" s="380">
        <f>IFERROR(SUM(U62:U64),"0")</f>
        <v/>
      </c>
      <c r="V65" s="380">
        <f>IFERROR(SUM(V62:V64),"0")</f>
        <v/>
      </c>
      <c r="W65" s="380">
        <f>IFERROR(IF(W62="",0,W62),"0")+IFERROR(IF(W63="",0,W63),"0")+IFERROR(IF(W64="",0,W64),"0")</f>
        <v/>
      </c>
      <c r="X65" s="381" t="n"/>
      <c r="Y65" s="38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78" t="n"/>
      <c r="M66" s="379" t="inlineStr">
        <is>
          <t>Итого</t>
        </is>
      </c>
      <c r="N66" s="349" t="n"/>
      <c r="O66" s="349" t="n"/>
      <c r="P66" s="349" t="n"/>
      <c r="Q66" s="349" t="n"/>
      <c r="R66" s="349" t="n"/>
      <c r="S66" s="350" t="n"/>
      <c r="T66" s="43" t="inlineStr">
        <is>
          <t>кг</t>
        </is>
      </c>
      <c r="U66" s="380">
        <f>IFERROR(SUMPRODUCT(U62:U64*H62:H64),"0")</f>
        <v/>
      </c>
      <c r="V66" s="380">
        <f>IFERROR(SUMPRODUCT(V62:V64*H62:H64),"0")</f>
        <v/>
      </c>
      <c r="W66" s="43" t="n"/>
      <c r="X66" s="381" t="n"/>
      <c r="Y66" s="381" t="n"/>
    </row>
    <row r="67" ht="16.5" customHeight="1">
      <c r="A67" s="169" t="inlineStr">
        <is>
          <t>Бельмеши</t>
        </is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69" t="n"/>
      <c r="Y67" s="169" t="n"/>
    </row>
    <row r="68" ht="14.25" customHeight="1">
      <c r="A68" s="170" t="inlineStr">
        <is>
          <t>Снеки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70" t="n"/>
      <c r="Y68" s="170" t="n"/>
    </row>
    <row r="69" ht="27" customHeight="1">
      <c r="A69" s="64" t="inlineStr">
        <is>
          <t>SU002560</t>
        </is>
      </c>
      <c r="B69" s="64" t="inlineStr">
        <is>
          <t>P002878</t>
        </is>
      </c>
      <c r="C69" s="37" t="n">
        <v>4301135113</v>
      </c>
      <c r="D69" s="171" t="n">
        <v>4607111033659</v>
      </c>
      <c r="E69" s="341" t="n"/>
      <c r="F69" s="373" t="n">
        <v>0.3</v>
      </c>
      <c r="G69" s="38" t="n">
        <v>12</v>
      </c>
      <c r="H69" s="373" t="n">
        <v>3.6</v>
      </c>
      <c r="I69" s="373" t="n">
        <v>4.3036</v>
      </c>
      <c r="J69" s="38" t="n">
        <v>70</v>
      </c>
      <c r="K69" s="39" t="inlineStr">
        <is>
          <t>МГ</t>
        </is>
      </c>
      <c r="L69" s="38" t="n">
        <v>180</v>
      </c>
      <c r="M69" s="403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9" s="375" t="n"/>
      <c r="O69" s="375" t="n"/>
      <c r="P69" s="375" t="n"/>
      <c r="Q69" s="341" t="n"/>
      <c r="R69" s="40" t="inlineStr"/>
      <c r="S69" s="40" t="inlineStr"/>
      <c r="T69" s="41" t="inlineStr">
        <is>
          <t>кор</t>
        </is>
      </c>
      <c r="U69" s="376" t="n">
        <v>0</v>
      </c>
      <c r="V69" s="377">
        <f>IFERROR(IF(U69="","",U69),"")</f>
        <v/>
      </c>
      <c r="W69" s="42">
        <f>IFERROR(IF(U69="","",U69*0.01788),"")</f>
        <v/>
      </c>
      <c r="X69" s="69" t="inlineStr"/>
      <c r="Y69" s="70" t="inlineStr"/>
      <c r="AC69" s="74" t="n"/>
      <c r="AZ69" s="98" t="inlineStr">
        <is>
          <t>ПГП</t>
        </is>
      </c>
    </row>
    <row r="70">
      <c r="A70" s="179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378" t="n"/>
      <c r="M70" s="379" t="inlineStr">
        <is>
          <t>Итого</t>
        </is>
      </c>
      <c r="N70" s="349" t="n"/>
      <c r="O70" s="349" t="n"/>
      <c r="P70" s="349" t="n"/>
      <c r="Q70" s="349" t="n"/>
      <c r="R70" s="349" t="n"/>
      <c r="S70" s="350" t="n"/>
      <c r="T70" s="43" t="inlineStr">
        <is>
          <t>кор</t>
        </is>
      </c>
      <c r="U70" s="380">
        <f>IFERROR(SUM(U69:U69),"0")</f>
        <v/>
      </c>
      <c r="V70" s="380">
        <f>IFERROR(SUM(V69:V69),"0")</f>
        <v/>
      </c>
      <c r="W70" s="380">
        <f>IFERROR(IF(W69="",0,W69),"0")</f>
        <v/>
      </c>
      <c r="X70" s="381" t="n"/>
      <c r="Y70" s="38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378" t="n"/>
      <c r="M71" s="379" t="inlineStr">
        <is>
          <t>Итого</t>
        </is>
      </c>
      <c r="N71" s="349" t="n"/>
      <c r="O71" s="349" t="n"/>
      <c r="P71" s="349" t="n"/>
      <c r="Q71" s="349" t="n"/>
      <c r="R71" s="349" t="n"/>
      <c r="S71" s="350" t="n"/>
      <c r="T71" s="43" t="inlineStr">
        <is>
          <t>кг</t>
        </is>
      </c>
      <c r="U71" s="380">
        <f>IFERROR(SUMPRODUCT(U69:U69*H69:H69),"0")</f>
        <v/>
      </c>
      <c r="V71" s="380">
        <f>IFERROR(SUMPRODUCT(V69:V69*H69:H69),"0")</f>
        <v/>
      </c>
      <c r="W71" s="43" t="n"/>
      <c r="X71" s="381" t="n"/>
      <c r="Y71" s="381" t="n"/>
    </row>
    <row r="72" ht="16.5" customHeight="1">
      <c r="A72" s="169" t="inlineStr">
        <is>
          <t>Крылышки ГШ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69" t="n"/>
      <c r="Y72" s="169" t="n"/>
    </row>
    <row r="73" ht="14.25" customHeight="1">
      <c r="A73" s="170" t="inlineStr">
        <is>
          <t>Крылья</t>
        </is>
      </c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70" t="n"/>
      <c r="Y73" s="170" t="n"/>
    </row>
    <row r="74" ht="27" customHeight="1">
      <c r="A74" s="64" t="inlineStr">
        <is>
          <t>SU002564</t>
        </is>
      </c>
      <c r="B74" s="64" t="inlineStr">
        <is>
          <t>P002882</t>
        </is>
      </c>
      <c r="C74" s="37" t="n">
        <v>4301131012</v>
      </c>
      <c r="D74" s="171" t="n">
        <v>4607111034137</v>
      </c>
      <c r="E74" s="341" t="n"/>
      <c r="F74" s="373" t="n">
        <v>0.3</v>
      </c>
      <c r="G74" s="38" t="n">
        <v>12</v>
      </c>
      <c r="H74" s="373" t="n">
        <v>3.6</v>
      </c>
      <c r="I74" s="373" t="n">
        <v>4.3036</v>
      </c>
      <c r="J74" s="38" t="n">
        <v>70</v>
      </c>
      <c r="K74" s="39" t="inlineStr">
        <is>
          <t>МГ</t>
        </is>
      </c>
      <c r="L74" s="38" t="n">
        <v>180</v>
      </c>
      <c r="M74" s="404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4" s="375" t="n"/>
      <c r="O74" s="375" t="n"/>
      <c r="P74" s="375" t="n"/>
      <c r="Q74" s="341" t="n"/>
      <c r="R74" s="40" t="inlineStr"/>
      <c r="S74" s="40" t="inlineStr"/>
      <c r="T74" s="41" t="inlineStr">
        <is>
          <t>кор</t>
        </is>
      </c>
      <c r="U74" s="376" t="n">
        <v>10</v>
      </c>
      <c r="V74" s="377">
        <f>IFERROR(IF(U74="","",U74),"")</f>
        <v/>
      </c>
      <c r="W74" s="42">
        <f>IFERROR(IF(U74="","",U74*0.01788),"")</f>
        <v/>
      </c>
      <c r="X74" s="69" t="inlineStr"/>
      <c r="Y74" s="70" t="inlineStr"/>
      <c r="AC74" s="74" t="n"/>
      <c r="AZ74" s="99" t="inlineStr">
        <is>
          <t>ПГП</t>
        </is>
      </c>
    </row>
    <row r="75" ht="27" customHeight="1">
      <c r="A75" s="64" t="inlineStr">
        <is>
          <t>SU002563</t>
        </is>
      </c>
      <c r="B75" s="64" t="inlineStr">
        <is>
          <t>P002881</t>
        </is>
      </c>
      <c r="C75" s="37" t="n">
        <v>4301131011</v>
      </c>
      <c r="D75" s="171" t="n">
        <v>4607111034120</v>
      </c>
      <c r="E75" s="341" t="n"/>
      <c r="F75" s="373" t="n">
        <v>0.3</v>
      </c>
      <c r="G75" s="38" t="n">
        <v>12</v>
      </c>
      <c r="H75" s="373" t="n">
        <v>3.6</v>
      </c>
      <c r="I75" s="373" t="n">
        <v>4.3036</v>
      </c>
      <c r="J75" s="38" t="n">
        <v>70</v>
      </c>
      <c r="K75" s="39" t="inlineStr">
        <is>
          <t>МГ</t>
        </is>
      </c>
      <c r="L75" s="38" t="n">
        <v>180</v>
      </c>
      <c r="M75" s="405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5" s="375" t="n"/>
      <c r="O75" s="375" t="n"/>
      <c r="P75" s="375" t="n"/>
      <c r="Q75" s="341" t="n"/>
      <c r="R75" s="40" t="inlineStr"/>
      <c r="S75" s="40" t="inlineStr"/>
      <c r="T75" s="41" t="inlineStr">
        <is>
          <t>кор</t>
        </is>
      </c>
      <c r="U75" s="376" t="n">
        <v>20</v>
      </c>
      <c r="V75" s="377">
        <f>IFERROR(IF(U75="","",U75),"")</f>
        <v/>
      </c>
      <c r="W75" s="42">
        <f>IFERROR(IF(U75="","",U75*0.01788),"")</f>
        <v/>
      </c>
      <c r="X75" s="69" t="inlineStr"/>
      <c r="Y75" s="70" t="inlineStr"/>
      <c r="AC75" s="74" t="n"/>
      <c r="AZ75" s="100" t="inlineStr">
        <is>
          <t>ПГП</t>
        </is>
      </c>
    </row>
    <row r="76">
      <c r="A76" s="179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378" t="n"/>
      <c r="M76" s="379" t="inlineStr">
        <is>
          <t>Итого</t>
        </is>
      </c>
      <c r="N76" s="349" t="n"/>
      <c r="O76" s="349" t="n"/>
      <c r="P76" s="349" t="n"/>
      <c r="Q76" s="349" t="n"/>
      <c r="R76" s="349" t="n"/>
      <c r="S76" s="350" t="n"/>
      <c r="T76" s="43" t="inlineStr">
        <is>
          <t>кор</t>
        </is>
      </c>
      <c r="U76" s="380">
        <f>IFERROR(SUM(U74:U75),"0")</f>
        <v/>
      </c>
      <c r="V76" s="380">
        <f>IFERROR(SUM(V74:V75),"0")</f>
        <v/>
      </c>
      <c r="W76" s="380">
        <f>IFERROR(IF(W74="",0,W74),"0")+IFERROR(IF(W75="",0,W75),"0")</f>
        <v/>
      </c>
      <c r="X76" s="381" t="n"/>
      <c r="Y76" s="38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378" t="n"/>
      <c r="M77" s="379" t="inlineStr">
        <is>
          <t>Итого</t>
        </is>
      </c>
      <c r="N77" s="349" t="n"/>
      <c r="O77" s="349" t="n"/>
      <c r="P77" s="349" t="n"/>
      <c r="Q77" s="349" t="n"/>
      <c r="R77" s="349" t="n"/>
      <c r="S77" s="350" t="n"/>
      <c r="T77" s="43" t="inlineStr">
        <is>
          <t>кг</t>
        </is>
      </c>
      <c r="U77" s="380">
        <f>IFERROR(SUMPRODUCT(U74:U75*H74:H75),"0")</f>
        <v/>
      </c>
      <c r="V77" s="380">
        <f>IFERROR(SUMPRODUCT(V74:V75*H74:H75),"0")</f>
        <v/>
      </c>
      <c r="W77" s="43" t="n"/>
      <c r="X77" s="381" t="n"/>
      <c r="Y77" s="381" t="n"/>
    </row>
    <row r="78" ht="16.5" customHeight="1">
      <c r="A78" s="169" t="inlineStr">
        <is>
          <t>Чебупели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69" t="n"/>
      <c r="Y78" s="169" t="n"/>
    </row>
    <row r="79" ht="14.25" customHeight="1">
      <c r="A79" s="170" t="inlineStr">
        <is>
          <t>Снеки</t>
        </is>
      </c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70" t="n"/>
      <c r="Y79" s="170" t="n"/>
    </row>
    <row r="80" ht="27" customHeight="1">
      <c r="A80" s="64" t="inlineStr">
        <is>
          <t>SU002293</t>
        </is>
      </c>
      <c r="B80" s="64" t="inlineStr">
        <is>
          <t>P002566</t>
        </is>
      </c>
      <c r="C80" s="37" t="n">
        <v>4301135053</v>
      </c>
      <c r="D80" s="171" t="n">
        <v>4607111036407</v>
      </c>
      <c r="E80" s="341" t="n"/>
      <c r="F80" s="373" t="n">
        <v>0.3</v>
      </c>
      <c r="G80" s="38" t="n">
        <v>14</v>
      </c>
      <c r="H80" s="373" t="n">
        <v>4.2</v>
      </c>
      <c r="I80" s="373" t="n">
        <v>4.5292</v>
      </c>
      <c r="J80" s="38" t="n">
        <v>70</v>
      </c>
      <c r="K80" s="39" t="inlineStr">
        <is>
          <t>МГ</t>
        </is>
      </c>
      <c r="L80" s="38" t="n">
        <v>180</v>
      </c>
      <c r="M80" s="406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80" s="375" t="n"/>
      <c r="O80" s="375" t="n"/>
      <c r="P80" s="375" t="n"/>
      <c r="Q80" s="341" t="n"/>
      <c r="R80" s="40" t="inlineStr"/>
      <c r="S80" s="40" t="inlineStr"/>
      <c r="T80" s="41" t="inlineStr">
        <is>
          <t>кор</t>
        </is>
      </c>
      <c r="U80" s="376" t="n">
        <v>0</v>
      </c>
      <c r="V80" s="37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16.5" customHeight="1">
      <c r="A81" s="64" t="inlineStr">
        <is>
          <t>SU002568</t>
        </is>
      </c>
      <c r="B81" s="64" t="inlineStr">
        <is>
          <t>P002892</t>
        </is>
      </c>
      <c r="C81" s="37" t="n">
        <v>4301135122</v>
      </c>
      <c r="D81" s="171" t="n">
        <v>4607111033628</v>
      </c>
      <c r="E81" s="341" t="n"/>
      <c r="F81" s="373" t="n">
        <v>0.3</v>
      </c>
      <c r="G81" s="38" t="n">
        <v>12</v>
      </c>
      <c r="H81" s="373" t="n">
        <v>3.6</v>
      </c>
      <c r="I81" s="37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407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81" s="375" t="n"/>
      <c r="O81" s="375" t="n"/>
      <c r="P81" s="375" t="n"/>
      <c r="Q81" s="341" t="n"/>
      <c r="R81" s="40" t="inlineStr"/>
      <c r="S81" s="40" t="inlineStr"/>
      <c r="T81" s="41" t="inlineStr">
        <is>
          <t>кор</t>
        </is>
      </c>
      <c r="U81" s="376" t="n">
        <v>20</v>
      </c>
      <c r="V81" s="37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SU000419</t>
        </is>
      </c>
      <c r="B82" s="64" t="inlineStr">
        <is>
          <t>P000419</t>
        </is>
      </c>
      <c r="C82" s="37" t="n">
        <v>4301130400</v>
      </c>
      <c r="D82" s="171" t="n">
        <v>4607111033451</v>
      </c>
      <c r="E82" s="341" t="n"/>
      <c r="F82" s="373" t="n">
        <v>0.3</v>
      </c>
      <c r="G82" s="38" t="n">
        <v>12</v>
      </c>
      <c r="H82" s="373" t="n">
        <v>3.6</v>
      </c>
      <c r="I82" s="373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08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2" s="375" t="n"/>
      <c r="O82" s="375" t="n"/>
      <c r="P82" s="375" t="n"/>
      <c r="Q82" s="341" t="n"/>
      <c r="R82" s="40" t="inlineStr"/>
      <c r="S82" s="40" t="inlineStr"/>
      <c r="T82" s="41" t="inlineStr">
        <is>
          <t>кор</t>
        </is>
      </c>
      <c r="U82" s="376" t="n">
        <v>129</v>
      </c>
      <c r="V82" s="37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SU002572</t>
        </is>
      </c>
      <c r="B83" s="64" t="inlineStr">
        <is>
          <t>P002888</t>
        </is>
      </c>
      <c r="C83" s="37" t="n">
        <v>4301135120</v>
      </c>
      <c r="D83" s="171" t="n">
        <v>4607111035141</v>
      </c>
      <c r="E83" s="341" t="n"/>
      <c r="F83" s="373" t="n">
        <v>0.3</v>
      </c>
      <c r="G83" s="38" t="n">
        <v>12</v>
      </c>
      <c r="H83" s="373" t="n">
        <v>3.6</v>
      </c>
      <c r="I83" s="37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409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3" s="375" t="n"/>
      <c r="O83" s="375" t="n"/>
      <c r="P83" s="375" t="n"/>
      <c r="Q83" s="341" t="n"/>
      <c r="R83" s="40" t="inlineStr"/>
      <c r="S83" s="40" t="inlineStr"/>
      <c r="T83" s="41" t="inlineStr">
        <is>
          <t>кор</t>
        </is>
      </c>
      <c r="U83" s="376" t="n">
        <v>0</v>
      </c>
      <c r="V83" s="37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 ht="27" customHeight="1">
      <c r="A84" s="64" t="inlineStr">
        <is>
          <t>SU002571</t>
        </is>
      </c>
      <c r="B84" s="64" t="inlineStr">
        <is>
          <t>P002876</t>
        </is>
      </c>
      <c r="C84" s="37" t="n">
        <v>4301135111</v>
      </c>
      <c r="D84" s="171" t="n">
        <v>4607111035028</v>
      </c>
      <c r="E84" s="341" t="n"/>
      <c r="F84" s="373" t="n">
        <v>0.48</v>
      </c>
      <c r="G84" s="38" t="n">
        <v>8</v>
      </c>
      <c r="H84" s="373" t="n">
        <v>3.84</v>
      </c>
      <c r="I84" s="373" t="n">
        <v>4.4488</v>
      </c>
      <c r="J84" s="38" t="n">
        <v>70</v>
      </c>
      <c r="K84" s="39" t="inlineStr">
        <is>
          <t>МГ</t>
        </is>
      </c>
      <c r="L84" s="38" t="n">
        <v>180</v>
      </c>
      <c r="M84" s="410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4" s="375" t="n"/>
      <c r="O84" s="375" t="n"/>
      <c r="P84" s="375" t="n"/>
      <c r="Q84" s="341" t="n"/>
      <c r="R84" s="40" t="inlineStr"/>
      <c r="S84" s="40" t="inlineStr"/>
      <c r="T84" s="41" t="inlineStr">
        <is>
          <t>кор</t>
        </is>
      </c>
      <c r="U84" s="376" t="n">
        <v>0</v>
      </c>
      <c r="V84" s="377">
        <f>IFERROR(IF(U84="","",U84),"")</f>
        <v/>
      </c>
      <c r="W84" s="42">
        <f>IFERROR(IF(U84="","",U84*0.01788),"")</f>
        <v/>
      </c>
      <c r="X84" s="69" t="inlineStr"/>
      <c r="Y84" s="70" t="inlineStr"/>
      <c r="AC84" s="74" t="n"/>
      <c r="AZ84" s="105" t="inlineStr">
        <is>
          <t>ПГП</t>
        </is>
      </c>
    </row>
    <row r="85" ht="27" customHeight="1">
      <c r="A85" s="64" t="inlineStr">
        <is>
          <t>SU002559</t>
        </is>
      </c>
      <c r="B85" s="64" t="inlineStr">
        <is>
          <t>P002874</t>
        </is>
      </c>
      <c r="C85" s="37" t="n">
        <v>4301135109</v>
      </c>
      <c r="D85" s="171" t="n">
        <v>4607111033444</v>
      </c>
      <c r="E85" s="341" t="n"/>
      <c r="F85" s="373" t="n">
        <v>0.3</v>
      </c>
      <c r="G85" s="38" t="n">
        <v>12</v>
      </c>
      <c r="H85" s="373" t="n">
        <v>3.6</v>
      </c>
      <c r="I85" s="373" t="n">
        <v>4.3036</v>
      </c>
      <c r="J85" s="38" t="n">
        <v>70</v>
      </c>
      <c r="K85" s="39" t="inlineStr">
        <is>
          <t>МГ</t>
        </is>
      </c>
      <c r="L85" s="38" t="n">
        <v>180</v>
      </c>
      <c r="M85" s="411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5" s="375" t="n"/>
      <c r="O85" s="375" t="n"/>
      <c r="P85" s="375" t="n"/>
      <c r="Q85" s="341" t="n"/>
      <c r="R85" s="40" t="inlineStr"/>
      <c r="S85" s="40" t="inlineStr"/>
      <c r="T85" s="41" t="inlineStr">
        <is>
          <t>кор</t>
        </is>
      </c>
      <c r="U85" s="376" t="n">
        <v>46</v>
      </c>
      <c r="V85" s="377">
        <f>IFERROR(IF(U85="","",U85),"")</f>
        <v/>
      </c>
      <c r="W85" s="42">
        <f>IFERROR(IF(U85="","",U85*0.01788),"")</f>
        <v/>
      </c>
      <c r="X85" s="69" t="inlineStr"/>
      <c r="Y85" s="70" t="inlineStr"/>
      <c r="AC85" s="74" t="n"/>
      <c r="AZ85" s="106" t="inlineStr">
        <is>
          <t>ПГП</t>
        </is>
      </c>
    </row>
    <row r="86">
      <c r="A86" s="179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78" t="n"/>
      <c r="M86" s="379" t="inlineStr">
        <is>
          <t>Итого</t>
        </is>
      </c>
      <c r="N86" s="349" t="n"/>
      <c r="O86" s="349" t="n"/>
      <c r="P86" s="349" t="n"/>
      <c r="Q86" s="349" t="n"/>
      <c r="R86" s="349" t="n"/>
      <c r="S86" s="350" t="n"/>
      <c r="T86" s="43" t="inlineStr">
        <is>
          <t>кор</t>
        </is>
      </c>
      <c r="U86" s="380">
        <f>IFERROR(SUM(U80:U85),"0")</f>
        <v/>
      </c>
      <c r="V86" s="380">
        <f>IFERROR(SUM(V80:V85),"0")</f>
        <v/>
      </c>
      <c r="W86" s="380">
        <f>IFERROR(IF(W80="",0,W80),"0")+IFERROR(IF(W81="",0,W81),"0")+IFERROR(IF(W82="",0,W82),"0")+IFERROR(IF(W83="",0,W83),"0")+IFERROR(IF(W84="",0,W84),"0")+IFERROR(IF(W85="",0,W85),"0")</f>
        <v/>
      </c>
      <c r="X86" s="381" t="n"/>
      <c r="Y86" s="38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378" t="n"/>
      <c r="M87" s="379" t="inlineStr">
        <is>
          <t>Итого</t>
        </is>
      </c>
      <c r="N87" s="349" t="n"/>
      <c r="O87" s="349" t="n"/>
      <c r="P87" s="349" t="n"/>
      <c r="Q87" s="349" t="n"/>
      <c r="R87" s="349" t="n"/>
      <c r="S87" s="350" t="n"/>
      <c r="T87" s="43" t="inlineStr">
        <is>
          <t>кг</t>
        </is>
      </c>
      <c r="U87" s="380">
        <f>IFERROR(SUMPRODUCT(U80:U85*H80:H85),"0")</f>
        <v/>
      </c>
      <c r="V87" s="380">
        <f>IFERROR(SUMPRODUCT(V80:V85*H80:H85),"0")</f>
        <v/>
      </c>
      <c r="W87" s="43" t="n"/>
      <c r="X87" s="381" t="n"/>
      <c r="Y87" s="381" t="n"/>
    </row>
    <row r="88" ht="16.5" customHeight="1">
      <c r="A88" s="169" t="inlineStr">
        <is>
          <t>Чебуреки</t>
        </is>
      </c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69" t="n"/>
      <c r="Y88" s="169" t="n"/>
    </row>
    <row r="89" ht="14.25" customHeight="1">
      <c r="A89" s="170" t="inlineStr">
        <is>
          <t>Чебуреки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70" t="n"/>
      <c r="Y89" s="170" t="n"/>
    </row>
    <row r="90" ht="27" customHeight="1">
      <c r="A90" s="64" t="inlineStr">
        <is>
          <t>SU002573</t>
        </is>
      </c>
      <c r="B90" s="64" t="inlineStr">
        <is>
          <t>P002893</t>
        </is>
      </c>
      <c r="C90" s="37" t="n">
        <v>4301136013</v>
      </c>
      <c r="D90" s="171" t="n">
        <v>4607025784012</v>
      </c>
      <c r="E90" s="341" t="n"/>
      <c r="F90" s="373" t="n">
        <v>0.09</v>
      </c>
      <c r="G90" s="38" t="n">
        <v>24</v>
      </c>
      <c r="H90" s="373" t="n">
        <v>2.16</v>
      </c>
      <c r="I90" s="373" t="n">
        <v>2.4912</v>
      </c>
      <c r="J90" s="38" t="n">
        <v>126</v>
      </c>
      <c r="K90" s="39" t="inlineStr">
        <is>
          <t>МГ</t>
        </is>
      </c>
      <c r="L90" s="38" t="n">
        <v>180</v>
      </c>
      <c r="M90" s="412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90" s="375" t="n"/>
      <c r="O90" s="375" t="n"/>
      <c r="P90" s="375" t="n"/>
      <c r="Q90" s="341" t="n"/>
      <c r="R90" s="40" t="inlineStr"/>
      <c r="S90" s="40" t="inlineStr"/>
      <c r="T90" s="41" t="inlineStr">
        <is>
          <t>кор</t>
        </is>
      </c>
      <c r="U90" s="376" t="n">
        <v>10</v>
      </c>
      <c r="V90" s="377">
        <f>IFERROR(IF(U90="","",U90),"")</f>
        <v/>
      </c>
      <c r="W90" s="42">
        <f>IFERROR(IF(U90="","",U90*0.00936),"")</f>
        <v/>
      </c>
      <c r="X90" s="69" t="inlineStr"/>
      <c r="Y90" s="70" t="inlineStr"/>
      <c r="AC90" s="74" t="n"/>
      <c r="AZ90" s="107" t="inlineStr">
        <is>
          <t>ПГП</t>
        </is>
      </c>
    </row>
    <row r="91" ht="27" customHeight="1">
      <c r="A91" s="64" t="inlineStr">
        <is>
          <t>SU002558</t>
        </is>
      </c>
      <c r="B91" s="64" t="inlineStr">
        <is>
          <t>P002889</t>
        </is>
      </c>
      <c r="C91" s="37" t="n">
        <v>4301136012</v>
      </c>
      <c r="D91" s="171" t="n">
        <v>4607025784319</v>
      </c>
      <c r="E91" s="341" t="n"/>
      <c r="F91" s="373" t="n">
        <v>0.36</v>
      </c>
      <c r="G91" s="38" t="n">
        <v>10</v>
      </c>
      <c r="H91" s="373" t="n">
        <v>3.6</v>
      </c>
      <c r="I91" s="373" t="n">
        <v>4.244</v>
      </c>
      <c r="J91" s="38" t="n">
        <v>70</v>
      </c>
      <c r="K91" s="39" t="inlineStr">
        <is>
          <t>МГ</t>
        </is>
      </c>
      <c r="L91" s="38" t="n">
        <v>180</v>
      </c>
      <c r="M91" s="413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91" s="375" t="n"/>
      <c r="O91" s="375" t="n"/>
      <c r="P91" s="375" t="n"/>
      <c r="Q91" s="341" t="n"/>
      <c r="R91" s="40" t="inlineStr"/>
      <c r="S91" s="40" t="inlineStr"/>
      <c r="T91" s="41" t="inlineStr">
        <is>
          <t>кор</t>
        </is>
      </c>
      <c r="U91" s="376" t="n">
        <v>0</v>
      </c>
      <c r="V91" s="377">
        <f>IFERROR(IF(U91="","",U91),"")</f>
        <v/>
      </c>
      <c r="W91" s="42">
        <f>IFERROR(IF(U91="","",U91*0.01788),"")</f>
        <v/>
      </c>
      <c r="X91" s="69" t="inlineStr"/>
      <c r="Y91" s="70" t="inlineStr"/>
      <c r="AC91" s="74" t="n"/>
      <c r="AZ91" s="108" t="inlineStr">
        <is>
          <t>ПГП</t>
        </is>
      </c>
    </row>
    <row r="92" ht="16.5" customHeight="1">
      <c r="A92" s="64" t="inlineStr">
        <is>
          <t>SU002570</t>
        </is>
      </c>
      <c r="B92" s="64" t="inlineStr">
        <is>
          <t>P002894</t>
        </is>
      </c>
      <c r="C92" s="37" t="n">
        <v>4301136014</v>
      </c>
      <c r="D92" s="171" t="n">
        <v>4607111035370</v>
      </c>
      <c r="E92" s="341" t="n"/>
      <c r="F92" s="373" t="n">
        <v>0.14</v>
      </c>
      <c r="G92" s="38" t="n">
        <v>22</v>
      </c>
      <c r="H92" s="373" t="n">
        <v>3.08</v>
      </c>
      <c r="I92" s="373" t="n">
        <v>3.464</v>
      </c>
      <c r="J92" s="38" t="n">
        <v>84</v>
      </c>
      <c r="K92" s="39" t="inlineStr">
        <is>
          <t>МГ</t>
        </is>
      </c>
      <c r="L92" s="38" t="n">
        <v>180</v>
      </c>
      <c r="M92" s="414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2" s="375" t="n"/>
      <c r="O92" s="375" t="n"/>
      <c r="P92" s="375" t="n"/>
      <c r="Q92" s="341" t="n"/>
      <c r="R92" s="40" t="inlineStr"/>
      <c r="S92" s="40" t="inlineStr"/>
      <c r="T92" s="41" t="inlineStr">
        <is>
          <t>кор</t>
        </is>
      </c>
      <c r="U92" s="376" t="n">
        <v>0</v>
      </c>
      <c r="V92" s="377">
        <f>IFERROR(IF(U92="","",U92),"")</f>
        <v/>
      </c>
      <c r="W92" s="42">
        <f>IFERROR(IF(U92="","",U92*0.0155),"")</f>
        <v/>
      </c>
      <c r="X92" s="69" t="inlineStr"/>
      <c r="Y92" s="70" t="inlineStr"/>
      <c r="AC92" s="74" t="n"/>
      <c r="AZ92" s="109" t="inlineStr">
        <is>
          <t>ПГП</t>
        </is>
      </c>
    </row>
    <row r="93">
      <c r="A93" s="179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78" t="n"/>
      <c r="M93" s="379" t="inlineStr">
        <is>
          <t>Итого</t>
        </is>
      </c>
      <c r="N93" s="349" t="n"/>
      <c r="O93" s="349" t="n"/>
      <c r="P93" s="349" t="n"/>
      <c r="Q93" s="349" t="n"/>
      <c r="R93" s="349" t="n"/>
      <c r="S93" s="350" t="n"/>
      <c r="T93" s="43" t="inlineStr">
        <is>
          <t>кор</t>
        </is>
      </c>
      <c r="U93" s="380">
        <f>IFERROR(SUM(U90:U92),"0")</f>
        <v/>
      </c>
      <c r="V93" s="380">
        <f>IFERROR(SUM(V90:V92),"0")</f>
        <v/>
      </c>
      <c r="W93" s="380">
        <f>IFERROR(IF(W90="",0,W90),"0")+IFERROR(IF(W91="",0,W91),"0")+IFERROR(IF(W92="",0,W92),"0")</f>
        <v/>
      </c>
      <c r="X93" s="381" t="n"/>
      <c r="Y93" s="38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378" t="n"/>
      <c r="M94" s="379" t="inlineStr">
        <is>
          <t>Итого</t>
        </is>
      </c>
      <c r="N94" s="349" t="n"/>
      <c r="O94" s="349" t="n"/>
      <c r="P94" s="349" t="n"/>
      <c r="Q94" s="349" t="n"/>
      <c r="R94" s="349" t="n"/>
      <c r="S94" s="350" t="n"/>
      <c r="T94" s="43" t="inlineStr">
        <is>
          <t>кг</t>
        </is>
      </c>
      <c r="U94" s="380">
        <f>IFERROR(SUMPRODUCT(U90:U92*H90:H92),"0")</f>
        <v/>
      </c>
      <c r="V94" s="380">
        <f>IFERROR(SUMPRODUCT(V90:V92*H90:H92),"0")</f>
        <v/>
      </c>
      <c r="W94" s="43" t="n"/>
      <c r="X94" s="381" t="n"/>
      <c r="Y94" s="381" t="n"/>
    </row>
    <row r="95" ht="16.5" customHeight="1">
      <c r="A95" s="169" t="inlineStr">
        <is>
          <t>Бульмени ГШ</t>
        </is>
      </c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69" t="n"/>
      <c r="Y95" s="169" t="n"/>
    </row>
    <row r="96" ht="14.25" customHeight="1">
      <c r="A96" s="170" t="inlineStr">
        <is>
          <t>Пельмени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70" t="n"/>
      <c r="Y96" s="170" t="n"/>
    </row>
    <row r="97" ht="27" customHeight="1">
      <c r="A97" s="64" t="inlineStr">
        <is>
          <t>SU002626</t>
        </is>
      </c>
      <c r="B97" s="64" t="inlineStr">
        <is>
          <t>P002959</t>
        </is>
      </c>
      <c r="C97" s="37" t="n">
        <v>4301070906</v>
      </c>
      <c r="D97" s="171" t="n">
        <v>4607111033970</v>
      </c>
      <c r="E97" s="341" t="n"/>
      <c r="F97" s="373" t="n">
        <v>0.43</v>
      </c>
      <c r="G97" s="38" t="n">
        <v>16</v>
      </c>
      <c r="H97" s="373" t="n">
        <v>6.88</v>
      </c>
      <c r="I97" s="37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15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7" s="375" t="n"/>
      <c r="O97" s="375" t="n"/>
      <c r="P97" s="375" t="n"/>
      <c r="Q97" s="341" t="n"/>
      <c r="R97" s="40" t="inlineStr">
        <is>
          <t>15.09.2023</t>
        </is>
      </c>
      <c r="S97" s="40" t="inlineStr"/>
      <c r="T97" s="41" t="inlineStr">
        <is>
          <t>кор</t>
        </is>
      </c>
      <c r="U97" s="376" t="n">
        <v>0</v>
      </c>
      <c r="V97" s="37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171" t="n">
        <v>4607111033970</v>
      </c>
      <c r="E98" s="341" t="n"/>
      <c r="F98" s="373" t="n">
        <v>0.43</v>
      </c>
      <c r="G98" s="38" t="n">
        <v>16</v>
      </c>
      <c r="H98" s="373" t="n">
        <v>6.88</v>
      </c>
      <c r="I98" s="373" t="n">
        <v>7.1996</v>
      </c>
      <c r="J98" s="38" t="n">
        <v>84</v>
      </c>
      <c r="K98" s="39" t="inlineStr">
        <is>
          <t>МГ</t>
        </is>
      </c>
      <c r="L98" s="38" t="n">
        <v>180</v>
      </c>
      <c r="M98" s="416" t="inlineStr">
        <is>
          <t>Пельмени «Бульмени с говядиной и свининой» 0,43 Сфера ТМ «Горячая штучка»</t>
        </is>
      </c>
      <c r="N98" s="375" t="n"/>
      <c r="O98" s="375" t="n"/>
      <c r="P98" s="375" t="n"/>
      <c r="Q98" s="341" t="n"/>
      <c r="R98" s="40" t="inlineStr"/>
      <c r="S98" s="40" t="inlineStr"/>
      <c r="T98" s="41" t="inlineStr">
        <is>
          <t>кор</t>
        </is>
      </c>
      <c r="U98" s="376" t="n">
        <v>15</v>
      </c>
      <c r="V98" s="37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171" t="n">
        <v>4607111034144</v>
      </c>
      <c r="E99" s="341" t="n"/>
      <c r="F99" s="373" t="n">
        <v>0.9</v>
      </c>
      <c r="G99" s="38" t="n">
        <v>8</v>
      </c>
      <c r="H99" s="373" t="n">
        <v>7.2</v>
      </c>
      <c r="I99" s="373" t="n">
        <v>7.486</v>
      </c>
      <c r="J99" s="38" t="n">
        <v>84</v>
      </c>
      <c r="K99" s="39" t="inlineStr">
        <is>
          <t>МГ</t>
        </is>
      </c>
      <c r="L99" s="38" t="n">
        <v>180</v>
      </c>
      <c r="M99" s="417" t="inlineStr">
        <is>
          <t>Пельмени «Бульмени с говядиной и свининой» 0,9 Сфера ТМ «Горячая штучка»</t>
        </is>
      </c>
      <c r="N99" s="375" t="n"/>
      <c r="O99" s="375" t="n"/>
      <c r="P99" s="375" t="n"/>
      <c r="Q99" s="341" t="n"/>
      <c r="R99" s="40" t="inlineStr"/>
      <c r="S99" s="40" t="inlineStr"/>
      <c r="T99" s="41" t="inlineStr">
        <is>
          <t>кор</t>
        </is>
      </c>
      <c r="U99" s="376" t="n">
        <v>50</v>
      </c>
      <c r="V99" s="377">
        <f>IFERROR(IF(U99="","",U99),"")</f>
        <v/>
      </c>
      <c r="W99" s="42">
        <f>IFERROR(IF(U99="","",U99*0.0155),"")</f>
        <v/>
      </c>
      <c r="X99" s="69" t="inlineStr"/>
      <c r="Y99" s="70" t="inlineStr"/>
      <c r="AC99" s="74" t="n"/>
      <c r="AZ99" s="112" t="inlineStr">
        <is>
          <t>ЗПФ</t>
        </is>
      </c>
    </row>
    <row r="100" ht="27" customHeight="1">
      <c r="A100" s="64" t="inlineStr">
        <is>
          <t>SU002622</t>
        </is>
      </c>
      <c r="B100" s="64" t="inlineStr">
        <is>
          <t>P002956</t>
        </is>
      </c>
      <c r="C100" s="37" t="n">
        <v>4301070904</v>
      </c>
      <c r="D100" s="171" t="n">
        <v>4607111033987</v>
      </c>
      <c r="E100" s="341" t="n"/>
      <c r="F100" s="373" t="n">
        <v>0.43</v>
      </c>
      <c r="G100" s="38" t="n">
        <v>16</v>
      </c>
      <c r="H100" s="373" t="n">
        <v>6.88</v>
      </c>
      <c r="I100" s="373" t="n">
        <v>7.1996</v>
      </c>
      <c r="J100" s="38" t="n">
        <v>84</v>
      </c>
      <c r="K100" s="39" t="inlineStr">
        <is>
          <t>МГ</t>
        </is>
      </c>
      <c r="L100" s="38" t="n">
        <v>150</v>
      </c>
      <c r="M100" s="41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100" s="375" t="n"/>
      <c r="O100" s="375" t="n"/>
      <c r="P100" s="375" t="n"/>
      <c r="Q100" s="341" t="n"/>
      <c r="R100" s="40" t="inlineStr">
        <is>
          <t>15.09.2023</t>
        </is>
      </c>
      <c r="S100" s="40" t="inlineStr"/>
      <c r="T100" s="41" t="inlineStr">
        <is>
          <t>кор</t>
        </is>
      </c>
      <c r="U100" s="376" t="n">
        <v>0</v>
      </c>
      <c r="V100" s="377">
        <f>IFERROR(IF(U100="","",U100),"")</f>
        <v/>
      </c>
      <c r="W100" s="42">
        <f>IFERROR(IF(U100="","",U100*0.0155),"")</f>
        <v/>
      </c>
      <c r="X100" s="69" t="inlineStr"/>
      <c r="Y100" s="70" t="inlineStr"/>
      <c r="AC100" s="74" t="n"/>
      <c r="AZ100" s="113" t="inlineStr">
        <is>
          <t>ЗПФ</t>
        </is>
      </c>
    </row>
    <row r="101" ht="27" customHeight="1">
      <c r="A101" s="64" t="inlineStr">
        <is>
          <t>SU002622</t>
        </is>
      </c>
      <c r="B101" s="64" t="inlineStr">
        <is>
          <t>P003683</t>
        </is>
      </c>
      <c r="C101" s="37" t="n">
        <v>4301070973</v>
      </c>
      <c r="D101" s="171" t="n">
        <v>4607111033987</v>
      </c>
      <c r="E101" s="341" t="n"/>
      <c r="F101" s="373" t="n">
        <v>0.43</v>
      </c>
      <c r="G101" s="38" t="n">
        <v>16</v>
      </c>
      <c r="H101" s="373" t="n">
        <v>6.88</v>
      </c>
      <c r="I101" s="373" t="n">
        <v>7.1996</v>
      </c>
      <c r="J101" s="38" t="n">
        <v>84</v>
      </c>
      <c r="K101" s="39" t="inlineStr">
        <is>
          <t>МГ</t>
        </is>
      </c>
      <c r="L101" s="38" t="n">
        <v>180</v>
      </c>
      <c r="M101" s="419" t="inlineStr">
        <is>
          <t>Пельмени «Бульмени со сливочным маслом» 0,43 Сфера ТМ «Горячая штучка»</t>
        </is>
      </c>
      <c r="N101" s="375" t="n"/>
      <c r="O101" s="375" t="n"/>
      <c r="P101" s="375" t="n"/>
      <c r="Q101" s="341" t="n"/>
      <c r="R101" s="40" t="inlineStr"/>
      <c r="S101" s="40" t="inlineStr"/>
      <c r="T101" s="41" t="inlineStr">
        <is>
          <t>кор</t>
        </is>
      </c>
      <c r="U101" s="376" t="n">
        <v>15</v>
      </c>
      <c r="V101" s="377">
        <f>IFERROR(IF(U101="","",U101),"")</f>
        <v/>
      </c>
      <c r="W101" s="42">
        <f>IFERROR(IF(U101="","",U101*0.0155),"")</f>
        <v/>
      </c>
      <c r="X101" s="69" t="inlineStr"/>
      <c r="Y101" s="70" t="inlineStr"/>
      <c r="AC101" s="74" t="n"/>
      <c r="AZ101" s="114" t="inlineStr">
        <is>
          <t>ЗПФ</t>
        </is>
      </c>
    </row>
    <row r="102" ht="27" customHeight="1">
      <c r="A102" s="64" t="inlineStr">
        <is>
          <t>SU002623</t>
        </is>
      </c>
      <c r="B102" s="64" t="inlineStr">
        <is>
          <t>P002957</t>
        </is>
      </c>
      <c r="C102" s="37" t="n">
        <v>4301070905</v>
      </c>
      <c r="D102" s="171" t="n">
        <v>4607111034151</v>
      </c>
      <c r="E102" s="341" t="n"/>
      <c r="F102" s="373" t="n">
        <v>0.9</v>
      </c>
      <c r="G102" s="38" t="n">
        <v>8</v>
      </c>
      <c r="H102" s="373" t="n">
        <v>7.2</v>
      </c>
      <c r="I102" s="373" t="n">
        <v>7.486</v>
      </c>
      <c r="J102" s="38" t="n">
        <v>84</v>
      </c>
      <c r="K102" s="39" t="inlineStr">
        <is>
          <t>МГ</t>
        </is>
      </c>
      <c r="L102" s="38" t="n">
        <v>150</v>
      </c>
      <c r="M102" s="420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102" s="375" t="n"/>
      <c r="O102" s="375" t="n"/>
      <c r="P102" s="375" t="n"/>
      <c r="Q102" s="341" t="n"/>
      <c r="R102" s="40" t="inlineStr">
        <is>
          <t>15.09.2023</t>
        </is>
      </c>
      <c r="S102" s="40" t="inlineStr"/>
      <c r="T102" s="41" t="inlineStr">
        <is>
          <t>кор</t>
        </is>
      </c>
      <c r="U102" s="376" t="n">
        <v>0</v>
      </c>
      <c r="V102" s="377">
        <f>IFERROR(IF(U102="","",U102),"")</f>
        <v/>
      </c>
      <c r="W102" s="42">
        <f>IFERROR(IF(U102="","",U102*0.0155),"")</f>
        <v/>
      </c>
      <c r="X102" s="69" t="inlineStr"/>
      <c r="Y102" s="70" t="inlineStr"/>
      <c r="AC102" s="74" t="n"/>
      <c r="AZ102" s="115" t="inlineStr">
        <is>
          <t>ЗПФ</t>
        </is>
      </c>
    </row>
    <row r="103" ht="27" customHeight="1">
      <c r="A103" s="64" t="inlineStr">
        <is>
          <t>SU002623</t>
        </is>
      </c>
      <c r="B103" s="64" t="inlineStr">
        <is>
          <t>P003684</t>
        </is>
      </c>
      <c r="C103" s="37" t="n">
        <v>4301070974</v>
      </c>
      <c r="D103" s="171" t="n">
        <v>4607111034151</v>
      </c>
      <c r="E103" s="341" t="n"/>
      <c r="F103" s="373" t="n">
        <v>0.9</v>
      </c>
      <c r="G103" s="38" t="n">
        <v>8</v>
      </c>
      <c r="H103" s="373" t="n">
        <v>7.2</v>
      </c>
      <c r="I103" s="373" t="n">
        <v>7.486</v>
      </c>
      <c r="J103" s="38" t="n">
        <v>84</v>
      </c>
      <c r="K103" s="39" t="inlineStr">
        <is>
          <t>МГ</t>
        </is>
      </c>
      <c r="L103" s="38" t="n">
        <v>180</v>
      </c>
      <c r="M103" s="421" t="inlineStr">
        <is>
          <t>Пельмени «Бульмени со сливочным маслом» 0,9 Сфера ТМ «Горячая штучка»</t>
        </is>
      </c>
      <c r="N103" s="375" t="n"/>
      <c r="O103" s="375" t="n"/>
      <c r="P103" s="375" t="n"/>
      <c r="Q103" s="341" t="n"/>
      <c r="R103" s="40" t="inlineStr"/>
      <c r="S103" s="40" t="inlineStr"/>
      <c r="T103" s="41" t="inlineStr">
        <is>
          <t>кор</t>
        </is>
      </c>
      <c r="U103" s="376" t="n">
        <v>225</v>
      </c>
      <c r="V103" s="377">
        <f>IFERROR(IF(U103="","",U103),"")</f>
        <v/>
      </c>
      <c r="W103" s="42">
        <f>IFERROR(IF(U103="","",U103*0.0155),"")</f>
        <v/>
      </c>
      <c r="X103" s="69" t="inlineStr"/>
      <c r="Y103" s="70" t="inlineStr"/>
      <c r="AC103" s="74" t="n"/>
      <c r="AZ103" s="116" t="inlineStr">
        <is>
          <t>ЗПФ</t>
        </is>
      </c>
    </row>
    <row r="104">
      <c r="A104" s="179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78" t="n"/>
      <c r="M104" s="379" t="inlineStr">
        <is>
          <t>Итого</t>
        </is>
      </c>
      <c r="N104" s="349" t="n"/>
      <c r="O104" s="349" t="n"/>
      <c r="P104" s="349" t="n"/>
      <c r="Q104" s="349" t="n"/>
      <c r="R104" s="349" t="n"/>
      <c r="S104" s="350" t="n"/>
      <c r="T104" s="43" t="inlineStr">
        <is>
          <t>кор</t>
        </is>
      </c>
      <c r="U104" s="380">
        <f>IFERROR(SUM(U97:U103),"0")</f>
        <v/>
      </c>
      <c r="V104" s="380">
        <f>IFERROR(SUM(V97:V103),"0")</f>
        <v/>
      </c>
      <c r="W104" s="380">
        <f>IFERROR(IF(W97="",0,W97),"0")+IFERROR(IF(W98="",0,W98),"0")+IFERROR(IF(W99="",0,W99),"0")+IFERROR(IF(W100="",0,W100),"0")+IFERROR(IF(W101="",0,W101),"0")+IFERROR(IF(W102="",0,W102),"0")+IFERROR(IF(W103="",0,W103),"0")</f>
        <v/>
      </c>
      <c r="X104" s="381" t="n"/>
      <c r="Y104" s="38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78" t="n"/>
      <c r="M105" s="379" t="inlineStr">
        <is>
          <t>Итого</t>
        </is>
      </c>
      <c r="N105" s="349" t="n"/>
      <c r="O105" s="349" t="n"/>
      <c r="P105" s="349" t="n"/>
      <c r="Q105" s="349" t="n"/>
      <c r="R105" s="349" t="n"/>
      <c r="S105" s="350" t="n"/>
      <c r="T105" s="43" t="inlineStr">
        <is>
          <t>кг</t>
        </is>
      </c>
      <c r="U105" s="380">
        <f>IFERROR(SUMPRODUCT(U97:U103*H97:H103),"0")</f>
        <v/>
      </c>
      <c r="V105" s="380">
        <f>IFERROR(SUMPRODUCT(V97:V103*H97:H103),"0")</f>
        <v/>
      </c>
      <c r="W105" s="43" t="n"/>
      <c r="X105" s="381" t="n"/>
      <c r="Y105" s="381" t="n"/>
    </row>
    <row r="106" ht="16.5" customHeight="1">
      <c r="A106" s="169" t="inlineStr">
        <is>
          <t>Чебупицца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69" t="n"/>
      <c r="Y106" s="169" t="n"/>
    </row>
    <row r="107" ht="14.25" customHeight="1">
      <c r="A107" s="170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0" t="n"/>
      <c r="Y107" s="170" t="n"/>
    </row>
    <row r="108" ht="27" customHeight="1">
      <c r="A108" s="64" t="inlineStr">
        <is>
          <t>SU002562</t>
        </is>
      </c>
      <c r="B108" s="64" t="inlineStr">
        <is>
          <t>P003286</t>
        </is>
      </c>
      <c r="C108" s="37" t="n">
        <v>4301135162</v>
      </c>
      <c r="D108" s="171" t="n">
        <v>4607111034014</v>
      </c>
      <c r="E108" s="341" t="n"/>
      <c r="F108" s="373" t="n">
        <v>0.25</v>
      </c>
      <c r="G108" s="38" t="n">
        <v>12</v>
      </c>
      <c r="H108" s="373" t="n">
        <v>3</v>
      </c>
      <c r="I108" s="373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2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8" s="375" t="n"/>
      <c r="O108" s="375" t="n"/>
      <c r="P108" s="375" t="n"/>
      <c r="Q108" s="341" t="n"/>
      <c r="R108" s="40" t="inlineStr"/>
      <c r="S108" s="40" t="inlineStr"/>
      <c r="T108" s="41" t="inlineStr">
        <is>
          <t>кор</t>
        </is>
      </c>
      <c r="U108" s="376" t="n">
        <v>190</v>
      </c>
      <c r="V108" s="377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7" t="inlineStr">
        <is>
          <t>ПГП</t>
        </is>
      </c>
    </row>
    <row r="109" ht="27" customHeight="1">
      <c r="A109" s="64" t="inlineStr">
        <is>
          <t>SU002561</t>
        </is>
      </c>
      <c r="B109" s="64" t="inlineStr">
        <is>
          <t>P002884</t>
        </is>
      </c>
      <c r="C109" s="37" t="n">
        <v>4301135117</v>
      </c>
      <c r="D109" s="171" t="n">
        <v>4607111033994</v>
      </c>
      <c r="E109" s="341" t="n"/>
      <c r="F109" s="373" t="n">
        <v>0.25</v>
      </c>
      <c r="G109" s="38" t="n">
        <v>12</v>
      </c>
      <c r="H109" s="373" t="n">
        <v>3</v>
      </c>
      <c r="I109" s="37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2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9" s="375" t="n"/>
      <c r="O109" s="375" t="n"/>
      <c r="P109" s="375" t="n"/>
      <c r="Q109" s="341" t="n"/>
      <c r="R109" s="40" t="inlineStr"/>
      <c r="S109" s="40" t="inlineStr"/>
      <c r="T109" s="41" t="inlineStr">
        <is>
          <t>кор</t>
        </is>
      </c>
      <c r="U109" s="376" t="n">
        <v>223</v>
      </c>
      <c r="V109" s="37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8" t="inlineStr">
        <is>
          <t>ПГП</t>
        </is>
      </c>
    </row>
    <row r="110">
      <c r="A110" s="17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78" t="n"/>
      <c r="M110" s="379" t="inlineStr">
        <is>
          <t>Итого</t>
        </is>
      </c>
      <c r="N110" s="349" t="n"/>
      <c r="O110" s="349" t="n"/>
      <c r="P110" s="349" t="n"/>
      <c r="Q110" s="349" t="n"/>
      <c r="R110" s="349" t="n"/>
      <c r="S110" s="350" t="n"/>
      <c r="T110" s="43" t="inlineStr">
        <is>
          <t>кор</t>
        </is>
      </c>
      <c r="U110" s="380">
        <f>IFERROR(SUM(U108:U109),"0")</f>
        <v/>
      </c>
      <c r="V110" s="380">
        <f>IFERROR(SUM(V108:V109),"0")</f>
        <v/>
      </c>
      <c r="W110" s="380">
        <f>IFERROR(IF(W108="",0,W108),"0")+IFERROR(IF(W109="",0,W109),"0")</f>
        <v/>
      </c>
      <c r="X110" s="381" t="n"/>
      <c r="Y110" s="38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78" t="n"/>
      <c r="M111" s="379" t="inlineStr">
        <is>
          <t>Итого</t>
        </is>
      </c>
      <c r="N111" s="349" t="n"/>
      <c r="O111" s="349" t="n"/>
      <c r="P111" s="349" t="n"/>
      <c r="Q111" s="349" t="n"/>
      <c r="R111" s="349" t="n"/>
      <c r="S111" s="350" t="n"/>
      <c r="T111" s="43" t="inlineStr">
        <is>
          <t>кг</t>
        </is>
      </c>
      <c r="U111" s="380">
        <f>IFERROR(SUMPRODUCT(U108:U109*H108:H109),"0")</f>
        <v/>
      </c>
      <c r="V111" s="380">
        <f>IFERROR(SUMPRODUCT(V108:V109*H108:H109),"0")</f>
        <v/>
      </c>
      <c r="W111" s="43" t="n"/>
      <c r="X111" s="381" t="n"/>
      <c r="Y111" s="381" t="n"/>
    </row>
    <row r="112" ht="16.5" customHeight="1">
      <c r="A112" s="169" t="inlineStr">
        <is>
          <t>Хотстеры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9" t="n"/>
      <c r="Y112" s="169" t="n"/>
    </row>
    <row r="113" ht="14.25" customHeight="1">
      <c r="A113" s="17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0" t="n"/>
      <c r="Y113" s="170" t="n"/>
    </row>
    <row r="114" ht="16.5" customHeight="1">
      <c r="A114" s="64" t="inlineStr">
        <is>
          <t>SU002565</t>
        </is>
      </c>
      <c r="B114" s="64" t="inlineStr">
        <is>
          <t>P002877</t>
        </is>
      </c>
      <c r="C114" s="37" t="n">
        <v>4301135112</v>
      </c>
      <c r="D114" s="171" t="n">
        <v>4607111034199</v>
      </c>
      <c r="E114" s="341" t="n"/>
      <c r="F114" s="373" t="n">
        <v>0.25</v>
      </c>
      <c r="G114" s="38" t="n">
        <v>12</v>
      </c>
      <c r="H114" s="373" t="n">
        <v>3</v>
      </c>
      <c r="I114" s="373" t="n">
        <v>3.7036</v>
      </c>
      <c r="J114" s="38" t="n">
        <v>70</v>
      </c>
      <c r="K114" s="39" t="inlineStr">
        <is>
          <t>МГ</t>
        </is>
      </c>
      <c r="L114" s="38" t="n">
        <v>180</v>
      </c>
      <c r="M114" s="424">
        <f>HYPERLINK("https://abi.ru/products/Замороженные/Горячая штучка/Хотстеры/Снеки/P002877/","Хотстеры Хотстеры Фикс.вес 0,25 Лоток Горячая штучка")</f>
        <v/>
      </c>
      <c r="N114" s="375" t="n"/>
      <c r="O114" s="375" t="n"/>
      <c r="P114" s="375" t="n"/>
      <c r="Q114" s="341" t="n"/>
      <c r="R114" s="40" t="inlineStr"/>
      <c r="S114" s="40" t="inlineStr"/>
      <c r="T114" s="41" t="inlineStr">
        <is>
          <t>кор</t>
        </is>
      </c>
      <c r="U114" s="376" t="n">
        <v>144</v>
      </c>
      <c r="V114" s="377">
        <f>IFERROR(IF(U114="","",U114),"")</f>
        <v/>
      </c>
      <c r="W114" s="42">
        <f>IFERROR(IF(U114="","",U114*0.01788),"")</f>
        <v/>
      </c>
      <c r="X114" s="69" t="inlineStr"/>
      <c r="Y114" s="70" t="inlineStr"/>
      <c r="AC114" s="74" t="n"/>
      <c r="AZ114" s="119" t="inlineStr">
        <is>
          <t>ПГП</t>
        </is>
      </c>
    </row>
    <row r="115">
      <c r="A115" s="17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378" t="n"/>
      <c r="M115" s="379" t="inlineStr">
        <is>
          <t>Итого</t>
        </is>
      </c>
      <c r="N115" s="349" t="n"/>
      <c r="O115" s="349" t="n"/>
      <c r="P115" s="349" t="n"/>
      <c r="Q115" s="349" t="n"/>
      <c r="R115" s="349" t="n"/>
      <c r="S115" s="350" t="n"/>
      <c r="T115" s="43" t="inlineStr">
        <is>
          <t>кор</t>
        </is>
      </c>
      <c r="U115" s="380">
        <f>IFERROR(SUM(U114:U114),"0")</f>
        <v/>
      </c>
      <c r="V115" s="380">
        <f>IFERROR(SUM(V114:V114),"0")</f>
        <v/>
      </c>
      <c r="W115" s="380">
        <f>IFERROR(IF(W114="",0,W114),"0")</f>
        <v/>
      </c>
      <c r="X115" s="381" t="n"/>
      <c r="Y115" s="38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78" t="n"/>
      <c r="M116" s="379" t="inlineStr">
        <is>
          <t>Итого</t>
        </is>
      </c>
      <c r="N116" s="349" t="n"/>
      <c r="O116" s="349" t="n"/>
      <c r="P116" s="349" t="n"/>
      <c r="Q116" s="349" t="n"/>
      <c r="R116" s="349" t="n"/>
      <c r="S116" s="350" t="n"/>
      <c r="T116" s="43" t="inlineStr">
        <is>
          <t>кг</t>
        </is>
      </c>
      <c r="U116" s="380">
        <f>IFERROR(SUMPRODUCT(U114:U114*H114:H114),"0")</f>
        <v/>
      </c>
      <c r="V116" s="380">
        <f>IFERROR(SUMPRODUCT(V114:V114*H114:H114),"0")</f>
        <v/>
      </c>
      <c r="W116" s="43" t="n"/>
      <c r="X116" s="381" t="n"/>
      <c r="Y116" s="381" t="n"/>
    </row>
    <row r="117" ht="16.5" customHeight="1">
      <c r="A117" s="169" t="inlineStr">
        <is>
          <t>Круггетсы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69" t="n"/>
      <c r="Y117" s="169" t="n"/>
    </row>
    <row r="118" ht="14.25" customHeight="1">
      <c r="A118" s="170" t="inlineStr">
        <is>
          <t>Снеки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70" t="n"/>
      <c r="Y118" s="170" t="n"/>
    </row>
    <row r="119" ht="27" customHeight="1">
      <c r="A119" s="64" t="inlineStr">
        <is>
          <t>SU001950</t>
        </is>
      </c>
      <c r="B119" s="64" t="inlineStr">
        <is>
          <t>P001982</t>
        </is>
      </c>
      <c r="C119" s="37" t="n">
        <v>4301130006</v>
      </c>
      <c r="D119" s="171" t="n">
        <v>4607111034670</v>
      </c>
      <c r="E119" s="341" t="n"/>
      <c r="F119" s="373" t="n">
        <v>3</v>
      </c>
      <c r="G119" s="38" t="n">
        <v>1</v>
      </c>
      <c r="H119" s="373" t="n">
        <v>3</v>
      </c>
      <c r="I119" s="373" t="n">
        <v>3.195</v>
      </c>
      <c r="J119" s="38" t="n">
        <v>126</v>
      </c>
      <c r="K119" s="39" t="inlineStr">
        <is>
          <t>МГ</t>
        </is>
      </c>
      <c r="L119" s="38" t="n">
        <v>180</v>
      </c>
      <c r="M119" s="42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9" s="375" t="n"/>
      <c r="O119" s="375" t="n"/>
      <c r="P119" s="375" t="n"/>
      <c r="Q119" s="341" t="n"/>
      <c r="R119" s="40" t="inlineStr"/>
      <c r="S119" s="40" t="inlineStr"/>
      <c r="T119" s="41" t="inlineStr">
        <is>
          <t>кор</t>
        </is>
      </c>
      <c r="U119" s="376" t="n">
        <v>0</v>
      </c>
      <c r="V119" s="377">
        <f>IFERROR(IF(U119="","",U119),"")</f>
        <v/>
      </c>
      <c r="W119" s="42">
        <f>IFERROR(IF(U119="","",U119*0.00936),"")</f>
        <v/>
      </c>
      <c r="X119" s="69" t="inlineStr">
        <is>
          <t>ВЕСОВОЙ ФОРМАТ</t>
        </is>
      </c>
      <c r="Y119" s="70" t="inlineStr"/>
      <c r="AC119" s="74" t="n"/>
      <c r="AZ119" s="120" t="inlineStr">
        <is>
          <t>ПГП</t>
        </is>
      </c>
    </row>
    <row r="120" ht="27" customHeight="1">
      <c r="A120" s="64" t="inlineStr">
        <is>
          <t>SU001949</t>
        </is>
      </c>
      <c r="B120" s="64" t="inlineStr">
        <is>
          <t>P001980</t>
        </is>
      </c>
      <c r="C120" s="37" t="n">
        <v>4301130003</v>
      </c>
      <c r="D120" s="171" t="n">
        <v>4607111034687</v>
      </c>
      <c r="E120" s="341" t="n"/>
      <c r="F120" s="373" t="n">
        <v>3</v>
      </c>
      <c r="G120" s="38" t="n">
        <v>1</v>
      </c>
      <c r="H120" s="373" t="n">
        <v>3</v>
      </c>
      <c r="I120" s="373" t="n">
        <v>3.195</v>
      </c>
      <c r="J120" s="38" t="n">
        <v>126</v>
      </c>
      <c r="K120" s="39" t="inlineStr">
        <is>
          <t>МГ</t>
        </is>
      </c>
      <c r="L120" s="38" t="n">
        <v>180</v>
      </c>
      <c r="M120" s="426" t="inlineStr">
        <is>
          <t>Круггетсы сочные Хорека Весовые Пакет 3 кг Горячая штучка</t>
        </is>
      </c>
      <c r="N120" s="375" t="n"/>
      <c r="O120" s="375" t="n"/>
      <c r="P120" s="375" t="n"/>
      <c r="Q120" s="341" t="n"/>
      <c r="R120" s="40" t="inlineStr"/>
      <c r="S120" s="40" t="inlineStr"/>
      <c r="T120" s="41" t="inlineStr">
        <is>
          <t>кор</t>
        </is>
      </c>
      <c r="U120" s="376" t="n">
        <v>0</v>
      </c>
      <c r="V120" s="377">
        <f>IFERROR(IF(U120="","",U120),"")</f>
        <v/>
      </c>
      <c r="W120" s="42">
        <f>IFERROR(IF(U120="","",U120*0.00936),"")</f>
        <v/>
      </c>
      <c r="X120" s="69" t="inlineStr">
        <is>
          <t>ВЕСОВОЙ ФОРМАТ</t>
        </is>
      </c>
      <c r="Y120" s="70" t="inlineStr"/>
      <c r="AC120" s="74" t="n"/>
      <c r="AZ120" s="121" t="inlineStr">
        <is>
          <t>ПГП</t>
        </is>
      </c>
    </row>
    <row r="121" ht="27" customHeight="1">
      <c r="A121" s="64" t="inlineStr">
        <is>
          <t>SU002566</t>
        </is>
      </c>
      <c r="B121" s="64" t="inlineStr">
        <is>
          <t>P002880</t>
        </is>
      </c>
      <c r="C121" s="37" t="n">
        <v>4301135115</v>
      </c>
      <c r="D121" s="171" t="n">
        <v>4607111034380</v>
      </c>
      <c r="E121" s="341" t="n"/>
      <c r="F121" s="373" t="n">
        <v>0.25</v>
      </c>
      <c r="G121" s="38" t="n">
        <v>12</v>
      </c>
      <c r="H121" s="373" t="n">
        <v>3</v>
      </c>
      <c r="I121" s="373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2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21" s="375" t="n"/>
      <c r="O121" s="375" t="n"/>
      <c r="P121" s="375" t="n"/>
      <c r="Q121" s="341" t="n"/>
      <c r="R121" s="40" t="inlineStr"/>
      <c r="S121" s="40" t="inlineStr"/>
      <c r="T121" s="41" t="inlineStr">
        <is>
          <t>кор</t>
        </is>
      </c>
      <c r="U121" s="376" t="n">
        <v>40</v>
      </c>
      <c r="V121" s="377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22" t="inlineStr">
        <is>
          <t>ПГП</t>
        </is>
      </c>
    </row>
    <row r="122" ht="27" customHeight="1">
      <c r="A122" s="64" t="inlineStr">
        <is>
          <t>SU002567</t>
        </is>
      </c>
      <c r="B122" s="64" t="inlineStr">
        <is>
          <t>P002879</t>
        </is>
      </c>
      <c r="C122" s="37" t="n">
        <v>4301135114</v>
      </c>
      <c r="D122" s="171" t="n">
        <v>4607111034397</v>
      </c>
      <c r="E122" s="341" t="n"/>
      <c r="F122" s="373" t="n">
        <v>0.25</v>
      </c>
      <c r="G122" s="38" t="n">
        <v>12</v>
      </c>
      <c r="H122" s="373" t="n">
        <v>3</v>
      </c>
      <c r="I122" s="37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2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22" s="375" t="n"/>
      <c r="O122" s="375" t="n"/>
      <c r="P122" s="375" t="n"/>
      <c r="Q122" s="341" t="n"/>
      <c r="R122" s="40" t="inlineStr"/>
      <c r="S122" s="40" t="inlineStr"/>
      <c r="T122" s="41" t="inlineStr">
        <is>
          <t>кор</t>
        </is>
      </c>
      <c r="U122" s="376" t="n">
        <v>54</v>
      </c>
      <c r="V122" s="37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23" t="inlineStr">
        <is>
          <t>ПГП</t>
        </is>
      </c>
    </row>
    <row r="123">
      <c r="A123" s="17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78" t="n"/>
      <c r="M123" s="379" t="inlineStr">
        <is>
          <t>Итого</t>
        </is>
      </c>
      <c r="N123" s="349" t="n"/>
      <c r="O123" s="349" t="n"/>
      <c r="P123" s="349" t="n"/>
      <c r="Q123" s="349" t="n"/>
      <c r="R123" s="349" t="n"/>
      <c r="S123" s="350" t="n"/>
      <c r="T123" s="43" t="inlineStr">
        <is>
          <t>кор</t>
        </is>
      </c>
      <c r="U123" s="380">
        <f>IFERROR(SUM(U119:U122),"0")</f>
        <v/>
      </c>
      <c r="V123" s="380">
        <f>IFERROR(SUM(V119:V122),"0")</f>
        <v/>
      </c>
      <c r="W123" s="380">
        <f>IFERROR(IF(W119="",0,W119),"0")+IFERROR(IF(W120="",0,W120),"0")+IFERROR(IF(W121="",0,W121),"0")+IFERROR(IF(W122="",0,W122),"0")</f>
        <v/>
      </c>
      <c r="X123" s="381" t="n"/>
      <c r="Y123" s="38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78" t="n"/>
      <c r="M124" s="379" t="inlineStr">
        <is>
          <t>Итого</t>
        </is>
      </c>
      <c r="N124" s="349" t="n"/>
      <c r="O124" s="349" t="n"/>
      <c r="P124" s="349" t="n"/>
      <c r="Q124" s="349" t="n"/>
      <c r="R124" s="349" t="n"/>
      <c r="S124" s="350" t="n"/>
      <c r="T124" s="43" t="inlineStr">
        <is>
          <t>кг</t>
        </is>
      </c>
      <c r="U124" s="380">
        <f>IFERROR(SUMPRODUCT(U119:U122*H119:H122),"0")</f>
        <v/>
      </c>
      <c r="V124" s="380">
        <f>IFERROR(SUMPRODUCT(V119:V122*H119:H122),"0")</f>
        <v/>
      </c>
      <c r="W124" s="43" t="n"/>
      <c r="X124" s="381" t="n"/>
      <c r="Y124" s="381" t="n"/>
    </row>
    <row r="125" ht="16.5" customHeight="1">
      <c r="A125" s="169" t="inlineStr">
        <is>
          <t>Пекерсы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9" t="n"/>
      <c r="Y125" s="169" t="n"/>
    </row>
    <row r="126" ht="14.25" customHeight="1">
      <c r="A126" s="170" t="inlineStr">
        <is>
          <t>Снеки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0" t="n"/>
      <c r="Y126" s="170" t="n"/>
    </row>
    <row r="127" ht="27" customHeight="1">
      <c r="A127" s="64" t="inlineStr">
        <is>
          <t>SU002669</t>
        </is>
      </c>
      <c r="B127" s="64" t="inlineStr">
        <is>
          <t>P003041</t>
        </is>
      </c>
      <c r="C127" s="37" t="n">
        <v>4301135134</v>
      </c>
      <c r="D127" s="171" t="n">
        <v>4607111035806</v>
      </c>
      <c r="E127" s="341" t="n"/>
      <c r="F127" s="373" t="n">
        <v>0.25</v>
      </c>
      <c r="G127" s="38" t="n">
        <v>12</v>
      </c>
      <c r="H127" s="373" t="n">
        <v>3</v>
      </c>
      <c r="I127" s="373" t="n">
        <v>3.7036</v>
      </c>
      <c r="J127" s="38" t="n">
        <v>70</v>
      </c>
      <c r="K127" s="39" t="inlineStr">
        <is>
          <t>МГ</t>
        </is>
      </c>
      <c r="L127" s="38" t="n">
        <v>180</v>
      </c>
      <c r="M127" s="42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7" s="375" t="n"/>
      <c r="O127" s="375" t="n"/>
      <c r="P127" s="375" t="n"/>
      <c r="Q127" s="341" t="n"/>
      <c r="R127" s="40" t="inlineStr"/>
      <c r="S127" s="40" t="inlineStr"/>
      <c r="T127" s="41" t="inlineStr">
        <is>
          <t>кор</t>
        </is>
      </c>
      <c r="U127" s="376" t="n">
        <v>0</v>
      </c>
      <c r="V127" s="377">
        <f>IFERROR(IF(U127="","",U127),"")</f>
        <v/>
      </c>
      <c r="W127" s="42">
        <f>IFERROR(IF(U127="","",U127*0.01788),"")</f>
        <v/>
      </c>
      <c r="X127" s="69" t="inlineStr"/>
      <c r="Y127" s="70" t="inlineStr"/>
      <c r="AC127" s="74" t="n"/>
      <c r="AZ127" s="124" t="inlineStr">
        <is>
          <t>ПГП</t>
        </is>
      </c>
    </row>
    <row r="128">
      <c r="A128" s="179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78" t="n"/>
      <c r="M128" s="379" t="inlineStr">
        <is>
          <t>Итого</t>
        </is>
      </c>
      <c r="N128" s="349" t="n"/>
      <c r="O128" s="349" t="n"/>
      <c r="P128" s="349" t="n"/>
      <c r="Q128" s="349" t="n"/>
      <c r="R128" s="349" t="n"/>
      <c r="S128" s="350" t="n"/>
      <c r="T128" s="43" t="inlineStr">
        <is>
          <t>кор</t>
        </is>
      </c>
      <c r="U128" s="380">
        <f>IFERROR(SUM(U127:U127),"0")</f>
        <v/>
      </c>
      <c r="V128" s="380">
        <f>IFERROR(SUM(V127:V127),"0")</f>
        <v/>
      </c>
      <c r="W128" s="380">
        <f>IFERROR(IF(W127="",0,W127),"0")</f>
        <v/>
      </c>
      <c r="X128" s="381" t="n"/>
      <c r="Y128" s="38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78" t="n"/>
      <c r="M129" s="379" t="inlineStr">
        <is>
          <t>Итого</t>
        </is>
      </c>
      <c r="N129" s="349" t="n"/>
      <c r="O129" s="349" t="n"/>
      <c r="P129" s="349" t="n"/>
      <c r="Q129" s="349" t="n"/>
      <c r="R129" s="349" t="n"/>
      <c r="S129" s="350" t="n"/>
      <c r="T129" s="43" t="inlineStr">
        <is>
          <t>кг</t>
        </is>
      </c>
      <c r="U129" s="380">
        <f>IFERROR(SUMPRODUCT(U127:U127*H127:H127),"0")</f>
        <v/>
      </c>
      <c r="V129" s="380">
        <f>IFERROR(SUMPRODUCT(V127:V127*H127:H127),"0")</f>
        <v/>
      </c>
      <c r="W129" s="43" t="n"/>
      <c r="X129" s="381" t="n"/>
      <c r="Y129" s="381" t="n"/>
    </row>
    <row r="130" ht="16.5" customHeight="1">
      <c r="A130" s="169" t="inlineStr">
        <is>
          <t>Супермени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69" t="n"/>
      <c r="Y130" s="169" t="n"/>
    </row>
    <row r="131" ht="14.25" customHeight="1">
      <c r="A131" s="170" t="inlineStr">
        <is>
          <t>Пельмени ПГП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0" t="n"/>
      <c r="Y131" s="170" t="n"/>
    </row>
    <row r="132" ht="27" customHeight="1">
      <c r="A132" s="64" t="inlineStr">
        <is>
          <t>SU002008</t>
        </is>
      </c>
      <c r="B132" s="64" t="inlineStr">
        <is>
          <t>P002098</t>
        </is>
      </c>
      <c r="C132" s="37" t="n">
        <v>4301070768</v>
      </c>
      <c r="D132" s="171" t="n">
        <v>4607111035639</v>
      </c>
      <c r="E132" s="341" t="n"/>
      <c r="F132" s="373" t="n">
        <v>0.2</v>
      </c>
      <c r="G132" s="38" t="n">
        <v>12</v>
      </c>
      <c r="H132" s="373" t="n">
        <v>2.4</v>
      </c>
      <c r="I132" s="373" t="n">
        <v>3.13</v>
      </c>
      <c r="J132" s="38" t="n">
        <v>48</v>
      </c>
      <c r="K132" s="39" t="inlineStr">
        <is>
          <t>МГ</t>
        </is>
      </c>
      <c r="L132" s="38" t="n">
        <v>180</v>
      </c>
      <c r="M132" s="43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32" s="375" t="n"/>
      <c r="O132" s="375" t="n"/>
      <c r="P132" s="375" t="n"/>
      <c r="Q132" s="341" t="n"/>
      <c r="R132" s="40" t="inlineStr"/>
      <c r="S132" s="40" t="inlineStr"/>
      <c r="T132" s="41" t="inlineStr">
        <is>
          <t>кор</t>
        </is>
      </c>
      <c r="U132" s="376" t="n">
        <v>0</v>
      </c>
      <c r="V132" s="377">
        <f>IFERROR(IF(U132="","",U132),"")</f>
        <v/>
      </c>
      <c r="W132" s="42">
        <f>IFERROR(IF(U132="","",U132*0.01786),"")</f>
        <v/>
      </c>
      <c r="X132" s="69" t="inlineStr"/>
      <c r="Y132" s="70" t="inlineStr"/>
      <c r="AC132" s="74" t="n"/>
      <c r="AZ132" s="125" t="inlineStr">
        <is>
          <t>ПГП</t>
        </is>
      </c>
    </row>
    <row r="133" ht="27" customHeight="1">
      <c r="A133" s="64" t="inlineStr">
        <is>
          <t>SU002009</t>
        </is>
      </c>
      <c r="B133" s="64" t="inlineStr">
        <is>
          <t>P002099</t>
        </is>
      </c>
      <c r="C133" s="37" t="n">
        <v>4301070769</v>
      </c>
      <c r="D133" s="171" t="n">
        <v>4607111035646</v>
      </c>
      <c r="E133" s="341" t="n"/>
      <c r="F133" s="373" t="n">
        <v>0.2</v>
      </c>
      <c r="G133" s="38" t="n">
        <v>12</v>
      </c>
      <c r="H133" s="373" t="n">
        <v>2.4</v>
      </c>
      <c r="I133" s="373" t="n">
        <v>3.13</v>
      </c>
      <c r="J133" s="38" t="n">
        <v>48</v>
      </c>
      <c r="K133" s="39" t="inlineStr">
        <is>
          <t>МГ</t>
        </is>
      </c>
      <c r="L133" s="38" t="n">
        <v>180</v>
      </c>
      <c r="M133" s="431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33" s="375" t="n"/>
      <c r="O133" s="375" t="n"/>
      <c r="P133" s="375" t="n"/>
      <c r="Q133" s="341" t="n"/>
      <c r="R133" s="40" t="inlineStr"/>
      <c r="S133" s="40" t="inlineStr"/>
      <c r="T133" s="41" t="inlineStr">
        <is>
          <t>кор</t>
        </is>
      </c>
      <c r="U133" s="376" t="n">
        <v>0</v>
      </c>
      <c r="V133" s="377">
        <f>IFERROR(IF(U133="","",U133),"")</f>
        <v/>
      </c>
      <c r="W133" s="42">
        <f>IFERROR(IF(U133="","",U133*0.01786),"")</f>
        <v/>
      </c>
      <c r="X133" s="69" t="inlineStr"/>
      <c r="Y133" s="70" t="inlineStr"/>
      <c r="AC133" s="74" t="n"/>
      <c r="AZ133" s="126" t="inlineStr">
        <is>
          <t>ПГП</t>
        </is>
      </c>
    </row>
    <row r="134">
      <c r="A134" s="17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78" t="n"/>
      <c r="M134" s="379" t="inlineStr">
        <is>
          <t>Итого</t>
        </is>
      </c>
      <c r="N134" s="349" t="n"/>
      <c r="O134" s="349" t="n"/>
      <c r="P134" s="349" t="n"/>
      <c r="Q134" s="349" t="n"/>
      <c r="R134" s="349" t="n"/>
      <c r="S134" s="350" t="n"/>
      <c r="T134" s="43" t="inlineStr">
        <is>
          <t>кор</t>
        </is>
      </c>
      <c r="U134" s="380">
        <f>IFERROR(SUM(U132:U133),"0")</f>
        <v/>
      </c>
      <c r="V134" s="380">
        <f>IFERROR(SUM(V132:V133),"0")</f>
        <v/>
      </c>
      <c r="W134" s="380">
        <f>IFERROR(IF(W132="",0,W132),"0")+IFERROR(IF(W133="",0,W133),"0")</f>
        <v/>
      </c>
      <c r="X134" s="381" t="n"/>
      <c r="Y134" s="38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78" t="n"/>
      <c r="M135" s="379" t="inlineStr">
        <is>
          <t>Итого</t>
        </is>
      </c>
      <c r="N135" s="349" t="n"/>
      <c r="O135" s="349" t="n"/>
      <c r="P135" s="349" t="n"/>
      <c r="Q135" s="349" t="n"/>
      <c r="R135" s="349" t="n"/>
      <c r="S135" s="350" t="n"/>
      <c r="T135" s="43" t="inlineStr">
        <is>
          <t>кг</t>
        </is>
      </c>
      <c r="U135" s="380">
        <f>IFERROR(SUMPRODUCT(U132:U133*H132:H133),"0")</f>
        <v/>
      </c>
      <c r="V135" s="380">
        <f>IFERROR(SUMPRODUCT(V132:V133*H132:H133),"0")</f>
        <v/>
      </c>
      <c r="W135" s="43" t="n"/>
      <c r="X135" s="381" t="n"/>
      <c r="Y135" s="381" t="n"/>
    </row>
    <row r="136" ht="16.5" customHeight="1">
      <c r="A136" s="169" t="inlineStr">
        <is>
          <t>Чебуманы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69" t="n"/>
      <c r="Y136" s="169" t="n"/>
    </row>
    <row r="137" ht="14.25" customHeight="1">
      <c r="A137" s="170" t="inlineStr">
        <is>
          <t>Снеки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0" t="n"/>
      <c r="Y137" s="170" t="n"/>
    </row>
    <row r="138" ht="27" customHeight="1">
      <c r="A138" s="64" t="inlineStr">
        <is>
          <t>SU002289</t>
        </is>
      </c>
      <c r="B138" s="64" t="inlineStr">
        <is>
          <t>P002492</t>
        </is>
      </c>
      <c r="C138" s="37" t="n">
        <v>4301135026</v>
      </c>
      <c r="D138" s="171" t="n">
        <v>4607111036124</v>
      </c>
      <c r="E138" s="341" t="n"/>
      <c r="F138" s="373" t="n">
        <v>0.4</v>
      </c>
      <c r="G138" s="38" t="n">
        <v>12</v>
      </c>
      <c r="H138" s="373" t="n">
        <v>4.8</v>
      </c>
      <c r="I138" s="373" t="n">
        <v>5.126</v>
      </c>
      <c r="J138" s="38" t="n">
        <v>84</v>
      </c>
      <c r="K138" s="39" t="inlineStr">
        <is>
          <t>МГ</t>
        </is>
      </c>
      <c r="L138" s="38" t="n">
        <v>180</v>
      </c>
      <c r="M138" s="432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8" s="375" t="n"/>
      <c r="O138" s="375" t="n"/>
      <c r="P138" s="375" t="n"/>
      <c r="Q138" s="341" t="n"/>
      <c r="R138" s="40" t="inlineStr"/>
      <c r="S138" s="40" t="inlineStr"/>
      <c r="T138" s="41" t="inlineStr">
        <is>
          <t>кор</t>
        </is>
      </c>
      <c r="U138" s="376" t="n">
        <v>0</v>
      </c>
      <c r="V138" s="377">
        <f>IFERROR(IF(U138="","",U138),"")</f>
        <v/>
      </c>
      <c r="W138" s="42">
        <f>IFERROR(IF(U138="","",U138*0.0155),"")</f>
        <v/>
      </c>
      <c r="X138" s="69" t="inlineStr"/>
      <c r="Y138" s="70" t="inlineStr"/>
      <c r="AC138" s="74" t="n"/>
      <c r="AZ138" s="127" t="inlineStr">
        <is>
          <t>ПГП</t>
        </is>
      </c>
    </row>
    <row r="139">
      <c r="A139" s="17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78" t="n"/>
      <c r="M139" s="379" t="inlineStr">
        <is>
          <t>Итого</t>
        </is>
      </c>
      <c r="N139" s="349" t="n"/>
      <c r="O139" s="349" t="n"/>
      <c r="P139" s="349" t="n"/>
      <c r="Q139" s="349" t="n"/>
      <c r="R139" s="349" t="n"/>
      <c r="S139" s="350" t="n"/>
      <c r="T139" s="43" t="inlineStr">
        <is>
          <t>кор</t>
        </is>
      </c>
      <c r="U139" s="380">
        <f>IFERROR(SUM(U138:U138),"0")</f>
        <v/>
      </c>
      <c r="V139" s="380">
        <f>IFERROR(SUM(V138:V138),"0")</f>
        <v/>
      </c>
      <c r="W139" s="380">
        <f>IFERROR(IF(W138="",0,W138),"0")</f>
        <v/>
      </c>
      <c r="X139" s="381" t="n"/>
      <c r="Y139" s="38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78" t="n"/>
      <c r="M140" s="379" t="inlineStr">
        <is>
          <t>Итого</t>
        </is>
      </c>
      <c r="N140" s="349" t="n"/>
      <c r="O140" s="349" t="n"/>
      <c r="P140" s="349" t="n"/>
      <c r="Q140" s="349" t="n"/>
      <c r="R140" s="349" t="n"/>
      <c r="S140" s="350" t="n"/>
      <c r="T140" s="43" t="inlineStr">
        <is>
          <t>кг</t>
        </is>
      </c>
      <c r="U140" s="380">
        <f>IFERROR(SUMPRODUCT(U138:U138*H138:H138),"0")</f>
        <v/>
      </c>
      <c r="V140" s="380">
        <f>IFERROR(SUMPRODUCT(V138:V138*H138:H138),"0")</f>
        <v/>
      </c>
      <c r="W140" s="43" t="n"/>
      <c r="X140" s="381" t="n"/>
      <c r="Y140" s="381" t="n"/>
    </row>
    <row r="141" ht="27.75" customHeight="1">
      <c r="A141" s="184" t="inlineStr">
        <is>
          <t>No Name</t>
        </is>
      </c>
      <c r="B141" s="372" t="n"/>
      <c r="C141" s="372" t="n"/>
      <c r="D141" s="372" t="n"/>
      <c r="E141" s="372" t="n"/>
      <c r="F141" s="372" t="n"/>
      <c r="G141" s="372" t="n"/>
      <c r="H141" s="372" t="n"/>
      <c r="I141" s="372" t="n"/>
      <c r="J141" s="372" t="n"/>
      <c r="K141" s="372" t="n"/>
      <c r="L141" s="372" t="n"/>
      <c r="M141" s="372" t="n"/>
      <c r="N141" s="372" t="n"/>
      <c r="O141" s="372" t="n"/>
      <c r="P141" s="372" t="n"/>
      <c r="Q141" s="372" t="n"/>
      <c r="R141" s="372" t="n"/>
      <c r="S141" s="372" t="n"/>
      <c r="T141" s="372" t="n"/>
      <c r="U141" s="372" t="n"/>
      <c r="V141" s="372" t="n"/>
      <c r="W141" s="372" t="n"/>
      <c r="X141" s="55" t="n"/>
      <c r="Y141" s="55" t="n"/>
    </row>
    <row r="142" ht="16.5" customHeight="1">
      <c r="A142" s="169" t="inlineStr">
        <is>
          <t>No Name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9" t="n"/>
      <c r="Y142" s="169" t="n"/>
    </row>
    <row r="143" ht="14.25" customHeight="1">
      <c r="A143" s="170" t="inlineStr">
        <is>
          <t>Крылья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70" t="n"/>
      <c r="Y143" s="170" t="n"/>
    </row>
    <row r="144" ht="27" customHeight="1">
      <c r="A144" s="64" t="inlineStr">
        <is>
          <t>SU002975</t>
        </is>
      </c>
      <c r="B144" s="64" t="inlineStr">
        <is>
          <t>P003432</t>
        </is>
      </c>
      <c r="C144" s="37" t="n">
        <v>4301131018</v>
      </c>
      <c r="D144" s="171" t="n">
        <v>4607111037930</v>
      </c>
      <c r="E144" s="341" t="n"/>
      <c r="F144" s="373" t="n">
        <v>1.8</v>
      </c>
      <c r="G144" s="38" t="n">
        <v>1</v>
      </c>
      <c r="H144" s="373" t="n">
        <v>1.8</v>
      </c>
      <c r="I144" s="373" t="n">
        <v>1.915</v>
      </c>
      <c r="J144" s="38" t="n">
        <v>234</v>
      </c>
      <c r="K144" s="39" t="inlineStr">
        <is>
          <t>МГ</t>
        </is>
      </c>
      <c r="L144" s="38" t="n">
        <v>180</v>
      </c>
      <c r="M144" s="433">
        <f>HYPERLINK("https://abi.ru/products/Замороженные/No Name/No Name ПГП/Крылья/P003432/","Крылья «Хрустящие крылышки» Весовой ТМ «No Name»")</f>
        <v/>
      </c>
      <c r="N144" s="375" t="n"/>
      <c r="O144" s="375" t="n"/>
      <c r="P144" s="375" t="n"/>
      <c r="Q144" s="341" t="n"/>
      <c r="R144" s="40" t="inlineStr"/>
      <c r="S144" s="40" t="inlineStr"/>
      <c r="T144" s="41" t="inlineStr">
        <is>
          <t>кор</t>
        </is>
      </c>
      <c r="U144" s="376" t="n">
        <v>28</v>
      </c>
      <c r="V144" s="377">
        <f>IFERROR(IF(U144="","",U144),"")</f>
        <v/>
      </c>
      <c r="W144" s="42">
        <f>IFERROR(IF(U144="","",U144*0.00502),"")</f>
        <v/>
      </c>
      <c r="X144" s="69" t="inlineStr"/>
      <c r="Y144" s="70" t="inlineStr"/>
      <c r="AC144" s="74" t="n"/>
      <c r="AZ144" s="128" t="inlineStr">
        <is>
          <t>ПГП</t>
        </is>
      </c>
    </row>
    <row r="145">
      <c r="A145" s="179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78" t="n"/>
      <c r="M145" s="379" t="inlineStr">
        <is>
          <t>Итого</t>
        </is>
      </c>
      <c r="N145" s="349" t="n"/>
      <c r="O145" s="349" t="n"/>
      <c r="P145" s="349" t="n"/>
      <c r="Q145" s="349" t="n"/>
      <c r="R145" s="349" t="n"/>
      <c r="S145" s="350" t="n"/>
      <c r="T145" s="43" t="inlineStr">
        <is>
          <t>кор</t>
        </is>
      </c>
      <c r="U145" s="380">
        <f>IFERROR(SUM(U144:U144),"0")</f>
        <v/>
      </c>
      <c r="V145" s="380">
        <f>IFERROR(SUM(V144:V144),"0")</f>
        <v/>
      </c>
      <c r="W145" s="380">
        <f>IFERROR(IF(W144="",0,W144),"0")</f>
        <v/>
      </c>
      <c r="X145" s="381" t="n"/>
      <c r="Y145" s="38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78" t="n"/>
      <c r="M146" s="379" t="inlineStr">
        <is>
          <t>Итого</t>
        </is>
      </c>
      <c r="N146" s="349" t="n"/>
      <c r="O146" s="349" t="n"/>
      <c r="P146" s="349" t="n"/>
      <c r="Q146" s="349" t="n"/>
      <c r="R146" s="349" t="n"/>
      <c r="S146" s="350" t="n"/>
      <c r="T146" s="43" t="inlineStr">
        <is>
          <t>кг</t>
        </is>
      </c>
      <c r="U146" s="380">
        <f>IFERROR(SUMPRODUCT(U144:U144*H144:H144),"0")</f>
        <v/>
      </c>
      <c r="V146" s="380">
        <f>IFERROR(SUMPRODUCT(V144:V144*H144:H144),"0")</f>
        <v/>
      </c>
      <c r="W146" s="43" t="n"/>
      <c r="X146" s="381" t="n"/>
      <c r="Y146" s="381" t="n"/>
    </row>
    <row r="147" ht="14.25" customHeight="1">
      <c r="A147" s="170" t="inlineStr">
        <is>
          <t>Наггетсы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70" t="n"/>
      <c r="Y147" s="170" t="n"/>
    </row>
    <row r="148" ht="27" customHeight="1">
      <c r="A148" s="64" t="inlineStr">
        <is>
          <t>SU002644</t>
        </is>
      </c>
      <c r="B148" s="64" t="inlineStr">
        <is>
          <t>P003016</t>
        </is>
      </c>
      <c r="C148" s="37" t="n">
        <v>4301132052</v>
      </c>
      <c r="D148" s="171" t="n">
        <v>4607111036872</v>
      </c>
      <c r="E148" s="341" t="n"/>
      <c r="F148" s="373" t="n">
        <v>1</v>
      </c>
      <c r="G148" s="38" t="n">
        <v>6</v>
      </c>
      <c r="H148" s="373" t="n">
        <v>6</v>
      </c>
      <c r="I148" s="373" t="n">
        <v>6.26</v>
      </c>
      <c r="J148" s="38" t="n">
        <v>84</v>
      </c>
      <c r="K148" s="39" t="inlineStr">
        <is>
          <t>МГ</t>
        </is>
      </c>
      <c r="L148" s="38" t="n">
        <v>180</v>
      </c>
      <c r="M148" s="434">
        <f>HYPERLINK("https://abi.ru/products/Замороженные/No Name/No Name ПГП/Наггетсы/P003016/","Наггетсы Хрустящие No Name Весовые No Name 6 кг ТОП-ЛКК, дистр")</f>
        <v/>
      </c>
      <c r="N148" s="375" t="n"/>
      <c r="O148" s="375" t="n"/>
      <c r="P148" s="375" t="n"/>
      <c r="Q148" s="341" t="n"/>
      <c r="R148" s="40" t="inlineStr"/>
      <c r="S148" s="40" t="inlineStr"/>
      <c r="T148" s="41" t="inlineStr">
        <is>
          <t>кор</t>
        </is>
      </c>
      <c r="U148" s="376" t="n">
        <v>0</v>
      </c>
      <c r="V148" s="377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9" t="inlineStr">
        <is>
          <t>ПГП</t>
        </is>
      </c>
    </row>
    <row r="149">
      <c r="A149" s="17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78" t="n"/>
      <c r="M149" s="379" t="inlineStr">
        <is>
          <t>Итого</t>
        </is>
      </c>
      <c r="N149" s="349" t="n"/>
      <c r="O149" s="349" t="n"/>
      <c r="P149" s="349" t="n"/>
      <c r="Q149" s="349" t="n"/>
      <c r="R149" s="349" t="n"/>
      <c r="S149" s="350" t="n"/>
      <c r="T149" s="43" t="inlineStr">
        <is>
          <t>кор</t>
        </is>
      </c>
      <c r="U149" s="380">
        <f>IFERROR(SUM(U148:U148),"0")</f>
        <v/>
      </c>
      <c r="V149" s="380">
        <f>IFERROR(SUM(V148:V148),"0")</f>
        <v/>
      </c>
      <c r="W149" s="380">
        <f>IFERROR(IF(W148="",0,W148),"0")</f>
        <v/>
      </c>
      <c r="X149" s="381" t="n"/>
      <c r="Y149" s="38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78" t="n"/>
      <c r="M150" s="379" t="inlineStr">
        <is>
          <t>Итого</t>
        </is>
      </c>
      <c r="N150" s="349" t="n"/>
      <c r="O150" s="349" t="n"/>
      <c r="P150" s="349" t="n"/>
      <c r="Q150" s="349" t="n"/>
      <c r="R150" s="349" t="n"/>
      <c r="S150" s="350" t="n"/>
      <c r="T150" s="43" t="inlineStr">
        <is>
          <t>кг</t>
        </is>
      </c>
      <c r="U150" s="380">
        <f>IFERROR(SUMPRODUCT(U148:U148*H148:H148),"0")</f>
        <v/>
      </c>
      <c r="V150" s="380">
        <f>IFERROR(SUMPRODUCT(V148:V148*H148:H148),"0")</f>
        <v/>
      </c>
      <c r="W150" s="43" t="n"/>
      <c r="X150" s="381" t="n"/>
      <c r="Y150" s="381" t="n"/>
    </row>
    <row r="151" ht="14.25" customHeight="1">
      <c r="A151" s="170" t="inlineStr">
        <is>
          <t>Чебуреки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70" t="n"/>
      <c r="Y151" s="170" t="n"/>
    </row>
    <row r="152" ht="27" customHeight="1">
      <c r="A152" s="64" t="inlineStr">
        <is>
          <t>SU002406</t>
        </is>
      </c>
      <c r="B152" s="64" t="inlineStr">
        <is>
          <t>P002685</t>
        </is>
      </c>
      <c r="C152" s="37" t="n">
        <v>4301136008</v>
      </c>
      <c r="D152" s="171" t="n">
        <v>4607111036438</v>
      </c>
      <c r="E152" s="341" t="n"/>
      <c r="F152" s="373" t="n">
        <v>2.7</v>
      </c>
      <c r="G152" s="38" t="n">
        <v>1</v>
      </c>
      <c r="H152" s="373" t="n">
        <v>2.7</v>
      </c>
      <c r="I152" s="373" t="n">
        <v>2.8906</v>
      </c>
      <c r="J152" s="38" t="n">
        <v>126</v>
      </c>
      <c r="K152" s="39" t="inlineStr">
        <is>
          <t>МГ</t>
        </is>
      </c>
      <c r="L152" s="38" t="n">
        <v>180</v>
      </c>
      <c r="M152" s="435">
        <f>HYPERLINK("https://abi.ru/products/Замороженные/No Name/No Name ПГП/Чебуреки/P002685/","Чебуреки Мясные No name Весовые No name 2,7 кг")</f>
        <v/>
      </c>
      <c r="N152" s="375" t="n"/>
      <c r="O152" s="375" t="n"/>
      <c r="P152" s="375" t="n"/>
      <c r="Q152" s="341" t="n"/>
      <c r="R152" s="40" t="inlineStr"/>
      <c r="S152" s="40" t="inlineStr"/>
      <c r="T152" s="41" t="inlineStr">
        <is>
          <t>кор</t>
        </is>
      </c>
      <c r="U152" s="376" t="n">
        <v>130</v>
      </c>
      <c r="V152" s="377">
        <f>IFERROR(IF(U152="","",U152),"")</f>
        <v/>
      </c>
      <c r="W152" s="42">
        <f>IFERROR(IF(U152="","",U152*0.00936),"")</f>
        <v/>
      </c>
      <c r="X152" s="69" t="inlineStr"/>
      <c r="Y152" s="70" t="inlineStr"/>
      <c r="AC152" s="74" t="n"/>
      <c r="AZ152" s="130" t="inlineStr">
        <is>
          <t>ПГП</t>
        </is>
      </c>
    </row>
    <row r="153" ht="37.5" customHeight="1">
      <c r="A153" s="64" t="inlineStr">
        <is>
          <t>SU002407</t>
        </is>
      </c>
      <c r="B153" s="64" t="inlineStr">
        <is>
          <t>P002684</t>
        </is>
      </c>
      <c r="C153" s="37" t="n">
        <v>4301136007</v>
      </c>
      <c r="D153" s="171" t="n">
        <v>4607111036636</v>
      </c>
      <c r="E153" s="341" t="n"/>
      <c r="F153" s="373" t="n">
        <v>2.7</v>
      </c>
      <c r="G153" s="38" t="n">
        <v>1</v>
      </c>
      <c r="H153" s="373" t="n">
        <v>2.7</v>
      </c>
      <c r="I153" s="373" t="n">
        <v>2.892</v>
      </c>
      <c r="J153" s="38" t="n">
        <v>126</v>
      </c>
      <c r="K153" s="39" t="inlineStr">
        <is>
          <t>МГ</t>
        </is>
      </c>
      <c r="L153" s="38" t="n">
        <v>180</v>
      </c>
      <c r="M153" s="436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53" s="375" t="n"/>
      <c r="O153" s="375" t="n"/>
      <c r="P153" s="375" t="n"/>
      <c r="Q153" s="341" t="n"/>
      <c r="R153" s="40" t="inlineStr"/>
      <c r="S153" s="40" t="inlineStr"/>
      <c r="T153" s="41" t="inlineStr">
        <is>
          <t>кор</t>
        </is>
      </c>
      <c r="U153" s="376" t="n">
        <v>0</v>
      </c>
      <c r="V153" s="377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31" t="inlineStr">
        <is>
          <t>ПГП</t>
        </is>
      </c>
    </row>
    <row r="154" ht="27" customHeight="1">
      <c r="A154" s="64" t="inlineStr">
        <is>
          <t>SU002045</t>
        </is>
      </c>
      <c r="B154" s="64" t="inlineStr">
        <is>
          <t>P002166</t>
        </is>
      </c>
      <c r="C154" s="37" t="n">
        <v>4301136001</v>
      </c>
      <c r="D154" s="171" t="n">
        <v>4607111035714</v>
      </c>
      <c r="E154" s="341" t="n"/>
      <c r="F154" s="373" t="n">
        <v>5</v>
      </c>
      <c r="G154" s="38" t="n">
        <v>1</v>
      </c>
      <c r="H154" s="373" t="n">
        <v>5</v>
      </c>
      <c r="I154" s="373" t="n">
        <v>5.235</v>
      </c>
      <c r="J154" s="38" t="n">
        <v>84</v>
      </c>
      <c r="K154" s="39" t="inlineStr">
        <is>
          <t>МГ</t>
        </is>
      </c>
      <c r="L154" s="38" t="n">
        <v>180</v>
      </c>
      <c r="M154" s="437">
        <f>HYPERLINK("https://abi.ru/products/Замороженные/No Name/No Name ПГП/Чебуреки/P002166/","Чебуреки Чебуреки Сочные No Name Весовые No name 5 кг дистр")</f>
        <v/>
      </c>
      <c r="N154" s="375" t="n"/>
      <c r="O154" s="375" t="n"/>
      <c r="P154" s="375" t="n"/>
      <c r="Q154" s="341" t="n"/>
      <c r="R154" s="40" t="inlineStr"/>
      <c r="S154" s="40" t="inlineStr"/>
      <c r="T154" s="41" t="inlineStr">
        <is>
          <t>кор</t>
        </is>
      </c>
      <c r="U154" s="376" t="n">
        <v>160</v>
      </c>
      <c r="V154" s="377">
        <f>IFERROR(IF(U154="","",U154),"")</f>
        <v/>
      </c>
      <c r="W154" s="42">
        <f>IFERROR(IF(U154="","",U154*0.0155),"")</f>
        <v/>
      </c>
      <c r="X154" s="69" t="inlineStr"/>
      <c r="Y154" s="70" t="inlineStr"/>
      <c r="AC154" s="74" t="n"/>
      <c r="AZ154" s="132" t="inlineStr">
        <is>
          <t>ПГП</t>
        </is>
      </c>
    </row>
    <row r="155" ht="27" customHeight="1">
      <c r="A155" s="64" t="inlineStr">
        <is>
          <t>SU002976</t>
        </is>
      </c>
      <c r="B155" s="64" t="inlineStr">
        <is>
          <t>P003435</t>
        </is>
      </c>
      <c r="C155" s="37" t="n">
        <v>4301136025</v>
      </c>
      <c r="D155" s="171" t="n">
        <v>4607111038029</v>
      </c>
      <c r="E155" s="341" t="n"/>
      <c r="F155" s="373" t="n">
        <v>2.24</v>
      </c>
      <c r="G155" s="38" t="n">
        <v>1</v>
      </c>
      <c r="H155" s="373" t="n">
        <v>2.24</v>
      </c>
      <c r="I155" s="373" t="n">
        <v>2.432</v>
      </c>
      <c r="J155" s="38" t="n">
        <v>126</v>
      </c>
      <c r="K155" s="39" t="inlineStr">
        <is>
          <t>МГ</t>
        </is>
      </c>
      <c r="L155" s="38" t="n">
        <v>180</v>
      </c>
      <c r="M155" s="438" t="inlineStr">
        <is>
          <t>Чебуреки «Сочный мегачебурек» Весовой ТМ «No Name»</t>
        </is>
      </c>
      <c r="N155" s="375" t="n"/>
      <c r="O155" s="375" t="n"/>
      <c r="P155" s="375" t="n"/>
      <c r="Q155" s="341" t="n"/>
      <c r="R155" s="40" t="inlineStr"/>
      <c r="S155" s="40" t="inlineStr"/>
      <c r="T155" s="41" t="inlineStr">
        <is>
          <t>кор</t>
        </is>
      </c>
      <c r="U155" s="376" t="n">
        <v>0</v>
      </c>
      <c r="V155" s="37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3" t="inlineStr">
        <is>
          <t>ПГП</t>
        </is>
      </c>
    </row>
    <row r="156">
      <c r="A156" s="17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78" t="n"/>
      <c r="M156" s="379" t="inlineStr">
        <is>
          <t>Итого</t>
        </is>
      </c>
      <c r="N156" s="349" t="n"/>
      <c r="O156" s="349" t="n"/>
      <c r="P156" s="349" t="n"/>
      <c r="Q156" s="349" t="n"/>
      <c r="R156" s="349" t="n"/>
      <c r="S156" s="350" t="n"/>
      <c r="T156" s="43" t="inlineStr">
        <is>
          <t>кор</t>
        </is>
      </c>
      <c r="U156" s="380">
        <f>IFERROR(SUM(U152:U155),"0")</f>
        <v/>
      </c>
      <c r="V156" s="380">
        <f>IFERROR(SUM(V152:V155),"0")</f>
        <v/>
      </c>
      <c r="W156" s="380">
        <f>IFERROR(IF(W152="",0,W152),"0")+IFERROR(IF(W153="",0,W153),"0")+IFERROR(IF(W154="",0,W154),"0")+IFERROR(IF(W155="",0,W155),"0")</f>
        <v/>
      </c>
      <c r="X156" s="381" t="n"/>
      <c r="Y156" s="38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378" t="n"/>
      <c r="M157" s="379" t="inlineStr">
        <is>
          <t>Итого</t>
        </is>
      </c>
      <c r="N157" s="349" t="n"/>
      <c r="O157" s="349" t="n"/>
      <c r="P157" s="349" t="n"/>
      <c r="Q157" s="349" t="n"/>
      <c r="R157" s="349" t="n"/>
      <c r="S157" s="350" t="n"/>
      <c r="T157" s="43" t="inlineStr">
        <is>
          <t>кг</t>
        </is>
      </c>
      <c r="U157" s="380">
        <f>IFERROR(SUMPRODUCT(U152:U155*H152:H155),"0")</f>
        <v/>
      </c>
      <c r="V157" s="380">
        <f>IFERROR(SUMPRODUCT(V152:V155*H152:H155),"0")</f>
        <v/>
      </c>
      <c r="W157" s="43" t="n"/>
      <c r="X157" s="381" t="n"/>
      <c r="Y157" s="381" t="n"/>
    </row>
    <row r="158" ht="14.25" customHeight="1">
      <c r="A158" s="170" t="inlineStr">
        <is>
          <t>Снеки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70" t="n"/>
      <c r="Y158" s="170" t="n"/>
    </row>
    <row r="159" ht="27" customHeight="1">
      <c r="A159" s="64" t="inlineStr">
        <is>
          <t>SU002772</t>
        </is>
      </c>
      <c r="B159" s="64" t="inlineStr">
        <is>
          <t>P003159</t>
        </is>
      </c>
      <c r="C159" s="37" t="n">
        <v>4301135156</v>
      </c>
      <c r="D159" s="171" t="n">
        <v>4607111037275</v>
      </c>
      <c r="E159" s="341" t="n"/>
      <c r="F159" s="373" t="n">
        <v>3</v>
      </c>
      <c r="G159" s="38" t="n">
        <v>1</v>
      </c>
      <c r="H159" s="373" t="n">
        <v>3</v>
      </c>
      <c r="I159" s="373" t="n">
        <v>3.192</v>
      </c>
      <c r="J159" s="38" t="n">
        <v>126</v>
      </c>
      <c r="K159" s="39" t="inlineStr">
        <is>
          <t>МГ</t>
        </is>
      </c>
      <c r="L159" s="38" t="n">
        <v>180</v>
      </c>
      <c r="M159" s="439">
        <f>HYPERLINK("https://abi.ru/products/Замороженные/No Name/No Name ПГП/Снеки/P003159/","Жар-боллы с курочкой и сыром No Name ПГП Весовой No Name")</f>
        <v/>
      </c>
      <c r="N159" s="375" t="n"/>
      <c r="O159" s="375" t="n"/>
      <c r="P159" s="375" t="n"/>
      <c r="Q159" s="341" t="n"/>
      <c r="R159" s="40" t="inlineStr"/>
      <c r="S159" s="40" t="inlineStr"/>
      <c r="T159" s="41" t="inlineStr">
        <is>
          <t>кор</t>
        </is>
      </c>
      <c r="U159" s="376" t="n">
        <v>0</v>
      </c>
      <c r="V159" s="37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SU002953</t>
        </is>
      </c>
      <c r="B160" s="64" t="inlineStr">
        <is>
          <t>P003377</t>
        </is>
      </c>
      <c r="C160" s="37" t="n">
        <v>4301135179</v>
      </c>
      <c r="D160" s="171" t="n">
        <v>4607111037923</v>
      </c>
      <c r="E160" s="341" t="n"/>
      <c r="F160" s="373" t="n">
        <v>3.7</v>
      </c>
      <c r="G160" s="38" t="n">
        <v>1</v>
      </c>
      <c r="H160" s="373" t="n">
        <v>3.7</v>
      </c>
      <c r="I160" s="373" t="n">
        <v>3.892</v>
      </c>
      <c r="J160" s="38" t="n">
        <v>126</v>
      </c>
      <c r="K160" s="39" t="inlineStr">
        <is>
          <t>МГ</t>
        </is>
      </c>
      <c r="L160" s="38" t="n">
        <v>180</v>
      </c>
      <c r="M160" s="440">
        <f>HYPERLINK("https://abi.ru/products/Замороженные/No Name/No Name ПГП/Снеки/P003377/","«Жар-ладушки с клубникой и вишней» Весовые ТМ «No name»")</f>
        <v/>
      </c>
      <c r="N160" s="375" t="n"/>
      <c r="O160" s="375" t="n"/>
      <c r="P160" s="375" t="n"/>
      <c r="Q160" s="341" t="n"/>
      <c r="R160" s="40" t="inlineStr"/>
      <c r="S160" s="40" t="inlineStr"/>
      <c r="T160" s="41" t="inlineStr">
        <is>
          <t>кор</t>
        </is>
      </c>
      <c r="U160" s="376" t="n">
        <v>0</v>
      </c>
      <c r="V160" s="377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SU002441</t>
        </is>
      </c>
      <c r="B161" s="64" t="inlineStr">
        <is>
          <t>P002732</t>
        </is>
      </c>
      <c r="C161" s="37" t="n">
        <v>4301135085</v>
      </c>
      <c r="D161" s="171" t="n">
        <v>4607111037220</v>
      </c>
      <c r="E161" s="341" t="n"/>
      <c r="F161" s="373" t="n">
        <v>3.7</v>
      </c>
      <c r="G161" s="38" t="n">
        <v>1</v>
      </c>
      <c r="H161" s="373" t="n">
        <v>3.7</v>
      </c>
      <c r="I161" s="373" t="n">
        <v>3.892</v>
      </c>
      <c r="J161" s="38" t="n">
        <v>126</v>
      </c>
      <c r="K161" s="39" t="inlineStr">
        <is>
          <t>МГ</t>
        </is>
      </c>
      <c r="L161" s="38" t="n">
        <v>180</v>
      </c>
      <c r="M161" s="441">
        <f>HYPERLINK("https://abi.ru/products/Замороженные/No Name/No Name ПГП/Снеки/P002732/","Жар-ладушки с мясом No name ПГП Весовые No name  3,7 кг")</f>
        <v/>
      </c>
      <c r="N161" s="375" t="n"/>
      <c r="O161" s="375" t="n"/>
      <c r="P161" s="375" t="n"/>
      <c r="Q161" s="341" t="n"/>
      <c r="R161" s="40" t="inlineStr"/>
      <c r="S161" s="40" t="inlineStr"/>
      <c r="T161" s="41" t="inlineStr">
        <is>
          <t>кор</t>
        </is>
      </c>
      <c r="U161" s="376" t="n">
        <v>32</v>
      </c>
      <c r="V161" s="37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37.5" customHeight="1">
      <c r="A162" s="64" t="inlineStr">
        <is>
          <t>SU002494</t>
        </is>
      </c>
      <c r="B162" s="64" t="inlineStr">
        <is>
          <t>P002789</t>
        </is>
      </c>
      <c r="C162" s="37" t="n">
        <v>4301135097</v>
      </c>
      <c r="D162" s="171" t="n">
        <v>4607111037206</v>
      </c>
      <c r="E162" s="341" t="n"/>
      <c r="F162" s="373" t="n">
        <v>3.7</v>
      </c>
      <c r="G162" s="38" t="n">
        <v>1</v>
      </c>
      <c r="H162" s="373" t="n">
        <v>3.7</v>
      </c>
      <c r="I162" s="373" t="n">
        <v>3.892</v>
      </c>
      <c r="J162" s="38" t="n">
        <v>126</v>
      </c>
      <c r="K162" s="39" t="inlineStr">
        <is>
          <t>МГ</t>
        </is>
      </c>
      <c r="L162" s="38" t="n">
        <v>180</v>
      </c>
      <c r="M162" s="442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62" s="375" t="n"/>
      <c r="O162" s="375" t="n"/>
      <c r="P162" s="375" t="n"/>
      <c r="Q162" s="341" t="n"/>
      <c r="R162" s="40" t="inlineStr"/>
      <c r="S162" s="40" t="inlineStr"/>
      <c r="T162" s="41" t="inlineStr">
        <is>
          <t>кор</t>
        </is>
      </c>
      <c r="U162" s="376" t="n">
        <v>0</v>
      </c>
      <c r="V162" s="377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SU002484</t>
        </is>
      </c>
      <c r="B163" s="64" t="inlineStr">
        <is>
          <t>P002778</t>
        </is>
      </c>
      <c r="C163" s="37" t="n">
        <v>4301135091</v>
      </c>
      <c r="D163" s="171" t="n">
        <v>4607111037244</v>
      </c>
      <c r="E163" s="341" t="n"/>
      <c r="F163" s="373" t="n">
        <v>3.7</v>
      </c>
      <c r="G163" s="38" t="n">
        <v>1</v>
      </c>
      <c r="H163" s="373" t="n">
        <v>3.7</v>
      </c>
      <c r="I163" s="373" t="n">
        <v>3.892</v>
      </c>
      <c r="J163" s="38" t="n">
        <v>126</v>
      </c>
      <c r="K163" s="39" t="inlineStr">
        <is>
          <t>МГ</t>
        </is>
      </c>
      <c r="L163" s="38" t="n">
        <v>180</v>
      </c>
      <c r="M163" s="443">
        <f>HYPERLINK("https://abi.ru/products/Замороженные/No Name/No Name ПГП/Снеки/P002778/","Жар-ладушки с яблоком и грушей No name ПГП Весовые No name 3,7 кг")</f>
        <v/>
      </c>
      <c r="N163" s="375" t="n"/>
      <c r="O163" s="375" t="n"/>
      <c r="P163" s="375" t="n"/>
      <c r="Q163" s="341" t="n"/>
      <c r="R163" s="40" t="inlineStr"/>
      <c r="S163" s="40" t="inlineStr"/>
      <c r="T163" s="41" t="inlineStr">
        <is>
          <t>кор</t>
        </is>
      </c>
      <c r="U163" s="376" t="n">
        <v>0</v>
      </c>
      <c r="V163" s="37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 ht="27" customHeight="1">
      <c r="A164" s="64" t="inlineStr">
        <is>
          <t>SU002442</t>
        </is>
      </c>
      <c r="B164" s="64" t="inlineStr">
        <is>
          <t>P002970</t>
        </is>
      </c>
      <c r="C164" s="37" t="n">
        <v>4301135128</v>
      </c>
      <c r="D164" s="171" t="n">
        <v>4607111036797</v>
      </c>
      <c r="E164" s="341" t="n"/>
      <c r="F164" s="373" t="n">
        <v>3.7</v>
      </c>
      <c r="G164" s="38" t="n">
        <v>1</v>
      </c>
      <c r="H164" s="373" t="n">
        <v>3.7</v>
      </c>
      <c r="I164" s="373" t="n">
        <v>3.892</v>
      </c>
      <c r="J164" s="38" t="n">
        <v>126</v>
      </c>
      <c r="K164" s="39" t="inlineStr">
        <is>
          <t>МГ</t>
        </is>
      </c>
      <c r="L164" s="38" t="n">
        <v>180</v>
      </c>
      <c r="M164" s="444">
        <f>HYPERLINK("https://abi.ru/products/Замороженные/No Name/No Name ПГП/Снеки/P002970/","Мини-сосиски в тесте Фрайпики No name Весовые No name 3,7 кг")</f>
        <v/>
      </c>
      <c r="N164" s="375" t="n"/>
      <c r="O164" s="375" t="n"/>
      <c r="P164" s="375" t="n"/>
      <c r="Q164" s="341" t="n"/>
      <c r="R164" s="40" t="inlineStr"/>
      <c r="S164" s="40" t="inlineStr"/>
      <c r="T164" s="41" t="inlineStr">
        <is>
          <t>кор</t>
        </is>
      </c>
      <c r="U164" s="376" t="n">
        <v>24</v>
      </c>
      <c r="V164" s="377">
        <f>IFERROR(IF(U164="","",U164),"")</f>
        <v/>
      </c>
      <c r="W164" s="42">
        <f>IFERROR(IF(U164="","",U164*0.00936),"")</f>
        <v/>
      </c>
      <c r="X164" s="69" t="inlineStr"/>
      <c r="Y164" s="70" t="inlineStr"/>
      <c r="AC164" s="74" t="n"/>
      <c r="AZ164" s="139" t="inlineStr">
        <is>
          <t>ПГП</t>
        </is>
      </c>
    </row>
    <row r="165" ht="27" customHeight="1">
      <c r="A165" s="64" t="inlineStr">
        <is>
          <t>SU002046</t>
        </is>
      </c>
      <c r="B165" s="64" t="inlineStr">
        <is>
          <t>P002167</t>
        </is>
      </c>
      <c r="C165" s="37" t="n">
        <v>4301135004</v>
      </c>
      <c r="D165" s="171" t="n">
        <v>4607111035707</v>
      </c>
      <c r="E165" s="341" t="n"/>
      <c r="F165" s="373" t="n">
        <v>5.5</v>
      </c>
      <c r="G165" s="38" t="n">
        <v>1</v>
      </c>
      <c r="H165" s="373" t="n">
        <v>5.5</v>
      </c>
      <c r="I165" s="373" t="n">
        <v>5.735</v>
      </c>
      <c r="J165" s="38" t="n">
        <v>84</v>
      </c>
      <c r="K165" s="39" t="inlineStr">
        <is>
          <t>МГ</t>
        </is>
      </c>
      <c r="L165" s="38" t="n">
        <v>180</v>
      </c>
      <c r="M165" s="445">
        <f>HYPERLINK("https://abi.ru/products/Замороженные/No Name/No Name ПГП/Снеки/P002167/","Снеки Жар-мени No Name Весовые No name 5,5 кг дистр")</f>
        <v/>
      </c>
      <c r="N165" s="375" t="n"/>
      <c r="O165" s="375" t="n"/>
      <c r="P165" s="375" t="n"/>
      <c r="Q165" s="341" t="n"/>
      <c r="R165" s="40" t="inlineStr"/>
      <c r="S165" s="40" t="inlineStr"/>
      <c r="T165" s="41" t="inlineStr">
        <is>
          <t>кор</t>
        </is>
      </c>
      <c r="U165" s="376" t="n">
        <v>27</v>
      </c>
      <c r="V165" s="377">
        <f>IFERROR(IF(U165="","",U165),"")</f>
        <v/>
      </c>
      <c r="W165" s="42">
        <f>IFERROR(IF(U165="","",U165*0.0155),"")</f>
        <v/>
      </c>
      <c r="X165" s="69" t="inlineStr"/>
      <c r="Y165" s="70" t="inlineStr"/>
      <c r="AC165" s="74" t="n"/>
      <c r="AZ165" s="140" t="inlineStr">
        <is>
          <t>ПГП</t>
        </is>
      </c>
    </row>
    <row r="166" ht="37.5" customHeight="1">
      <c r="A166" s="64" t="inlineStr">
        <is>
          <t>SU002405</t>
        </is>
      </c>
      <c r="B166" s="64" t="inlineStr">
        <is>
          <t>P002964</t>
        </is>
      </c>
      <c r="C166" s="37" t="n">
        <v>4301135129</v>
      </c>
      <c r="D166" s="171" t="n">
        <v>4607111036841</v>
      </c>
      <c r="E166" s="341" t="n"/>
      <c r="F166" s="373" t="n">
        <v>3.5</v>
      </c>
      <c r="G166" s="38" t="n">
        <v>1</v>
      </c>
      <c r="H166" s="373" t="n">
        <v>3.5</v>
      </c>
      <c r="I166" s="373" t="n">
        <v>3.692</v>
      </c>
      <c r="J166" s="38" t="n">
        <v>126</v>
      </c>
      <c r="K166" s="39" t="inlineStr">
        <is>
          <t>МГ</t>
        </is>
      </c>
      <c r="L166" s="38" t="n">
        <v>180</v>
      </c>
      <c r="M166" s="446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6" s="375" t="n"/>
      <c r="O166" s="375" t="n"/>
      <c r="P166" s="375" t="n"/>
      <c r="Q166" s="341" t="n"/>
      <c r="R166" s="40" t="inlineStr"/>
      <c r="S166" s="40" t="inlineStr"/>
      <c r="T166" s="41" t="inlineStr">
        <is>
          <t>кор</t>
        </is>
      </c>
      <c r="U166" s="376" t="n">
        <v>0</v>
      </c>
      <c r="V166" s="377">
        <f>IFERROR(IF(U166="","",U166),"")</f>
        <v/>
      </c>
      <c r="W166" s="42">
        <f>IFERROR(IF(U166="","",U166*0.00936),"")</f>
        <v/>
      </c>
      <c r="X166" s="69" t="inlineStr"/>
      <c r="Y166" s="70" t="inlineStr"/>
      <c r="AC166" s="74" t="n"/>
      <c r="AZ166" s="141" t="inlineStr">
        <is>
          <t>ПГП</t>
        </is>
      </c>
    </row>
    <row r="167" ht="27" customHeight="1">
      <c r="A167" s="64" t="inlineStr">
        <is>
          <t>SU002889</t>
        </is>
      </c>
      <c r="B167" s="64" t="inlineStr">
        <is>
          <t>P003310</t>
        </is>
      </c>
      <c r="C167" s="37" t="n">
        <v>4301135177</v>
      </c>
      <c r="D167" s="171" t="n">
        <v>4607111037862</v>
      </c>
      <c r="E167" s="341" t="n"/>
      <c r="F167" s="373" t="n">
        <v>1.8</v>
      </c>
      <c r="G167" s="38" t="n">
        <v>1</v>
      </c>
      <c r="H167" s="373" t="n">
        <v>1.8</v>
      </c>
      <c r="I167" s="373" t="n">
        <v>1.912</v>
      </c>
      <c r="J167" s="38" t="n">
        <v>234</v>
      </c>
      <c r="K167" s="39" t="inlineStr">
        <is>
          <t>МГ</t>
        </is>
      </c>
      <c r="L167" s="38" t="n">
        <v>180</v>
      </c>
      <c r="M167" s="447">
        <f>HYPERLINK("https://abi.ru/products/Замороженные/No Name/No Name ПГП/Снеки/P003310/","Мини-сосиски в тесте Фрайпики No name Весовые No name 1,8 кг")</f>
        <v/>
      </c>
      <c r="N167" s="375" t="n"/>
      <c r="O167" s="375" t="n"/>
      <c r="P167" s="375" t="n"/>
      <c r="Q167" s="341" t="n"/>
      <c r="R167" s="40" t="inlineStr"/>
      <c r="S167" s="40" t="inlineStr"/>
      <c r="T167" s="41" t="inlineStr">
        <is>
          <t>кор</t>
        </is>
      </c>
      <c r="U167" s="376" t="n">
        <v>100</v>
      </c>
      <c r="V167" s="377">
        <f>IFERROR(IF(U167="","",U167),"")</f>
        <v/>
      </c>
      <c r="W167" s="42">
        <f>IFERROR(IF(U167="","",U167*0.00502),"")</f>
        <v/>
      </c>
      <c r="X167" s="69" t="inlineStr"/>
      <c r="Y167" s="70" t="inlineStr"/>
      <c r="AC167" s="74" t="n"/>
      <c r="AZ167" s="142" t="inlineStr">
        <is>
          <t>ПГП</t>
        </is>
      </c>
    </row>
    <row r="168" ht="27" customHeight="1">
      <c r="A168" s="64" t="inlineStr">
        <is>
          <t>SU002794</t>
        </is>
      </c>
      <c r="B168" s="64" t="inlineStr">
        <is>
          <t>P003192</t>
        </is>
      </c>
      <c r="C168" s="37" t="n">
        <v>4301135161</v>
      </c>
      <c r="D168" s="171" t="n">
        <v>4607111037305</v>
      </c>
      <c r="E168" s="341" t="n"/>
      <c r="F168" s="373" t="n">
        <v>3</v>
      </c>
      <c r="G168" s="38" t="n">
        <v>1</v>
      </c>
      <c r="H168" s="373" t="n">
        <v>3</v>
      </c>
      <c r="I168" s="373" t="n">
        <v>3.192</v>
      </c>
      <c r="J168" s="38" t="n">
        <v>126</v>
      </c>
      <c r="K168" s="39" t="inlineStr">
        <is>
          <t>МГ</t>
        </is>
      </c>
      <c r="L168" s="38" t="n">
        <v>180</v>
      </c>
      <c r="M168" s="448" t="inlineStr">
        <is>
          <t>Снеки «Фрай-пицца с ветчиной и грибами» Весовые ТМ «No name» 3 кг</t>
        </is>
      </c>
      <c r="N168" s="375" t="n"/>
      <c r="O168" s="375" t="n"/>
      <c r="P168" s="375" t="n"/>
      <c r="Q168" s="341" t="n"/>
      <c r="R168" s="40" t="inlineStr"/>
      <c r="S168" s="40" t="inlineStr"/>
      <c r="T168" s="41" t="inlineStr">
        <is>
          <t>кор</t>
        </is>
      </c>
      <c r="U168" s="376" t="n">
        <v>20</v>
      </c>
      <c r="V168" s="377">
        <f>IFERROR(IF(U168="","",U168),"")</f>
        <v/>
      </c>
      <c r="W168" s="42">
        <f>IFERROR(IF(U168="","",U168*0.00936),"")</f>
        <v/>
      </c>
      <c r="X168" s="69" t="inlineStr"/>
      <c r="Y168" s="70" t="inlineStr"/>
      <c r="AC168" s="74" t="n"/>
      <c r="AZ168" s="143" t="inlineStr">
        <is>
          <t>ПГП</t>
        </is>
      </c>
    </row>
    <row r="169">
      <c r="A169" s="17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78" t="n"/>
      <c r="M169" s="379" t="inlineStr">
        <is>
          <t>Итого</t>
        </is>
      </c>
      <c r="N169" s="349" t="n"/>
      <c r="O169" s="349" t="n"/>
      <c r="P169" s="349" t="n"/>
      <c r="Q169" s="349" t="n"/>
      <c r="R169" s="349" t="n"/>
      <c r="S169" s="350" t="n"/>
      <c r="T169" s="43" t="inlineStr">
        <is>
          <t>кор</t>
        </is>
      </c>
      <c r="U169" s="380">
        <f>IFERROR(SUM(U159:U168),"0")</f>
        <v/>
      </c>
      <c r="V169" s="380">
        <f>IFERROR(SUM(V159:V168),"0")</f>
        <v/>
      </c>
      <c r="W169" s="38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/>
      </c>
      <c r="X169" s="381" t="n"/>
      <c r="Y169" s="38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78" t="n"/>
      <c r="M170" s="379" t="inlineStr">
        <is>
          <t>Итого</t>
        </is>
      </c>
      <c r="N170" s="349" t="n"/>
      <c r="O170" s="349" t="n"/>
      <c r="P170" s="349" t="n"/>
      <c r="Q170" s="349" t="n"/>
      <c r="R170" s="349" t="n"/>
      <c r="S170" s="350" t="n"/>
      <c r="T170" s="43" t="inlineStr">
        <is>
          <t>кг</t>
        </is>
      </c>
      <c r="U170" s="380">
        <f>IFERROR(SUMPRODUCT(U159:U168*H159:H168),"0")</f>
        <v/>
      </c>
      <c r="V170" s="380">
        <f>IFERROR(SUMPRODUCT(V159:V168*H159:H168),"0")</f>
        <v/>
      </c>
      <c r="W170" s="43" t="n"/>
      <c r="X170" s="381" t="n"/>
      <c r="Y170" s="381" t="n"/>
    </row>
    <row r="171" ht="16.5" customHeight="1">
      <c r="A171" s="169" t="inlineStr">
        <is>
          <t>Стародворье ПГП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9" t="n"/>
      <c r="Y171" s="169" t="n"/>
    </row>
    <row r="172" ht="14.25" customHeight="1">
      <c r="A172" s="170" t="inlineStr">
        <is>
          <t>Пельмени ПГП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0" t="n"/>
      <c r="Y172" s="170" t="n"/>
    </row>
    <row r="173" ht="16.5" customHeight="1">
      <c r="A173" s="64" t="inlineStr">
        <is>
          <t>SU002891</t>
        </is>
      </c>
      <c r="B173" s="64" t="inlineStr">
        <is>
          <t>P003301</t>
        </is>
      </c>
      <c r="C173" s="37" t="n">
        <v>4301071010</v>
      </c>
      <c r="D173" s="171" t="n">
        <v>4607111037701</v>
      </c>
      <c r="E173" s="341" t="n"/>
      <c r="F173" s="373" t="n">
        <v>5</v>
      </c>
      <c r="G173" s="38" t="n">
        <v>1</v>
      </c>
      <c r="H173" s="373" t="n">
        <v>5</v>
      </c>
      <c r="I173" s="373" t="n">
        <v>5.2</v>
      </c>
      <c r="J173" s="38" t="n">
        <v>144</v>
      </c>
      <c r="K173" s="39" t="inlineStr">
        <is>
          <t>МГ</t>
        </is>
      </c>
      <c r="L173" s="38" t="n">
        <v>180</v>
      </c>
      <c r="M173" s="449">
        <f>HYPERLINK("https://abi.ru/products/Замороженные/No Name/Стародворье ПГП/Пельмени ПГП/P003301/","Пельмени «Быстромени» Весовой ТМ «No Name» 5")</f>
        <v/>
      </c>
      <c r="N173" s="375" t="n"/>
      <c r="O173" s="375" t="n"/>
      <c r="P173" s="375" t="n"/>
      <c r="Q173" s="341" t="n"/>
      <c r="R173" s="40" t="inlineStr"/>
      <c r="S173" s="40" t="inlineStr"/>
      <c r="T173" s="41" t="inlineStr">
        <is>
          <t>кор</t>
        </is>
      </c>
      <c r="U173" s="376" t="n">
        <v>0</v>
      </c>
      <c r="V173" s="37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4" t="inlineStr">
        <is>
          <t>ПГП</t>
        </is>
      </c>
    </row>
    <row r="174">
      <c r="A174" s="179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378" t="n"/>
      <c r="M174" s="379" t="inlineStr">
        <is>
          <t>Итого</t>
        </is>
      </c>
      <c r="N174" s="349" t="n"/>
      <c r="O174" s="349" t="n"/>
      <c r="P174" s="349" t="n"/>
      <c r="Q174" s="349" t="n"/>
      <c r="R174" s="349" t="n"/>
      <c r="S174" s="350" t="n"/>
      <c r="T174" s="43" t="inlineStr">
        <is>
          <t>кор</t>
        </is>
      </c>
      <c r="U174" s="380">
        <f>IFERROR(SUM(U173:U173),"0")</f>
        <v/>
      </c>
      <c r="V174" s="380">
        <f>IFERROR(SUM(V173:V173),"0")</f>
        <v/>
      </c>
      <c r="W174" s="380">
        <f>IFERROR(IF(W173="",0,W173),"0")</f>
        <v/>
      </c>
      <c r="X174" s="381" t="n"/>
      <c r="Y174" s="38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78" t="n"/>
      <c r="M175" s="379" t="inlineStr">
        <is>
          <t>Итого</t>
        </is>
      </c>
      <c r="N175" s="349" t="n"/>
      <c r="O175" s="349" t="n"/>
      <c r="P175" s="349" t="n"/>
      <c r="Q175" s="349" t="n"/>
      <c r="R175" s="349" t="n"/>
      <c r="S175" s="350" t="n"/>
      <c r="T175" s="43" t="inlineStr">
        <is>
          <t>кг</t>
        </is>
      </c>
      <c r="U175" s="380">
        <f>IFERROR(SUMPRODUCT(U173:U173*H173:H173),"0")</f>
        <v/>
      </c>
      <c r="V175" s="380">
        <f>IFERROR(SUMPRODUCT(V173:V173*H173:H173),"0")</f>
        <v/>
      </c>
      <c r="W175" s="43" t="n"/>
      <c r="X175" s="381" t="n"/>
      <c r="Y175" s="381" t="n"/>
    </row>
    <row r="176" ht="16.5" customHeight="1">
      <c r="A176" s="169" t="inlineStr">
        <is>
          <t>No Name ЗПФ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69" t="n"/>
      <c r="Y176" s="169" t="n"/>
    </row>
    <row r="177" ht="14.25" customHeight="1">
      <c r="A177" s="170" t="inlineStr">
        <is>
          <t>Пельмени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70" t="n"/>
      <c r="Y177" s="170" t="n"/>
    </row>
    <row r="178" ht="16.5" customHeight="1">
      <c r="A178" s="64" t="inlineStr">
        <is>
          <t>SU002396</t>
        </is>
      </c>
      <c r="B178" s="64" t="inlineStr">
        <is>
          <t>P002689</t>
        </is>
      </c>
      <c r="C178" s="37" t="n">
        <v>4301070871</v>
      </c>
      <c r="D178" s="171" t="n">
        <v>4607111036384</v>
      </c>
      <c r="E178" s="341" t="n"/>
      <c r="F178" s="373" t="n">
        <v>1</v>
      </c>
      <c r="G178" s="38" t="n">
        <v>5</v>
      </c>
      <c r="H178" s="373" t="n">
        <v>5</v>
      </c>
      <c r="I178" s="373" t="n">
        <v>5.253</v>
      </c>
      <c r="J178" s="38" t="n">
        <v>144</v>
      </c>
      <c r="K178" s="39" t="inlineStr">
        <is>
          <t>МГ</t>
        </is>
      </c>
      <c r="L178" s="38" t="n">
        <v>90</v>
      </c>
      <c r="M178" s="450">
        <f>HYPERLINK("https://abi.ru/products/Замороженные/No Name/No Name ЗПФ/Пельмени/P002689/","Пельмени Зареченские No name Весовые Сфера No name 5 кг")</f>
        <v/>
      </c>
      <c r="N178" s="375" t="n"/>
      <c r="O178" s="375" t="n"/>
      <c r="P178" s="375" t="n"/>
      <c r="Q178" s="341" t="n"/>
      <c r="R178" s="40" t="inlineStr"/>
      <c r="S178" s="40" t="inlineStr"/>
      <c r="T178" s="41" t="inlineStr">
        <is>
          <t>кор</t>
        </is>
      </c>
      <c r="U178" s="376" t="n">
        <v>0</v>
      </c>
      <c r="V178" s="377">
        <f>IFERROR(IF(U178="","",U178),"")</f>
        <v/>
      </c>
      <c r="W178" s="42">
        <f>IFERROR(IF(U178="","",U178*0.00866),"")</f>
        <v/>
      </c>
      <c r="X178" s="69" t="inlineStr"/>
      <c r="Y178" s="70" t="inlineStr"/>
      <c r="AC178" s="74" t="n"/>
      <c r="AZ178" s="145" t="inlineStr">
        <is>
          <t>ЗПФ</t>
        </is>
      </c>
    </row>
    <row r="179" ht="27" customHeight="1">
      <c r="A179" s="64" t="inlineStr">
        <is>
          <t>SU002314</t>
        </is>
      </c>
      <c r="B179" s="64" t="inlineStr">
        <is>
          <t>P002579</t>
        </is>
      </c>
      <c r="C179" s="37" t="n">
        <v>4301070858</v>
      </c>
      <c r="D179" s="171" t="n">
        <v>4607111036193</v>
      </c>
      <c r="E179" s="341" t="n"/>
      <c r="F179" s="373" t="n">
        <v>1</v>
      </c>
      <c r="G179" s="38" t="n">
        <v>5</v>
      </c>
      <c r="H179" s="373" t="n">
        <v>5</v>
      </c>
      <c r="I179" s="373" t="n">
        <v>5.275</v>
      </c>
      <c r="J179" s="38" t="n">
        <v>144</v>
      </c>
      <c r="K179" s="39" t="inlineStr">
        <is>
          <t>МГ</t>
        </is>
      </c>
      <c r="L179" s="38" t="n">
        <v>90</v>
      </c>
      <c r="M179" s="451">
        <f>HYPERLINK("https://abi.ru/products/Замороженные/No Name/No Name ЗПФ/Пельмени/P002579/","Пельмени Классические No name Весовые Хинкали No name 5 кг")</f>
        <v/>
      </c>
      <c r="N179" s="375" t="n"/>
      <c r="O179" s="375" t="n"/>
      <c r="P179" s="375" t="n"/>
      <c r="Q179" s="341" t="n"/>
      <c r="R179" s="40" t="inlineStr"/>
      <c r="S179" s="40" t="inlineStr"/>
      <c r="T179" s="41" t="inlineStr">
        <is>
          <t>кор</t>
        </is>
      </c>
      <c r="U179" s="376" t="n">
        <v>0</v>
      </c>
      <c r="V179" s="377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6" t="inlineStr">
        <is>
          <t>ЗПФ</t>
        </is>
      </c>
    </row>
    <row r="180" ht="27" customHeight="1">
      <c r="A180" s="64" t="inlineStr">
        <is>
          <t>SU000197</t>
        </is>
      </c>
      <c r="B180" s="64" t="inlineStr">
        <is>
          <t>P002413</t>
        </is>
      </c>
      <c r="C180" s="37" t="n">
        <v>4301070827</v>
      </c>
      <c r="D180" s="171" t="n">
        <v>4607111036216</v>
      </c>
      <c r="E180" s="341" t="n"/>
      <c r="F180" s="373" t="n">
        <v>1</v>
      </c>
      <c r="G180" s="38" t="n">
        <v>5</v>
      </c>
      <c r="H180" s="373" t="n">
        <v>5</v>
      </c>
      <c r="I180" s="373" t="n">
        <v>5.266</v>
      </c>
      <c r="J180" s="38" t="n">
        <v>144</v>
      </c>
      <c r="K180" s="39" t="inlineStr">
        <is>
          <t>МГ</t>
        </is>
      </c>
      <c r="L180" s="38" t="n">
        <v>90</v>
      </c>
      <c r="M180" s="452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80" s="375" t="n"/>
      <c r="O180" s="375" t="n"/>
      <c r="P180" s="375" t="n"/>
      <c r="Q180" s="341" t="n"/>
      <c r="R180" s="40" t="inlineStr"/>
      <c r="S180" s="40" t="inlineStr"/>
      <c r="T180" s="41" t="inlineStr">
        <is>
          <t>кор</t>
        </is>
      </c>
      <c r="U180" s="376" t="n">
        <v>50</v>
      </c>
      <c r="V180" s="37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7" t="inlineStr">
        <is>
          <t>ЗПФ</t>
        </is>
      </c>
    </row>
    <row r="181" ht="27" customHeight="1">
      <c r="A181" s="64" t="inlineStr">
        <is>
          <t>SU002335</t>
        </is>
      </c>
      <c r="B181" s="64" t="inlineStr">
        <is>
          <t>P002980</t>
        </is>
      </c>
      <c r="C181" s="37" t="n">
        <v>4301070911</v>
      </c>
      <c r="D181" s="171" t="n">
        <v>4607111036278</v>
      </c>
      <c r="E181" s="341" t="n"/>
      <c r="F181" s="373" t="n">
        <v>1</v>
      </c>
      <c r="G181" s="38" t="n">
        <v>5</v>
      </c>
      <c r="H181" s="373" t="n">
        <v>5</v>
      </c>
      <c r="I181" s="373" t="n">
        <v>5.283</v>
      </c>
      <c r="J181" s="38" t="n">
        <v>84</v>
      </c>
      <c r="K181" s="39" t="inlineStr">
        <is>
          <t>МГ</t>
        </is>
      </c>
      <c r="L181" s="38" t="n">
        <v>120</v>
      </c>
      <c r="M181" s="453">
        <f>HYPERLINK("https://abi.ru/products/Замороженные/No Name/No Name ЗПФ/Пельмени/P002980/","Пельмени Умелый повар No name Весовые Равиоли No name 5 кг")</f>
        <v/>
      </c>
      <c r="N181" s="375" t="n"/>
      <c r="O181" s="375" t="n"/>
      <c r="P181" s="375" t="n"/>
      <c r="Q181" s="341" t="n"/>
      <c r="R181" s="40" t="inlineStr"/>
      <c r="S181" s="40" t="inlineStr"/>
      <c r="T181" s="41" t="inlineStr">
        <is>
          <t>кор</t>
        </is>
      </c>
      <c r="U181" s="376" t="n">
        <v>0</v>
      </c>
      <c r="V181" s="377">
        <f>IFERROR(IF(U181="","",U181),"")</f>
        <v/>
      </c>
      <c r="W181" s="42">
        <f>IFERROR(IF(U181="","",U181*0.0155),"")</f>
        <v/>
      </c>
      <c r="X181" s="69" t="inlineStr"/>
      <c r="Y181" s="70" t="inlineStr"/>
      <c r="AC181" s="74" t="n"/>
      <c r="AZ181" s="148" t="inlineStr">
        <is>
          <t>ЗПФ</t>
        </is>
      </c>
    </row>
    <row r="182">
      <c r="A182" s="17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78" t="n"/>
      <c r="M182" s="379" t="inlineStr">
        <is>
          <t>Итого</t>
        </is>
      </c>
      <c r="N182" s="349" t="n"/>
      <c r="O182" s="349" t="n"/>
      <c r="P182" s="349" t="n"/>
      <c r="Q182" s="349" t="n"/>
      <c r="R182" s="349" t="n"/>
      <c r="S182" s="350" t="n"/>
      <c r="T182" s="43" t="inlineStr">
        <is>
          <t>кор</t>
        </is>
      </c>
      <c r="U182" s="380">
        <f>IFERROR(SUM(U178:U181),"0")</f>
        <v/>
      </c>
      <c r="V182" s="380">
        <f>IFERROR(SUM(V178:V181),"0")</f>
        <v/>
      </c>
      <c r="W182" s="380">
        <f>IFERROR(IF(W178="",0,W178),"0")+IFERROR(IF(W179="",0,W179),"0")+IFERROR(IF(W180="",0,W180),"0")+IFERROR(IF(W181="",0,W181),"0")</f>
        <v/>
      </c>
      <c r="X182" s="381" t="n"/>
      <c r="Y182" s="38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78" t="n"/>
      <c r="M183" s="379" t="inlineStr">
        <is>
          <t>Итого</t>
        </is>
      </c>
      <c r="N183" s="349" t="n"/>
      <c r="O183" s="349" t="n"/>
      <c r="P183" s="349" t="n"/>
      <c r="Q183" s="349" t="n"/>
      <c r="R183" s="349" t="n"/>
      <c r="S183" s="350" t="n"/>
      <c r="T183" s="43" t="inlineStr">
        <is>
          <t>кг</t>
        </is>
      </c>
      <c r="U183" s="380">
        <f>IFERROR(SUMPRODUCT(U178:U181*H178:H181),"0")</f>
        <v/>
      </c>
      <c r="V183" s="380">
        <f>IFERROR(SUMPRODUCT(V178:V181*H178:H181),"0")</f>
        <v/>
      </c>
      <c r="W183" s="43" t="n"/>
      <c r="X183" s="381" t="n"/>
      <c r="Y183" s="381" t="n"/>
    </row>
    <row r="184" ht="14.25" customHeight="1">
      <c r="A184" s="170" t="inlineStr">
        <is>
          <t>Вареники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0" t="n"/>
      <c r="Y184" s="170" t="n"/>
    </row>
    <row r="185" ht="27" customHeight="1">
      <c r="A185" s="64" t="inlineStr">
        <is>
          <t>SU002532</t>
        </is>
      </c>
      <c r="B185" s="64" t="inlineStr">
        <is>
          <t>P002958</t>
        </is>
      </c>
      <c r="C185" s="37" t="n">
        <v>4301080153</v>
      </c>
      <c r="D185" s="171" t="n">
        <v>4607111036827</v>
      </c>
      <c r="E185" s="341" t="n"/>
      <c r="F185" s="373" t="n">
        <v>1</v>
      </c>
      <c r="G185" s="38" t="n">
        <v>5</v>
      </c>
      <c r="H185" s="373" t="n">
        <v>5</v>
      </c>
      <c r="I185" s="373" t="n">
        <v>5.2</v>
      </c>
      <c r="J185" s="38" t="n">
        <v>144</v>
      </c>
      <c r="K185" s="39" t="inlineStr">
        <is>
          <t>МГ</t>
        </is>
      </c>
      <c r="L185" s="38" t="n">
        <v>90</v>
      </c>
      <c r="M185" s="454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5" s="375" t="n"/>
      <c r="O185" s="375" t="n"/>
      <c r="P185" s="375" t="n"/>
      <c r="Q185" s="341" t="n"/>
      <c r="R185" s="40" t="inlineStr"/>
      <c r="S185" s="40" t="inlineStr"/>
      <c r="T185" s="41" t="inlineStr">
        <is>
          <t>кор</t>
        </is>
      </c>
      <c r="U185" s="376" t="n">
        <v>0</v>
      </c>
      <c r="V185" s="377">
        <f>IFERROR(IF(U185="","",U185),"")</f>
        <v/>
      </c>
      <c r="W185" s="42">
        <f>IFERROR(IF(U185="","",U185*0.00866),"")</f>
        <v/>
      </c>
      <c r="X185" s="69" t="inlineStr"/>
      <c r="Y185" s="70" t="inlineStr"/>
      <c r="AC185" s="74" t="n"/>
      <c r="AZ185" s="149" t="inlineStr">
        <is>
          <t>ЗПФ</t>
        </is>
      </c>
    </row>
    <row r="186" ht="27" customHeight="1">
      <c r="A186" s="64" t="inlineStr">
        <is>
          <t>SU002483</t>
        </is>
      </c>
      <c r="B186" s="64" t="inlineStr">
        <is>
          <t>P002961</t>
        </is>
      </c>
      <c r="C186" s="37" t="n">
        <v>4301080154</v>
      </c>
      <c r="D186" s="171" t="n">
        <v>4607111036834</v>
      </c>
      <c r="E186" s="341" t="n"/>
      <c r="F186" s="373" t="n">
        <v>1</v>
      </c>
      <c r="G186" s="38" t="n">
        <v>5</v>
      </c>
      <c r="H186" s="373" t="n">
        <v>5</v>
      </c>
      <c r="I186" s="373" t="n">
        <v>5.253</v>
      </c>
      <c r="J186" s="38" t="n">
        <v>144</v>
      </c>
      <c r="K186" s="39" t="inlineStr">
        <is>
          <t>МГ</t>
        </is>
      </c>
      <c r="L186" s="38" t="n">
        <v>90</v>
      </c>
      <c r="M186" s="455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6" s="375" t="n"/>
      <c r="O186" s="375" t="n"/>
      <c r="P186" s="375" t="n"/>
      <c r="Q186" s="341" t="n"/>
      <c r="R186" s="40" t="inlineStr"/>
      <c r="S186" s="40" t="inlineStr"/>
      <c r="T186" s="41" t="inlineStr">
        <is>
          <t>кор</t>
        </is>
      </c>
      <c r="U186" s="376" t="n">
        <v>0</v>
      </c>
      <c r="V186" s="377">
        <f>IFERROR(IF(U186="","",U186),"")</f>
        <v/>
      </c>
      <c r="W186" s="42">
        <f>IFERROR(IF(U186="","",U186*0.00866),"")</f>
        <v/>
      </c>
      <c r="X186" s="69" t="inlineStr"/>
      <c r="Y186" s="70" t="inlineStr"/>
      <c r="AC186" s="74" t="n"/>
      <c r="AZ186" s="150" t="inlineStr">
        <is>
          <t>ЗПФ</t>
        </is>
      </c>
    </row>
    <row r="187">
      <c r="A187" s="179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78" t="n"/>
      <c r="M187" s="379" t="inlineStr">
        <is>
          <t>Итого</t>
        </is>
      </c>
      <c r="N187" s="349" t="n"/>
      <c r="O187" s="349" t="n"/>
      <c r="P187" s="349" t="n"/>
      <c r="Q187" s="349" t="n"/>
      <c r="R187" s="349" t="n"/>
      <c r="S187" s="350" t="n"/>
      <c r="T187" s="43" t="inlineStr">
        <is>
          <t>кор</t>
        </is>
      </c>
      <c r="U187" s="380">
        <f>IFERROR(SUM(U185:U186),"0")</f>
        <v/>
      </c>
      <c r="V187" s="380">
        <f>IFERROR(SUM(V185:V186),"0")</f>
        <v/>
      </c>
      <c r="W187" s="380">
        <f>IFERROR(IF(W185="",0,W185),"0")+IFERROR(IF(W186="",0,W186),"0")</f>
        <v/>
      </c>
      <c r="X187" s="381" t="n"/>
      <c r="Y187" s="38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78" t="n"/>
      <c r="M188" s="379" t="inlineStr">
        <is>
          <t>Итого</t>
        </is>
      </c>
      <c r="N188" s="349" t="n"/>
      <c r="O188" s="349" t="n"/>
      <c r="P188" s="349" t="n"/>
      <c r="Q188" s="349" t="n"/>
      <c r="R188" s="349" t="n"/>
      <c r="S188" s="350" t="n"/>
      <c r="T188" s="43" t="inlineStr">
        <is>
          <t>кг</t>
        </is>
      </c>
      <c r="U188" s="380">
        <f>IFERROR(SUMPRODUCT(U185:U186*H185:H186),"0")</f>
        <v/>
      </c>
      <c r="V188" s="380">
        <f>IFERROR(SUMPRODUCT(V185:V186*H185:H186),"0")</f>
        <v/>
      </c>
      <c r="W188" s="43" t="n"/>
      <c r="X188" s="381" t="n"/>
      <c r="Y188" s="381" t="n"/>
    </row>
    <row r="189" ht="27.75" customHeight="1">
      <c r="A189" s="184" t="inlineStr">
        <is>
          <t>Вязанка</t>
        </is>
      </c>
      <c r="B189" s="372" t="n"/>
      <c r="C189" s="372" t="n"/>
      <c r="D189" s="372" t="n"/>
      <c r="E189" s="372" t="n"/>
      <c r="F189" s="372" t="n"/>
      <c r="G189" s="372" t="n"/>
      <c r="H189" s="372" t="n"/>
      <c r="I189" s="372" t="n"/>
      <c r="J189" s="372" t="n"/>
      <c r="K189" s="372" t="n"/>
      <c r="L189" s="372" t="n"/>
      <c r="M189" s="372" t="n"/>
      <c r="N189" s="372" t="n"/>
      <c r="O189" s="372" t="n"/>
      <c r="P189" s="372" t="n"/>
      <c r="Q189" s="372" t="n"/>
      <c r="R189" s="372" t="n"/>
      <c r="S189" s="372" t="n"/>
      <c r="T189" s="372" t="n"/>
      <c r="U189" s="372" t="n"/>
      <c r="V189" s="372" t="n"/>
      <c r="W189" s="372" t="n"/>
      <c r="X189" s="55" t="n"/>
      <c r="Y189" s="55" t="n"/>
    </row>
    <row r="190" ht="16.5" customHeight="1">
      <c r="A190" s="169" t="inlineStr">
        <is>
          <t>Няняггетсы Сливушки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69" t="n"/>
      <c r="Y190" s="169" t="n"/>
    </row>
    <row r="191" ht="14.25" customHeight="1">
      <c r="A191" s="170" t="inlineStr">
        <is>
          <t>Наггетсы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0" t="n"/>
      <c r="Y191" s="170" t="n"/>
    </row>
    <row r="192" ht="16.5" customHeight="1">
      <c r="A192" s="64" t="inlineStr">
        <is>
          <t>SU002516</t>
        </is>
      </c>
      <c r="B192" s="64" t="inlineStr">
        <is>
          <t>P002823</t>
        </is>
      </c>
      <c r="C192" s="37" t="n">
        <v>4301132048</v>
      </c>
      <c r="D192" s="171" t="n">
        <v>4607111035721</v>
      </c>
      <c r="E192" s="341" t="n"/>
      <c r="F192" s="373" t="n">
        <v>0.25</v>
      </c>
      <c r="G192" s="38" t="n">
        <v>12</v>
      </c>
      <c r="H192" s="373" t="n">
        <v>3</v>
      </c>
      <c r="I192" s="373" t="n">
        <v>3.388</v>
      </c>
      <c r="J192" s="38" t="n">
        <v>70</v>
      </c>
      <c r="K192" s="39" t="inlineStr">
        <is>
          <t>МГ</t>
        </is>
      </c>
      <c r="L192" s="38" t="n">
        <v>180</v>
      </c>
      <c r="M192" s="456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92" s="375" t="n"/>
      <c r="O192" s="375" t="n"/>
      <c r="P192" s="375" t="n"/>
      <c r="Q192" s="341" t="n"/>
      <c r="R192" s="40" t="inlineStr"/>
      <c r="S192" s="40" t="inlineStr"/>
      <c r="T192" s="41" t="inlineStr">
        <is>
          <t>кор</t>
        </is>
      </c>
      <c r="U192" s="376" t="n">
        <v>150</v>
      </c>
      <c r="V192" s="377">
        <f>IFERROR(IF(U192="","",U192),"")</f>
        <v/>
      </c>
      <c r="W192" s="42">
        <f>IFERROR(IF(U192="","",U192*0.01788),"")</f>
        <v/>
      </c>
      <c r="X192" s="69" t="inlineStr"/>
      <c r="Y192" s="70" t="inlineStr"/>
      <c r="AC192" s="74" t="n"/>
      <c r="AZ192" s="151" t="inlineStr">
        <is>
          <t>ПГП</t>
        </is>
      </c>
    </row>
    <row r="193" ht="27" customHeight="1">
      <c r="A193" s="64" t="inlineStr">
        <is>
          <t>SU002514</t>
        </is>
      </c>
      <c r="B193" s="64" t="inlineStr">
        <is>
          <t>P002820</t>
        </is>
      </c>
      <c r="C193" s="37" t="n">
        <v>4301132046</v>
      </c>
      <c r="D193" s="171" t="n">
        <v>4607111035691</v>
      </c>
      <c r="E193" s="341" t="n"/>
      <c r="F193" s="373" t="n">
        <v>0.25</v>
      </c>
      <c r="G193" s="38" t="n">
        <v>12</v>
      </c>
      <c r="H193" s="373" t="n">
        <v>3</v>
      </c>
      <c r="I193" s="373" t="n">
        <v>3.388</v>
      </c>
      <c r="J193" s="38" t="n">
        <v>70</v>
      </c>
      <c r="K193" s="39" t="inlineStr">
        <is>
          <t>МГ</t>
        </is>
      </c>
      <c r="L193" s="38" t="n">
        <v>180</v>
      </c>
      <c r="M193" s="457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93" s="375" t="n"/>
      <c r="O193" s="375" t="n"/>
      <c r="P193" s="375" t="n"/>
      <c r="Q193" s="341" t="n"/>
      <c r="R193" s="40" t="inlineStr"/>
      <c r="S193" s="40" t="inlineStr"/>
      <c r="T193" s="41" t="inlineStr">
        <is>
          <t>кор</t>
        </is>
      </c>
      <c r="U193" s="376" t="n">
        <v>150</v>
      </c>
      <c r="V193" s="377">
        <f>IFERROR(IF(U193="","",U193),"")</f>
        <v/>
      </c>
      <c r="W193" s="42">
        <f>IFERROR(IF(U193="","",U193*0.01788),"")</f>
        <v/>
      </c>
      <c r="X193" s="69" t="inlineStr"/>
      <c r="Y193" s="70" t="inlineStr"/>
      <c r="AC193" s="74" t="n"/>
      <c r="AZ193" s="152" t="inlineStr">
        <is>
          <t>ПГП</t>
        </is>
      </c>
    </row>
    <row r="194">
      <c r="A194" s="17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78" t="n"/>
      <c r="M194" s="379" t="inlineStr">
        <is>
          <t>Итого</t>
        </is>
      </c>
      <c r="N194" s="349" t="n"/>
      <c r="O194" s="349" t="n"/>
      <c r="P194" s="349" t="n"/>
      <c r="Q194" s="349" t="n"/>
      <c r="R194" s="349" t="n"/>
      <c r="S194" s="350" t="n"/>
      <c r="T194" s="43" t="inlineStr">
        <is>
          <t>кор</t>
        </is>
      </c>
      <c r="U194" s="380">
        <f>IFERROR(SUM(U192:U193),"0")</f>
        <v/>
      </c>
      <c r="V194" s="380">
        <f>IFERROR(SUM(V192:V193),"0")</f>
        <v/>
      </c>
      <c r="W194" s="380">
        <f>IFERROR(IF(W192="",0,W192),"0")+IFERROR(IF(W193="",0,W193),"0")</f>
        <v/>
      </c>
      <c r="X194" s="381" t="n"/>
      <c r="Y194" s="38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78" t="n"/>
      <c r="M195" s="379" t="inlineStr">
        <is>
          <t>Итого</t>
        </is>
      </c>
      <c r="N195" s="349" t="n"/>
      <c r="O195" s="349" t="n"/>
      <c r="P195" s="349" t="n"/>
      <c r="Q195" s="349" t="n"/>
      <c r="R195" s="349" t="n"/>
      <c r="S195" s="350" t="n"/>
      <c r="T195" s="43" t="inlineStr">
        <is>
          <t>кг</t>
        </is>
      </c>
      <c r="U195" s="380">
        <f>IFERROR(SUMPRODUCT(U192:U193*H192:H193),"0")</f>
        <v/>
      </c>
      <c r="V195" s="380">
        <f>IFERROR(SUMPRODUCT(V192:V193*H192:H193),"0")</f>
        <v/>
      </c>
      <c r="W195" s="43" t="n"/>
      <c r="X195" s="381" t="n"/>
      <c r="Y195" s="381" t="n"/>
    </row>
    <row r="196" ht="16.5" customHeight="1">
      <c r="A196" s="169" t="inlineStr">
        <is>
          <t>Печеные пельмени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9" t="n"/>
      <c r="Y196" s="169" t="n"/>
    </row>
    <row r="197" ht="14.25" customHeight="1">
      <c r="A197" s="170" t="inlineStr">
        <is>
          <t>Печеные пельмени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0" t="n"/>
      <c r="Y197" s="170" t="n"/>
    </row>
    <row r="198" ht="27" customHeight="1">
      <c r="A198" s="64" t="inlineStr">
        <is>
          <t>SU002225</t>
        </is>
      </c>
      <c r="B198" s="64" t="inlineStr">
        <is>
          <t>P002411</t>
        </is>
      </c>
      <c r="C198" s="37" t="n">
        <v>4301133002</v>
      </c>
      <c r="D198" s="171" t="n">
        <v>4607111035783</v>
      </c>
      <c r="E198" s="341" t="n"/>
      <c r="F198" s="373" t="n">
        <v>0.2</v>
      </c>
      <c r="G198" s="38" t="n">
        <v>8</v>
      </c>
      <c r="H198" s="373" t="n">
        <v>1.6</v>
      </c>
      <c r="I198" s="373" t="n">
        <v>2.12</v>
      </c>
      <c r="J198" s="38" t="n">
        <v>72</v>
      </c>
      <c r="K198" s="39" t="inlineStr">
        <is>
          <t>МГ</t>
        </is>
      </c>
      <c r="L198" s="38" t="n">
        <v>180</v>
      </c>
      <c r="M198" s="458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8" s="375" t="n"/>
      <c r="O198" s="375" t="n"/>
      <c r="P198" s="375" t="n"/>
      <c r="Q198" s="341" t="n"/>
      <c r="R198" s="40" t="inlineStr"/>
      <c r="S198" s="40" t="inlineStr"/>
      <c r="T198" s="41" t="inlineStr">
        <is>
          <t>кор</t>
        </is>
      </c>
      <c r="U198" s="376" t="n">
        <v>0</v>
      </c>
      <c r="V198" s="377">
        <f>IFERROR(IF(U198="","",U198),"")</f>
        <v/>
      </c>
      <c r="W198" s="42">
        <f>IFERROR(IF(U198="","",U198*0.01157),"")</f>
        <v/>
      </c>
      <c r="X198" s="69" t="inlineStr"/>
      <c r="Y198" s="70" t="inlineStr"/>
      <c r="AC198" s="74" t="n"/>
      <c r="AZ198" s="153" t="inlineStr">
        <is>
          <t>ПГП</t>
        </is>
      </c>
    </row>
    <row r="199">
      <c r="A199" s="17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78" t="n"/>
      <c r="M199" s="379" t="inlineStr">
        <is>
          <t>Итого</t>
        </is>
      </c>
      <c r="N199" s="349" t="n"/>
      <c r="O199" s="349" t="n"/>
      <c r="P199" s="349" t="n"/>
      <c r="Q199" s="349" t="n"/>
      <c r="R199" s="349" t="n"/>
      <c r="S199" s="350" t="n"/>
      <c r="T199" s="43" t="inlineStr">
        <is>
          <t>кор</t>
        </is>
      </c>
      <c r="U199" s="380">
        <f>IFERROR(SUM(U198:U198),"0")</f>
        <v/>
      </c>
      <c r="V199" s="380">
        <f>IFERROR(SUM(V198:V198),"0")</f>
        <v/>
      </c>
      <c r="W199" s="380">
        <f>IFERROR(IF(W198="",0,W198),"0")</f>
        <v/>
      </c>
      <c r="X199" s="381" t="n"/>
      <c r="Y199" s="38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78" t="n"/>
      <c r="M200" s="379" t="inlineStr">
        <is>
          <t>Итого</t>
        </is>
      </c>
      <c r="N200" s="349" t="n"/>
      <c r="O200" s="349" t="n"/>
      <c r="P200" s="349" t="n"/>
      <c r="Q200" s="349" t="n"/>
      <c r="R200" s="349" t="n"/>
      <c r="S200" s="350" t="n"/>
      <c r="T200" s="43" t="inlineStr">
        <is>
          <t>кг</t>
        </is>
      </c>
      <c r="U200" s="380">
        <f>IFERROR(SUMPRODUCT(U198:U198*H198:H198),"0")</f>
        <v/>
      </c>
      <c r="V200" s="380">
        <f>IFERROR(SUMPRODUCT(V198:V198*H198:H198),"0")</f>
        <v/>
      </c>
      <c r="W200" s="43" t="n"/>
      <c r="X200" s="381" t="n"/>
      <c r="Y200" s="381" t="n"/>
    </row>
    <row r="201" ht="16.5" customHeight="1">
      <c r="A201" s="169" t="inlineStr">
        <is>
          <t>Вязанка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69" t="n"/>
      <c r="Y201" s="169" t="n"/>
    </row>
    <row r="202" ht="14.25" customHeight="1">
      <c r="A202" s="170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0" t="n"/>
      <c r="Y202" s="170" t="n"/>
    </row>
    <row r="203" ht="27" customHeight="1">
      <c r="A203" s="64" t="inlineStr">
        <is>
          <t>SU002677</t>
        </is>
      </c>
      <c r="B203" s="64" t="inlineStr">
        <is>
          <t>P003053</t>
        </is>
      </c>
      <c r="C203" s="37" t="n">
        <v>4301051319</v>
      </c>
      <c r="D203" s="171" t="n">
        <v>4680115881204</v>
      </c>
      <c r="E203" s="341" t="n"/>
      <c r="F203" s="373" t="n">
        <v>0.33</v>
      </c>
      <c r="G203" s="38" t="n">
        <v>6</v>
      </c>
      <c r="H203" s="373" t="n">
        <v>1.98</v>
      </c>
      <c r="I203" s="373" t="n">
        <v>2.246</v>
      </c>
      <c r="J203" s="38" t="n">
        <v>156</v>
      </c>
      <c r="K203" s="39" t="inlineStr">
        <is>
          <t>СК2</t>
        </is>
      </c>
      <c r="L203" s="38" t="n">
        <v>365</v>
      </c>
      <c r="M203" s="459" t="inlineStr">
        <is>
          <t>Сосиски «Сливушки #нежнушки» замороженные Фикс.вес 0,33 п/а ТМ «Вязанка»</t>
        </is>
      </c>
      <c r="N203" s="375" t="n"/>
      <c r="O203" s="375" t="n"/>
      <c r="P203" s="375" t="n"/>
      <c r="Q203" s="341" t="n"/>
      <c r="R203" s="40" t="inlineStr"/>
      <c r="S203" s="40" t="inlineStr"/>
      <c r="T203" s="41" t="inlineStr">
        <is>
          <t>кор</t>
        </is>
      </c>
      <c r="U203" s="376" t="n">
        <v>0</v>
      </c>
      <c r="V203" s="377">
        <f>IFERROR(IF(U203="","",U203),"")</f>
        <v/>
      </c>
      <c r="W203" s="42">
        <f>IFERROR(IF(U203="","",U203*0.00753),"")</f>
        <v/>
      </c>
      <c r="X203" s="69" t="inlineStr"/>
      <c r="Y203" s="70" t="inlineStr"/>
      <c r="AC203" s="74" t="n"/>
      <c r="AZ203" s="154" t="inlineStr">
        <is>
          <t>КИЗ</t>
        </is>
      </c>
    </row>
    <row r="204">
      <c r="A204" s="1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78" t="n"/>
      <c r="M204" s="379" t="inlineStr">
        <is>
          <t>Итого</t>
        </is>
      </c>
      <c r="N204" s="349" t="n"/>
      <c r="O204" s="349" t="n"/>
      <c r="P204" s="349" t="n"/>
      <c r="Q204" s="349" t="n"/>
      <c r="R204" s="349" t="n"/>
      <c r="S204" s="350" t="n"/>
      <c r="T204" s="43" t="inlineStr">
        <is>
          <t>кор</t>
        </is>
      </c>
      <c r="U204" s="380">
        <f>IFERROR(SUM(U203:U203),"0")</f>
        <v/>
      </c>
      <c r="V204" s="380">
        <f>IFERROR(SUM(V203:V203),"0")</f>
        <v/>
      </c>
      <c r="W204" s="380">
        <f>IFERROR(IF(W203="",0,W203),"0")</f>
        <v/>
      </c>
      <c r="X204" s="381" t="n"/>
      <c r="Y204" s="38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78" t="n"/>
      <c r="M205" s="379" t="inlineStr">
        <is>
          <t>Итого</t>
        </is>
      </c>
      <c r="N205" s="349" t="n"/>
      <c r="O205" s="349" t="n"/>
      <c r="P205" s="349" t="n"/>
      <c r="Q205" s="349" t="n"/>
      <c r="R205" s="349" t="n"/>
      <c r="S205" s="350" t="n"/>
      <c r="T205" s="43" t="inlineStr">
        <is>
          <t>кг</t>
        </is>
      </c>
      <c r="U205" s="380">
        <f>IFERROR(SUMPRODUCT(U203:U203*H203:H203),"0")</f>
        <v/>
      </c>
      <c r="V205" s="380">
        <f>IFERROR(SUMPRODUCT(V203:V203*H203:H203),"0")</f>
        <v/>
      </c>
      <c r="W205" s="43" t="n"/>
      <c r="X205" s="381" t="n"/>
      <c r="Y205" s="381" t="n"/>
    </row>
    <row r="206" ht="27.75" customHeight="1">
      <c r="A206" s="184" t="inlineStr">
        <is>
          <t>Стародворье</t>
        </is>
      </c>
      <c r="B206" s="372" t="n"/>
      <c r="C206" s="372" t="n"/>
      <c r="D206" s="372" t="n"/>
      <c r="E206" s="372" t="n"/>
      <c r="F206" s="372" t="n"/>
      <c r="G206" s="372" t="n"/>
      <c r="H206" s="372" t="n"/>
      <c r="I206" s="372" t="n"/>
      <c r="J206" s="372" t="n"/>
      <c r="K206" s="372" t="n"/>
      <c r="L206" s="372" t="n"/>
      <c r="M206" s="372" t="n"/>
      <c r="N206" s="372" t="n"/>
      <c r="O206" s="372" t="n"/>
      <c r="P206" s="372" t="n"/>
      <c r="Q206" s="372" t="n"/>
      <c r="R206" s="372" t="n"/>
      <c r="S206" s="372" t="n"/>
      <c r="T206" s="372" t="n"/>
      <c r="U206" s="372" t="n"/>
      <c r="V206" s="372" t="n"/>
      <c r="W206" s="372" t="n"/>
      <c r="X206" s="55" t="n"/>
      <c r="Y206" s="55" t="n"/>
    </row>
    <row r="207" ht="16.5" customHeight="1">
      <c r="A207" s="169" t="inlineStr">
        <is>
          <t>Стародворье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9" t="n"/>
      <c r="Y207" s="169" t="n"/>
    </row>
    <row r="208" ht="14.25" customHeight="1">
      <c r="A208" s="170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0" t="n"/>
      <c r="Y208" s="170" t="n"/>
    </row>
    <row r="209" ht="27" customHeight="1">
      <c r="A209" s="64" t="inlineStr">
        <is>
          <t>SU002920</t>
        </is>
      </c>
      <c r="B209" s="64" t="inlineStr">
        <is>
          <t>P003355</t>
        </is>
      </c>
      <c r="C209" s="37" t="n">
        <v>4301070948</v>
      </c>
      <c r="D209" s="171" t="n">
        <v>4607111037022</v>
      </c>
      <c r="E209" s="341" t="n"/>
      <c r="F209" s="373" t="n">
        <v>0.7</v>
      </c>
      <c r="G209" s="38" t="n">
        <v>8</v>
      </c>
      <c r="H209" s="373" t="n">
        <v>5.6</v>
      </c>
      <c r="I209" s="373" t="n">
        <v>5.87</v>
      </c>
      <c r="J209" s="38" t="n">
        <v>84</v>
      </c>
      <c r="K209" s="39" t="inlineStr">
        <is>
          <t>МГ</t>
        </is>
      </c>
      <c r="L209" s="38" t="n">
        <v>180</v>
      </c>
      <c r="M209" s="46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9" s="375" t="n"/>
      <c r="O209" s="375" t="n"/>
      <c r="P209" s="375" t="n"/>
      <c r="Q209" s="341" t="n"/>
      <c r="R209" s="40" t="inlineStr"/>
      <c r="S209" s="40" t="inlineStr"/>
      <c r="T209" s="41" t="inlineStr">
        <is>
          <t>кор</t>
        </is>
      </c>
      <c r="U209" s="376" t="n">
        <v>125</v>
      </c>
      <c r="V209" s="37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5" t="inlineStr">
        <is>
          <t>ЗПФ</t>
        </is>
      </c>
    </row>
    <row r="210">
      <c r="A210" s="179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378" t="n"/>
      <c r="M210" s="379" t="inlineStr">
        <is>
          <t>Итого</t>
        </is>
      </c>
      <c r="N210" s="349" t="n"/>
      <c r="O210" s="349" t="n"/>
      <c r="P210" s="349" t="n"/>
      <c r="Q210" s="349" t="n"/>
      <c r="R210" s="349" t="n"/>
      <c r="S210" s="350" t="n"/>
      <c r="T210" s="43" t="inlineStr">
        <is>
          <t>кор</t>
        </is>
      </c>
      <c r="U210" s="380">
        <f>IFERROR(SUM(U209:U209),"0")</f>
        <v/>
      </c>
      <c r="V210" s="380">
        <f>IFERROR(SUM(V209:V209),"0")</f>
        <v/>
      </c>
      <c r="W210" s="380">
        <f>IFERROR(IF(W209="",0,W209),"0")</f>
        <v/>
      </c>
      <c r="X210" s="381" t="n"/>
      <c r="Y210" s="38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378" t="n"/>
      <c r="M211" s="379" t="inlineStr">
        <is>
          <t>Итого</t>
        </is>
      </c>
      <c r="N211" s="349" t="n"/>
      <c r="O211" s="349" t="n"/>
      <c r="P211" s="349" t="n"/>
      <c r="Q211" s="349" t="n"/>
      <c r="R211" s="349" t="n"/>
      <c r="S211" s="350" t="n"/>
      <c r="T211" s="43" t="inlineStr">
        <is>
          <t>кг</t>
        </is>
      </c>
      <c r="U211" s="380">
        <f>IFERROR(SUMPRODUCT(U209:U209*H209:H209),"0")</f>
        <v/>
      </c>
      <c r="V211" s="380">
        <f>IFERROR(SUMPRODUCT(V209:V209*H209:H209),"0")</f>
        <v/>
      </c>
      <c r="W211" s="43" t="n"/>
      <c r="X211" s="381" t="n"/>
      <c r="Y211" s="381" t="n"/>
    </row>
    <row r="212" ht="16.5" customHeight="1">
      <c r="A212" s="169" t="inlineStr">
        <is>
          <t>Медвежье ушко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69" t="n"/>
      <c r="Y212" s="169" t="n"/>
    </row>
    <row r="213" ht="14.25" customHeight="1">
      <c r="A213" s="170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70" t="n"/>
      <c r="Y213" s="170" t="n"/>
    </row>
    <row r="214" ht="27" customHeight="1">
      <c r="A214" s="64" t="inlineStr">
        <is>
          <t>SU002067</t>
        </is>
      </c>
      <c r="B214" s="64" t="inlineStr">
        <is>
          <t>P002999</t>
        </is>
      </c>
      <c r="C214" s="37" t="n">
        <v>4301070915</v>
      </c>
      <c r="D214" s="171" t="n">
        <v>4607111035882</v>
      </c>
      <c r="E214" s="341" t="n"/>
      <c r="F214" s="373" t="n">
        <v>0.43</v>
      </c>
      <c r="G214" s="38" t="n">
        <v>16</v>
      </c>
      <c r="H214" s="373" t="n">
        <v>6.88</v>
      </c>
      <c r="I214" s="373" t="n">
        <v>7.19</v>
      </c>
      <c r="J214" s="38" t="n">
        <v>84</v>
      </c>
      <c r="K214" s="39" t="inlineStr">
        <is>
          <t>МГ</t>
        </is>
      </c>
      <c r="L214" s="38" t="n">
        <v>180</v>
      </c>
      <c r="M214" s="46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4" s="375" t="n"/>
      <c r="O214" s="375" t="n"/>
      <c r="P214" s="375" t="n"/>
      <c r="Q214" s="341" t="n"/>
      <c r="R214" s="40" t="inlineStr"/>
      <c r="S214" s="40" t="inlineStr"/>
      <c r="T214" s="41" t="inlineStr">
        <is>
          <t>кор</t>
        </is>
      </c>
      <c r="U214" s="376" t="n">
        <v>0</v>
      </c>
      <c r="V214" s="377">
        <f>IFERROR(IF(U214="","",U214),"")</f>
        <v/>
      </c>
      <c r="W214" s="42">
        <f>IFERROR(IF(U214="","",U214*0.0155),"")</f>
        <v/>
      </c>
      <c r="X214" s="69" t="inlineStr"/>
      <c r="Y214" s="70" t="inlineStr"/>
      <c r="AC214" s="74" t="n"/>
      <c r="AZ214" s="156" t="inlineStr">
        <is>
          <t>ЗПФ</t>
        </is>
      </c>
    </row>
    <row r="215" ht="27" customHeight="1">
      <c r="A215" s="64" t="inlineStr">
        <is>
          <t>SU002068</t>
        </is>
      </c>
      <c r="B215" s="64" t="inlineStr">
        <is>
          <t>P003005</t>
        </is>
      </c>
      <c r="C215" s="37" t="n">
        <v>4301070921</v>
      </c>
      <c r="D215" s="171" t="n">
        <v>4607111035905</v>
      </c>
      <c r="E215" s="341" t="n"/>
      <c r="F215" s="373" t="n">
        <v>0.9</v>
      </c>
      <c r="G215" s="38" t="n">
        <v>8</v>
      </c>
      <c r="H215" s="373" t="n">
        <v>7.2</v>
      </c>
      <c r="I215" s="373" t="n">
        <v>7.47</v>
      </c>
      <c r="J215" s="38" t="n">
        <v>84</v>
      </c>
      <c r="K215" s="39" t="inlineStr">
        <is>
          <t>МГ</t>
        </is>
      </c>
      <c r="L215" s="38" t="n">
        <v>180</v>
      </c>
      <c r="M215" s="46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5" s="375" t="n"/>
      <c r="O215" s="375" t="n"/>
      <c r="P215" s="375" t="n"/>
      <c r="Q215" s="341" t="n"/>
      <c r="R215" s="40" t="inlineStr"/>
      <c r="S215" s="40" t="inlineStr"/>
      <c r="T215" s="41" t="inlineStr">
        <is>
          <t>кор</t>
        </is>
      </c>
      <c r="U215" s="376" t="n">
        <v>0</v>
      </c>
      <c r="V215" s="377">
        <f>IFERROR(IF(U215="","",U215),"")</f>
        <v/>
      </c>
      <c r="W215" s="42">
        <f>IFERROR(IF(U215="","",U215*0.0155),"")</f>
        <v/>
      </c>
      <c r="X215" s="69" t="inlineStr"/>
      <c r="Y215" s="70" t="inlineStr"/>
      <c r="AC215" s="74" t="n"/>
      <c r="AZ215" s="157" t="inlineStr">
        <is>
          <t>ЗПФ</t>
        </is>
      </c>
    </row>
    <row r="216" ht="27" customHeight="1">
      <c r="A216" s="64" t="inlineStr">
        <is>
          <t>SU002069</t>
        </is>
      </c>
      <c r="B216" s="64" t="inlineStr">
        <is>
          <t>P003001</t>
        </is>
      </c>
      <c r="C216" s="37" t="n">
        <v>4301070917</v>
      </c>
      <c r="D216" s="171" t="n">
        <v>4607111035912</v>
      </c>
      <c r="E216" s="341" t="n"/>
      <c r="F216" s="373" t="n">
        <v>0.43</v>
      </c>
      <c r="G216" s="38" t="n">
        <v>16</v>
      </c>
      <c r="H216" s="373" t="n">
        <v>6.88</v>
      </c>
      <c r="I216" s="373" t="n">
        <v>7.19</v>
      </c>
      <c r="J216" s="38" t="n">
        <v>84</v>
      </c>
      <c r="K216" s="39" t="inlineStr">
        <is>
          <t>МГ</t>
        </is>
      </c>
      <c r="L216" s="38" t="n">
        <v>180</v>
      </c>
      <c r="M216" s="46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6" s="375" t="n"/>
      <c r="O216" s="375" t="n"/>
      <c r="P216" s="375" t="n"/>
      <c r="Q216" s="341" t="n"/>
      <c r="R216" s="40" t="inlineStr"/>
      <c r="S216" s="40" t="inlineStr"/>
      <c r="T216" s="41" t="inlineStr">
        <is>
          <t>кор</t>
        </is>
      </c>
      <c r="U216" s="376" t="n">
        <v>0</v>
      </c>
      <c r="V216" s="377">
        <f>IFERROR(IF(U216="","",U216),"")</f>
        <v/>
      </c>
      <c r="W216" s="42">
        <f>IFERROR(IF(U216="","",U216*0.0155),"")</f>
        <v/>
      </c>
      <c r="X216" s="69" t="inlineStr"/>
      <c r="Y216" s="70" t="inlineStr"/>
      <c r="AC216" s="74" t="n"/>
      <c r="AZ216" s="158" t="inlineStr">
        <is>
          <t>ЗПФ</t>
        </is>
      </c>
    </row>
    <row r="217" ht="27" customHeight="1">
      <c r="A217" s="64" t="inlineStr">
        <is>
          <t>SU002066</t>
        </is>
      </c>
      <c r="B217" s="64" t="inlineStr">
        <is>
          <t>P003004</t>
        </is>
      </c>
      <c r="C217" s="37" t="n">
        <v>4301070920</v>
      </c>
      <c r="D217" s="171" t="n">
        <v>4607111035929</v>
      </c>
      <c r="E217" s="341" t="n"/>
      <c r="F217" s="373" t="n">
        <v>0.9</v>
      </c>
      <c r="G217" s="38" t="n">
        <v>8</v>
      </c>
      <c r="H217" s="373" t="n">
        <v>7.2</v>
      </c>
      <c r="I217" s="373" t="n">
        <v>7.47</v>
      </c>
      <c r="J217" s="38" t="n">
        <v>84</v>
      </c>
      <c r="K217" s="39" t="inlineStr">
        <is>
          <t>МГ</t>
        </is>
      </c>
      <c r="L217" s="38" t="n">
        <v>180</v>
      </c>
      <c r="M217" s="46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7" s="375" t="n"/>
      <c r="O217" s="375" t="n"/>
      <c r="P217" s="375" t="n"/>
      <c r="Q217" s="341" t="n"/>
      <c r="R217" s="40" t="inlineStr"/>
      <c r="S217" s="40" t="inlineStr"/>
      <c r="T217" s="41" t="inlineStr">
        <is>
          <t>кор</t>
        </is>
      </c>
      <c r="U217" s="376" t="n">
        <v>35</v>
      </c>
      <c r="V217" s="377">
        <f>IFERROR(IF(U217="","",U217),"")</f>
        <v/>
      </c>
      <c r="W217" s="42">
        <f>IFERROR(IF(U217="","",U217*0.0155),"")</f>
        <v/>
      </c>
      <c r="X217" s="69" t="inlineStr"/>
      <c r="Y217" s="70" t="inlineStr"/>
      <c r="AC217" s="74" t="n"/>
      <c r="AZ217" s="159" t="inlineStr">
        <is>
          <t>ЗПФ</t>
        </is>
      </c>
    </row>
    <row r="218">
      <c r="A218" s="179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78" t="n"/>
      <c r="M218" s="379" t="inlineStr">
        <is>
          <t>Итого</t>
        </is>
      </c>
      <c r="N218" s="349" t="n"/>
      <c r="O218" s="349" t="n"/>
      <c r="P218" s="349" t="n"/>
      <c r="Q218" s="349" t="n"/>
      <c r="R218" s="349" t="n"/>
      <c r="S218" s="350" t="n"/>
      <c r="T218" s="43" t="inlineStr">
        <is>
          <t>кор</t>
        </is>
      </c>
      <c r="U218" s="380">
        <f>IFERROR(SUM(U214:U217),"0")</f>
        <v/>
      </c>
      <c r="V218" s="380">
        <f>IFERROR(SUM(V214:V217),"0")</f>
        <v/>
      </c>
      <c r="W218" s="380">
        <f>IFERROR(IF(W214="",0,W214),"0")+IFERROR(IF(W215="",0,W215),"0")+IFERROR(IF(W216="",0,W216),"0")+IFERROR(IF(W217="",0,W217),"0")</f>
        <v/>
      </c>
      <c r="X218" s="381" t="n"/>
      <c r="Y218" s="38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78" t="n"/>
      <c r="M219" s="379" t="inlineStr">
        <is>
          <t>Итого</t>
        </is>
      </c>
      <c r="N219" s="349" t="n"/>
      <c r="O219" s="349" t="n"/>
      <c r="P219" s="349" t="n"/>
      <c r="Q219" s="349" t="n"/>
      <c r="R219" s="349" t="n"/>
      <c r="S219" s="350" t="n"/>
      <c r="T219" s="43" t="inlineStr">
        <is>
          <t>кг</t>
        </is>
      </c>
      <c r="U219" s="380">
        <f>IFERROR(SUMPRODUCT(U214:U217*H214:H217),"0")</f>
        <v/>
      </c>
      <c r="V219" s="380">
        <f>IFERROR(SUMPRODUCT(V214:V217*H214:H217),"0")</f>
        <v/>
      </c>
      <c r="W219" s="43" t="n"/>
      <c r="X219" s="381" t="n"/>
      <c r="Y219" s="381" t="n"/>
    </row>
    <row r="220" ht="16.5" customHeight="1">
      <c r="A220" s="169" t="inlineStr">
        <is>
          <t>Бордо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9" t="n"/>
      <c r="Y220" s="169" t="n"/>
    </row>
    <row r="221" ht="14.25" customHeight="1">
      <c r="A221" s="170" t="inlineStr">
        <is>
          <t>Сосиски замороженные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0" t="n"/>
      <c r="Y221" s="170" t="n"/>
    </row>
    <row r="222" ht="27" customHeight="1">
      <c r="A222" s="64" t="inlineStr">
        <is>
          <t>SU002678</t>
        </is>
      </c>
      <c r="B222" s="64" t="inlineStr">
        <is>
          <t>P003054</t>
        </is>
      </c>
      <c r="C222" s="37" t="n">
        <v>4301051320</v>
      </c>
      <c r="D222" s="171" t="n">
        <v>4680115881334</v>
      </c>
      <c r="E222" s="341" t="n"/>
      <c r="F222" s="373" t="n">
        <v>0.33</v>
      </c>
      <c r="G222" s="38" t="n">
        <v>6</v>
      </c>
      <c r="H222" s="373" t="n">
        <v>1.98</v>
      </c>
      <c r="I222" s="373" t="n">
        <v>2.27</v>
      </c>
      <c r="J222" s="38" t="n">
        <v>156</v>
      </c>
      <c r="K222" s="39" t="inlineStr">
        <is>
          <t>СК2</t>
        </is>
      </c>
      <c r="L222" s="38" t="n">
        <v>365</v>
      </c>
      <c r="M222" s="465" t="inlineStr">
        <is>
          <t>Сосиски «Оригинальные» замороженные Фикс.вес 0,33 п/а ТМ «Стародворье»</t>
        </is>
      </c>
      <c r="N222" s="375" t="n"/>
      <c r="O222" s="375" t="n"/>
      <c r="P222" s="375" t="n"/>
      <c r="Q222" s="341" t="n"/>
      <c r="R222" s="40" t="inlineStr"/>
      <c r="S222" s="40" t="inlineStr"/>
      <c r="T222" s="41" t="inlineStr">
        <is>
          <t>кор</t>
        </is>
      </c>
      <c r="U222" s="376" t="n">
        <v>0</v>
      </c>
      <c r="V222" s="377">
        <f>IFERROR(IF(U222="","",U222),"")</f>
        <v/>
      </c>
      <c r="W222" s="42">
        <f>IFERROR(IF(U222="","",U222*0.00753),"")</f>
        <v/>
      </c>
      <c r="X222" s="69" t="inlineStr"/>
      <c r="Y222" s="70" t="inlineStr"/>
      <c r="AC222" s="74" t="n"/>
      <c r="AZ222" s="160" t="inlineStr">
        <is>
          <t>КИЗ</t>
        </is>
      </c>
    </row>
    <row r="223">
      <c r="A223" s="179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78" t="n"/>
      <c r="M223" s="379" t="inlineStr">
        <is>
          <t>Итого</t>
        </is>
      </c>
      <c r="N223" s="349" t="n"/>
      <c r="O223" s="349" t="n"/>
      <c r="P223" s="349" t="n"/>
      <c r="Q223" s="349" t="n"/>
      <c r="R223" s="349" t="n"/>
      <c r="S223" s="350" t="n"/>
      <c r="T223" s="43" t="inlineStr">
        <is>
          <t>кор</t>
        </is>
      </c>
      <c r="U223" s="380">
        <f>IFERROR(SUM(U222:U222),"0")</f>
        <v/>
      </c>
      <c r="V223" s="380">
        <f>IFERROR(SUM(V222:V222),"0")</f>
        <v/>
      </c>
      <c r="W223" s="380">
        <f>IFERROR(IF(W222="",0,W222),"0")</f>
        <v/>
      </c>
      <c r="X223" s="381" t="n"/>
      <c r="Y223" s="38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78" t="n"/>
      <c r="M224" s="379" t="inlineStr">
        <is>
          <t>Итого</t>
        </is>
      </c>
      <c r="N224" s="349" t="n"/>
      <c r="O224" s="349" t="n"/>
      <c r="P224" s="349" t="n"/>
      <c r="Q224" s="349" t="n"/>
      <c r="R224" s="349" t="n"/>
      <c r="S224" s="350" t="n"/>
      <c r="T224" s="43" t="inlineStr">
        <is>
          <t>кг</t>
        </is>
      </c>
      <c r="U224" s="380">
        <f>IFERROR(SUMPRODUCT(U222:U222*H222:H222),"0")</f>
        <v/>
      </c>
      <c r="V224" s="380">
        <f>IFERROR(SUMPRODUCT(V222:V222*H222:H222),"0")</f>
        <v/>
      </c>
      <c r="W224" s="43" t="n"/>
      <c r="X224" s="381" t="n"/>
      <c r="Y224" s="381" t="n"/>
    </row>
    <row r="225" ht="16.5" customHeight="1">
      <c r="A225" s="169" t="inlineStr">
        <is>
          <t>Сочные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69" t="n"/>
      <c r="Y225" s="169" t="n"/>
    </row>
    <row r="226" ht="14.25" customHeight="1">
      <c r="A226" s="170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70" t="n"/>
      <c r="Y226" s="170" t="n"/>
    </row>
    <row r="227" ht="16.5" customHeight="1">
      <c r="A227" s="64" t="inlineStr">
        <is>
          <t>SU001859</t>
        </is>
      </c>
      <c r="B227" s="64" t="inlineStr">
        <is>
          <t>P002720</t>
        </is>
      </c>
      <c r="C227" s="37" t="n">
        <v>4301070874</v>
      </c>
      <c r="D227" s="171" t="n">
        <v>4607111035332</v>
      </c>
      <c r="E227" s="341" t="n"/>
      <c r="F227" s="373" t="n">
        <v>0.43</v>
      </c>
      <c r="G227" s="38" t="n">
        <v>16</v>
      </c>
      <c r="H227" s="373" t="n">
        <v>6.88</v>
      </c>
      <c r="I227" s="373" t="n">
        <v>7.206</v>
      </c>
      <c r="J227" s="38" t="n">
        <v>84</v>
      </c>
      <c r="K227" s="39" t="inlineStr">
        <is>
          <t>МГ</t>
        </is>
      </c>
      <c r="L227" s="38" t="n">
        <v>180</v>
      </c>
      <c r="M227" s="466">
        <f>HYPERLINK("https://abi.ru/products/Замороженные/Стародворье/Сочные/Пельмени/P002720/","Пельмени Сочные Сочные 0,43 Сфера Стародворье")</f>
        <v/>
      </c>
      <c r="N227" s="375" t="n"/>
      <c r="O227" s="375" t="n"/>
      <c r="P227" s="375" t="n"/>
      <c r="Q227" s="341" t="n"/>
      <c r="R227" s="40" t="inlineStr"/>
      <c r="S227" s="40" t="inlineStr"/>
      <c r="T227" s="41" t="inlineStr">
        <is>
          <t>кор</t>
        </is>
      </c>
      <c r="U227" s="376" t="n">
        <v>0</v>
      </c>
      <c r="V227" s="377">
        <f>IFERROR(IF(U227="","",U227),"")</f>
        <v/>
      </c>
      <c r="W227" s="42">
        <f>IFERROR(IF(U227="","",U227*0.0155),"")</f>
        <v/>
      </c>
      <c r="X227" s="69" t="inlineStr"/>
      <c r="Y227" s="70" t="inlineStr"/>
      <c r="AC227" s="74" t="n"/>
      <c r="AZ227" s="161" t="inlineStr">
        <is>
          <t>ЗПФ</t>
        </is>
      </c>
    </row>
    <row r="228" ht="16.5" customHeight="1">
      <c r="A228" s="64" t="inlineStr">
        <is>
          <t>SU001776</t>
        </is>
      </c>
      <c r="B228" s="64" t="inlineStr">
        <is>
          <t>P002719</t>
        </is>
      </c>
      <c r="C228" s="37" t="n">
        <v>4301070873</v>
      </c>
      <c r="D228" s="171" t="n">
        <v>4607111035080</v>
      </c>
      <c r="E228" s="341" t="n"/>
      <c r="F228" s="373" t="n">
        <v>0.9</v>
      </c>
      <c r="G228" s="38" t="n">
        <v>8</v>
      </c>
      <c r="H228" s="373" t="n">
        <v>7.2</v>
      </c>
      <c r="I228" s="373" t="n">
        <v>7.47</v>
      </c>
      <c r="J228" s="38" t="n">
        <v>84</v>
      </c>
      <c r="K228" s="39" t="inlineStr">
        <is>
          <t>МГ</t>
        </is>
      </c>
      <c r="L228" s="38" t="n">
        <v>180</v>
      </c>
      <c r="M228" s="467">
        <f>HYPERLINK("https://abi.ru/products/Замороженные/Стародворье/Сочные/Пельмени/P002719/","Пельмени Сочные Сочные 0,9 Сфера Стародворье")</f>
        <v/>
      </c>
      <c r="N228" s="375" t="n"/>
      <c r="O228" s="375" t="n"/>
      <c r="P228" s="375" t="n"/>
      <c r="Q228" s="341" t="n"/>
      <c r="R228" s="40" t="inlineStr"/>
      <c r="S228" s="40" t="inlineStr"/>
      <c r="T228" s="41" t="inlineStr">
        <is>
          <t>кор</t>
        </is>
      </c>
      <c r="U228" s="376" t="n">
        <v>75</v>
      </c>
      <c r="V228" s="377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62" t="inlineStr">
        <is>
          <t>ЗПФ</t>
        </is>
      </c>
    </row>
    <row r="229">
      <c r="A229" s="179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78" t="n"/>
      <c r="M229" s="379" t="inlineStr">
        <is>
          <t>Итого</t>
        </is>
      </c>
      <c r="N229" s="349" t="n"/>
      <c r="O229" s="349" t="n"/>
      <c r="P229" s="349" t="n"/>
      <c r="Q229" s="349" t="n"/>
      <c r="R229" s="349" t="n"/>
      <c r="S229" s="350" t="n"/>
      <c r="T229" s="43" t="inlineStr">
        <is>
          <t>кор</t>
        </is>
      </c>
      <c r="U229" s="380">
        <f>IFERROR(SUM(U227:U228),"0")</f>
        <v/>
      </c>
      <c r="V229" s="380">
        <f>IFERROR(SUM(V227:V228),"0")</f>
        <v/>
      </c>
      <c r="W229" s="380">
        <f>IFERROR(IF(W227="",0,W227),"0")+IFERROR(IF(W228="",0,W228),"0")</f>
        <v/>
      </c>
      <c r="X229" s="381" t="n"/>
      <c r="Y229" s="38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78" t="n"/>
      <c r="M230" s="379" t="inlineStr">
        <is>
          <t>Итого</t>
        </is>
      </c>
      <c r="N230" s="349" t="n"/>
      <c r="O230" s="349" t="n"/>
      <c r="P230" s="349" t="n"/>
      <c r="Q230" s="349" t="n"/>
      <c r="R230" s="349" t="n"/>
      <c r="S230" s="350" t="n"/>
      <c r="T230" s="43" t="inlineStr">
        <is>
          <t>кг</t>
        </is>
      </c>
      <c r="U230" s="380">
        <f>IFERROR(SUMPRODUCT(U227:U228*H227:H228),"0")</f>
        <v/>
      </c>
      <c r="V230" s="380">
        <f>IFERROR(SUMPRODUCT(V227:V228*H227:H228),"0")</f>
        <v/>
      </c>
      <c r="W230" s="43" t="n"/>
      <c r="X230" s="381" t="n"/>
      <c r="Y230" s="381" t="n"/>
    </row>
    <row r="231" ht="27.75" customHeight="1">
      <c r="A231" s="184" t="inlineStr">
        <is>
          <t>Колбасный стандарт</t>
        </is>
      </c>
      <c r="B231" s="372" t="n"/>
      <c r="C231" s="372" t="n"/>
      <c r="D231" s="372" t="n"/>
      <c r="E231" s="372" t="n"/>
      <c r="F231" s="372" t="n"/>
      <c r="G231" s="372" t="n"/>
      <c r="H231" s="372" t="n"/>
      <c r="I231" s="372" t="n"/>
      <c r="J231" s="372" t="n"/>
      <c r="K231" s="372" t="n"/>
      <c r="L231" s="372" t="n"/>
      <c r="M231" s="372" t="n"/>
      <c r="N231" s="372" t="n"/>
      <c r="O231" s="372" t="n"/>
      <c r="P231" s="372" t="n"/>
      <c r="Q231" s="372" t="n"/>
      <c r="R231" s="372" t="n"/>
      <c r="S231" s="372" t="n"/>
      <c r="T231" s="372" t="n"/>
      <c r="U231" s="372" t="n"/>
      <c r="V231" s="372" t="n"/>
      <c r="W231" s="372" t="n"/>
      <c r="X231" s="55" t="n"/>
      <c r="Y231" s="55" t="n"/>
    </row>
    <row r="232" ht="16.5" customHeight="1">
      <c r="A232" s="169" t="inlineStr">
        <is>
          <t>Владимирский Стандарт ЗПФ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69" t="n"/>
      <c r="Y232" s="169" t="n"/>
    </row>
    <row r="233" ht="14.25" customHeight="1">
      <c r="A233" s="170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0" t="n"/>
      <c r="Y233" s="170" t="n"/>
    </row>
    <row r="234" ht="27" customHeight="1">
      <c r="A234" s="64" t="inlineStr">
        <is>
          <t>SU002267</t>
        </is>
      </c>
      <c r="B234" s="64" t="inlineStr">
        <is>
          <t>P003223</t>
        </is>
      </c>
      <c r="C234" s="37" t="n">
        <v>4301070941</v>
      </c>
      <c r="D234" s="171" t="n">
        <v>4607111036162</v>
      </c>
      <c r="E234" s="341" t="n"/>
      <c r="F234" s="373" t="n">
        <v>0.8</v>
      </c>
      <c r="G234" s="38" t="n">
        <v>8</v>
      </c>
      <c r="H234" s="373" t="n">
        <v>6.4</v>
      </c>
      <c r="I234" s="373" t="n">
        <v>6.6812</v>
      </c>
      <c r="J234" s="38" t="n">
        <v>84</v>
      </c>
      <c r="K234" s="39" t="inlineStr">
        <is>
          <t>МГ</t>
        </is>
      </c>
      <c r="L234" s="38" t="n">
        <v>90</v>
      </c>
      <c r="M234" s="46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34" s="375" t="n"/>
      <c r="O234" s="375" t="n"/>
      <c r="P234" s="375" t="n"/>
      <c r="Q234" s="341" t="n"/>
      <c r="R234" s="40" t="inlineStr"/>
      <c r="S234" s="40" t="inlineStr"/>
      <c r="T234" s="41" t="inlineStr">
        <is>
          <t>кор</t>
        </is>
      </c>
      <c r="U234" s="376" t="n">
        <v>0</v>
      </c>
      <c r="V234" s="377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63" t="inlineStr">
        <is>
          <t>ЗПФ</t>
        </is>
      </c>
    </row>
    <row r="235">
      <c r="A235" s="17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78" t="n"/>
      <c r="M235" s="379" t="inlineStr">
        <is>
          <t>Итого</t>
        </is>
      </c>
      <c r="N235" s="349" t="n"/>
      <c r="O235" s="349" t="n"/>
      <c r="P235" s="349" t="n"/>
      <c r="Q235" s="349" t="n"/>
      <c r="R235" s="349" t="n"/>
      <c r="S235" s="350" t="n"/>
      <c r="T235" s="43" t="inlineStr">
        <is>
          <t>кор</t>
        </is>
      </c>
      <c r="U235" s="380">
        <f>IFERROR(SUM(U234:U234),"0")</f>
        <v/>
      </c>
      <c r="V235" s="380">
        <f>IFERROR(SUM(V234:V234),"0")</f>
        <v/>
      </c>
      <c r="W235" s="380">
        <f>IFERROR(IF(W234="",0,W234),"0")</f>
        <v/>
      </c>
      <c r="X235" s="381" t="n"/>
      <c r="Y235" s="38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78" t="n"/>
      <c r="M236" s="379" t="inlineStr">
        <is>
          <t>Итого</t>
        </is>
      </c>
      <c r="N236" s="349" t="n"/>
      <c r="O236" s="349" t="n"/>
      <c r="P236" s="349" t="n"/>
      <c r="Q236" s="349" t="n"/>
      <c r="R236" s="349" t="n"/>
      <c r="S236" s="350" t="n"/>
      <c r="T236" s="43" t="inlineStr">
        <is>
          <t>кг</t>
        </is>
      </c>
      <c r="U236" s="380">
        <f>IFERROR(SUMPRODUCT(U234:U234*H234:H234),"0")</f>
        <v/>
      </c>
      <c r="V236" s="380">
        <f>IFERROR(SUMPRODUCT(V234:V234*H234:H234),"0")</f>
        <v/>
      </c>
      <c r="W236" s="43" t="n"/>
      <c r="X236" s="381" t="n"/>
      <c r="Y236" s="381" t="n"/>
    </row>
    <row r="237" ht="27.75" customHeight="1">
      <c r="A237" s="184" t="inlineStr">
        <is>
          <t>Особый рецепт</t>
        </is>
      </c>
      <c r="B237" s="372" t="n"/>
      <c r="C237" s="372" t="n"/>
      <c r="D237" s="372" t="n"/>
      <c r="E237" s="372" t="n"/>
      <c r="F237" s="372" t="n"/>
      <c r="G237" s="372" t="n"/>
      <c r="H237" s="372" t="n"/>
      <c r="I237" s="372" t="n"/>
      <c r="J237" s="372" t="n"/>
      <c r="K237" s="372" t="n"/>
      <c r="L237" s="372" t="n"/>
      <c r="M237" s="372" t="n"/>
      <c r="N237" s="372" t="n"/>
      <c r="O237" s="372" t="n"/>
      <c r="P237" s="372" t="n"/>
      <c r="Q237" s="372" t="n"/>
      <c r="R237" s="372" t="n"/>
      <c r="S237" s="372" t="n"/>
      <c r="T237" s="372" t="n"/>
      <c r="U237" s="372" t="n"/>
      <c r="V237" s="372" t="n"/>
      <c r="W237" s="372" t="n"/>
      <c r="X237" s="55" t="n"/>
      <c r="Y237" s="55" t="n"/>
    </row>
    <row r="238" ht="16.5" customHeight="1">
      <c r="A238" s="169" t="inlineStr">
        <is>
          <t>Любимая ложка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9" t="n"/>
      <c r="Y238" s="169" t="n"/>
    </row>
    <row r="239" ht="14.25" customHeight="1">
      <c r="A239" s="170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0" t="n"/>
      <c r="Y239" s="170" t="n"/>
    </row>
    <row r="240" ht="27" customHeight="1">
      <c r="A240" s="64" t="inlineStr">
        <is>
          <t>SU002268</t>
        </is>
      </c>
      <c r="B240" s="64" t="inlineStr">
        <is>
          <t>P002746</t>
        </is>
      </c>
      <c r="C240" s="37" t="n">
        <v>4301070882</v>
      </c>
      <c r="D240" s="171" t="n">
        <v>4607111035899</v>
      </c>
      <c r="E240" s="341" t="n"/>
      <c r="F240" s="373" t="n">
        <v>1</v>
      </c>
      <c r="G240" s="38" t="n">
        <v>5</v>
      </c>
      <c r="H240" s="373" t="n">
        <v>5</v>
      </c>
      <c r="I240" s="373" t="n">
        <v>5.262</v>
      </c>
      <c r="J240" s="38" t="n">
        <v>84</v>
      </c>
      <c r="K240" s="39" t="inlineStr">
        <is>
          <t>МГ</t>
        </is>
      </c>
      <c r="L240" s="38" t="n">
        <v>120</v>
      </c>
      <c r="M240" s="469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40" s="375" t="n"/>
      <c r="O240" s="375" t="n"/>
      <c r="P240" s="375" t="n"/>
      <c r="Q240" s="341" t="n"/>
      <c r="R240" s="40" t="inlineStr"/>
      <c r="S240" s="40" t="inlineStr"/>
      <c r="T240" s="41" t="inlineStr">
        <is>
          <t>кор</t>
        </is>
      </c>
      <c r="U240" s="376" t="n">
        <v>90</v>
      </c>
      <c r="V240" s="37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4" t="inlineStr">
        <is>
          <t>ЗПФ</t>
        </is>
      </c>
    </row>
    <row r="241">
      <c r="A241" s="17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78" t="n"/>
      <c r="M241" s="379" t="inlineStr">
        <is>
          <t>Итого</t>
        </is>
      </c>
      <c r="N241" s="349" t="n"/>
      <c r="O241" s="349" t="n"/>
      <c r="P241" s="349" t="n"/>
      <c r="Q241" s="349" t="n"/>
      <c r="R241" s="349" t="n"/>
      <c r="S241" s="350" t="n"/>
      <c r="T241" s="43" t="inlineStr">
        <is>
          <t>кор</t>
        </is>
      </c>
      <c r="U241" s="380">
        <f>IFERROR(SUM(U240:U240),"0")</f>
        <v/>
      </c>
      <c r="V241" s="380">
        <f>IFERROR(SUM(V240:V240),"0")</f>
        <v/>
      </c>
      <c r="W241" s="380">
        <f>IFERROR(IF(W240="",0,W240),"0")</f>
        <v/>
      </c>
      <c r="X241" s="381" t="n"/>
      <c r="Y241" s="38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78" t="n"/>
      <c r="M242" s="379" t="inlineStr">
        <is>
          <t>Итого</t>
        </is>
      </c>
      <c r="N242" s="349" t="n"/>
      <c r="O242" s="349" t="n"/>
      <c r="P242" s="349" t="n"/>
      <c r="Q242" s="349" t="n"/>
      <c r="R242" s="349" t="n"/>
      <c r="S242" s="350" t="n"/>
      <c r="T242" s="43" t="inlineStr">
        <is>
          <t>кг</t>
        </is>
      </c>
      <c r="U242" s="380">
        <f>IFERROR(SUMPRODUCT(U240:U240*H240:H240),"0")</f>
        <v/>
      </c>
      <c r="V242" s="380">
        <f>IFERROR(SUMPRODUCT(V240:V240*H240:H240),"0")</f>
        <v/>
      </c>
      <c r="W242" s="43" t="n"/>
      <c r="X242" s="381" t="n"/>
      <c r="Y242" s="381" t="n"/>
    </row>
    <row r="243" ht="16.5" customHeight="1">
      <c r="A243" s="169" t="inlineStr">
        <is>
          <t>Особая Без свинины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69" t="n"/>
      <c r="Y243" s="169" t="n"/>
    </row>
    <row r="244" ht="14.25" customHeight="1">
      <c r="A244" s="170" t="inlineStr">
        <is>
          <t>Пельмени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70" t="n"/>
      <c r="Y244" s="170" t="n"/>
    </row>
    <row r="245" ht="27" customHeight="1">
      <c r="A245" s="64" t="inlineStr">
        <is>
          <t>SU002408</t>
        </is>
      </c>
      <c r="B245" s="64" t="inlineStr">
        <is>
          <t>P002686</t>
        </is>
      </c>
      <c r="C245" s="37" t="n">
        <v>4301070870</v>
      </c>
      <c r="D245" s="171" t="n">
        <v>4607111036711</v>
      </c>
      <c r="E245" s="341" t="n"/>
      <c r="F245" s="373" t="n">
        <v>0.8</v>
      </c>
      <c r="G245" s="38" t="n">
        <v>8</v>
      </c>
      <c r="H245" s="373" t="n">
        <v>6.4</v>
      </c>
      <c r="I245" s="373" t="n">
        <v>6.67</v>
      </c>
      <c r="J245" s="38" t="n">
        <v>84</v>
      </c>
      <c r="K245" s="39" t="inlineStr">
        <is>
          <t>МГ</t>
        </is>
      </c>
      <c r="L245" s="38" t="n">
        <v>90</v>
      </c>
      <c r="M245" s="47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5" s="375" t="n"/>
      <c r="O245" s="375" t="n"/>
      <c r="P245" s="375" t="n"/>
      <c r="Q245" s="341" t="n"/>
      <c r="R245" s="40" t="inlineStr"/>
      <c r="S245" s="40" t="inlineStr"/>
      <c r="T245" s="41" t="inlineStr">
        <is>
          <t>кор</t>
        </is>
      </c>
      <c r="U245" s="376" t="n">
        <v>5</v>
      </c>
      <c r="V245" s="377">
        <f>IFERROR(IF(U245="","",U245),"")</f>
        <v/>
      </c>
      <c r="W245" s="42">
        <f>IFERROR(IF(U245="","",U245*0.0155),"")</f>
        <v/>
      </c>
      <c r="X245" s="69" t="inlineStr"/>
      <c r="Y245" s="70" t="inlineStr"/>
      <c r="AC245" s="74" t="n"/>
      <c r="AZ245" s="165" t="inlineStr">
        <is>
          <t>ЗПФ</t>
        </is>
      </c>
    </row>
    <row r="246">
      <c r="A246" s="17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78" t="n"/>
      <c r="M246" s="379" t="inlineStr">
        <is>
          <t>Итого</t>
        </is>
      </c>
      <c r="N246" s="349" t="n"/>
      <c r="O246" s="349" t="n"/>
      <c r="P246" s="349" t="n"/>
      <c r="Q246" s="349" t="n"/>
      <c r="R246" s="349" t="n"/>
      <c r="S246" s="350" t="n"/>
      <c r="T246" s="43" t="inlineStr">
        <is>
          <t>кор</t>
        </is>
      </c>
      <c r="U246" s="380">
        <f>IFERROR(SUM(U245:U245),"0")</f>
        <v/>
      </c>
      <c r="V246" s="380">
        <f>IFERROR(SUM(V245:V245),"0")</f>
        <v/>
      </c>
      <c r="W246" s="380">
        <f>IFERROR(IF(W245="",0,W245),"0")</f>
        <v/>
      </c>
      <c r="X246" s="381" t="n"/>
      <c r="Y246" s="38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78" t="n"/>
      <c r="M247" s="379" t="inlineStr">
        <is>
          <t>Итого</t>
        </is>
      </c>
      <c r="N247" s="349" t="n"/>
      <c r="O247" s="349" t="n"/>
      <c r="P247" s="349" t="n"/>
      <c r="Q247" s="349" t="n"/>
      <c r="R247" s="349" t="n"/>
      <c r="S247" s="350" t="n"/>
      <c r="T247" s="43" t="inlineStr">
        <is>
          <t>кг</t>
        </is>
      </c>
      <c r="U247" s="380">
        <f>IFERROR(SUMPRODUCT(U245:U245*H245:H245),"0")</f>
        <v/>
      </c>
      <c r="V247" s="380">
        <f>IFERROR(SUMPRODUCT(V245:V245*H245:H245),"0")</f>
        <v/>
      </c>
      <c r="W247" s="43" t="n"/>
      <c r="X247" s="381" t="n"/>
      <c r="Y247" s="381" t="n"/>
    </row>
    <row r="248" ht="15" customHeight="1">
      <c r="A248" s="183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38" t="n"/>
      <c r="M248" s="471" t="inlineStr">
        <is>
          <t>ИТОГО НЕТТО</t>
        </is>
      </c>
      <c r="N248" s="332" t="n"/>
      <c r="O248" s="332" t="n"/>
      <c r="P248" s="332" t="n"/>
      <c r="Q248" s="332" t="n"/>
      <c r="R248" s="332" t="n"/>
      <c r="S248" s="333" t="n"/>
      <c r="T248" s="43" t="inlineStr">
        <is>
          <t>кг</t>
        </is>
      </c>
      <c r="U248" s="380">
        <f>IFERROR(U24+U33+U41+U47+U59+U66+U71+U77+U87+U94+U105+U111+U116+U124+U129+U135+U140+U146+U150+U157+U170+U175+U183+U188+U195+U200+U205+U211+U219+U224+U230+U236+U242+U247,"0")</f>
        <v/>
      </c>
      <c r="V248" s="380">
        <f>IFERROR(V24+V33+V41+V47+V59+V66+V71+V77+V87+V94+V105+V111+V116+V124+V129+V135+V140+V146+V150+V157+V170+V175+V183+V188+V195+V200+V205+V211+V219+V224+V230+V236+V242+V247,"0")</f>
        <v/>
      </c>
      <c r="W248" s="43" t="n"/>
      <c r="X248" s="381" t="n"/>
      <c r="Y248" s="38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38" t="n"/>
      <c r="M249" s="471" t="inlineStr">
        <is>
          <t>ИТОГО БРУТТО</t>
        </is>
      </c>
      <c r="N249" s="332" t="n"/>
      <c r="O249" s="332" t="n"/>
      <c r="P249" s="332" t="n"/>
      <c r="Q249" s="332" t="n"/>
      <c r="R249" s="332" t="n"/>
      <c r="S249" s="333" t="n"/>
      <c r="T249" s="43" t="inlineStr">
        <is>
          <t>кг</t>
        </is>
      </c>
      <c r="U249" s="38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/>
      </c>
      <c r="V249" s="38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/>
      </c>
      <c r="W249" s="43" t="n"/>
      <c r="X249" s="381" t="n"/>
      <c r="Y249" s="38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38" t="n"/>
      <c r="M250" s="471" t="inlineStr">
        <is>
          <t>Кол-во паллет</t>
        </is>
      </c>
      <c r="N250" s="332" t="n"/>
      <c r="O250" s="332" t="n"/>
      <c r="P250" s="332" t="n"/>
      <c r="Q250" s="332" t="n"/>
      <c r="R250" s="332" t="n"/>
      <c r="S250" s="333" t="n"/>
      <c r="T250" s="43" t="inlineStr">
        <is>
          <t>шт</t>
        </is>
      </c>
      <c r="U250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/>
      </c>
      <c r="V25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/>
      </c>
      <c r="W250" s="43" t="n"/>
      <c r="X250" s="381" t="n"/>
      <c r="Y250" s="38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38" t="n"/>
      <c r="M251" s="471" t="inlineStr">
        <is>
          <t>Вес брутто  с паллетами</t>
        </is>
      </c>
      <c r="N251" s="332" t="n"/>
      <c r="O251" s="332" t="n"/>
      <c r="P251" s="332" t="n"/>
      <c r="Q251" s="332" t="n"/>
      <c r="R251" s="332" t="n"/>
      <c r="S251" s="333" t="n"/>
      <c r="T251" s="43" t="inlineStr">
        <is>
          <t>кг</t>
        </is>
      </c>
      <c r="U251" s="380">
        <f>GrossWeightTotal+PalletQtyTotal*25</f>
        <v/>
      </c>
      <c r="V251" s="380">
        <f>GrossWeightTotalR+PalletQtyTotalR*25</f>
        <v/>
      </c>
      <c r="W251" s="43" t="n"/>
      <c r="X251" s="381" t="n"/>
      <c r="Y251" s="38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38" t="n"/>
      <c r="M252" s="471" t="inlineStr">
        <is>
          <t>Кол-во коробок</t>
        </is>
      </c>
      <c r="N252" s="332" t="n"/>
      <c r="O252" s="332" t="n"/>
      <c r="P252" s="332" t="n"/>
      <c r="Q252" s="332" t="n"/>
      <c r="R252" s="332" t="n"/>
      <c r="S252" s="333" t="n"/>
      <c r="T252" s="43" t="inlineStr">
        <is>
          <t>шт</t>
        </is>
      </c>
      <c r="U252" s="380">
        <f>IFERROR(U23+U32+U40+U46+U58+U65+U70+U76+U86+U93+U104+U110+U115+U123+U128+U134+U139+U145+U149+U156+U169+U174+U182+U187+U194+U199+U204+U210+U218+U223+U229+U235+U241+U246,"0")</f>
        <v/>
      </c>
      <c r="V252" s="380">
        <f>IFERROR(V23+V32+V40+V46+V58+V65+V70+V76+V86+V93+V104+V110+V115+V123+V128+V134+V139+V145+V149+V156+V169+V174+V182+V187+V194+V199+V204+V210+V218+V223+V229+V235+V241+V246,"0")</f>
        <v/>
      </c>
      <c r="W252" s="43" t="n"/>
      <c r="X252" s="381" t="n"/>
      <c r="Y252" s="381" t="n"/>
    </row>
    <row r="253" ht="14.2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38" t="n"/>
      <c r="M253" s="471" t="inlineStr">
        <is>
          <t>Объем заказа</t>
        </is>
      </c>
      <c r="N253" s="332" t="n"/>
      <c r="O253" s="332" t="n"/>
      <c r="P253" s="332" t="n"/>
      <c r="Q253" s="332" t="n"/>
      <c r="R253" s="332" t="n"/>
      <c r="S253" s="333" t="n"/>
      <c r="T253" s="46" t="inlineStr">
        <is>
          <t>м3</t>
        </is>
      </c>
      <c r="U253" s="43" t="n"/>
      <c r="V253" s="43" t="n"/>
      <c r="W253" s="43">
        <f>IFERROR(W23+W32+W40+W46+W58+W65+W70+W76+W86+W93+W104+W110+W115+W123+W128+W134+W139+W145+W149+W156+W169+W174+W182+W187+W194+W199+W204+W210+W218+W223+W229+W235+W241+W246,"0")</f>
        <v/>
      </c>
      <c r="X253" s="381" t="n"/>
      <c r="Y253" s="381" t="n"/>
    </row>
    <row r="254" ht="13.5" customHeight="1" thickBot="1"/>
    <row r="255" ht="27" customHeight="1" thickBot="1" thickTop="1">
      <c r="A255" s="47" t="inlineStr">
        <is>
          <t>ТОРГОВАЯ МАРКА</t>
        </is>
      </c>
      <c r="B255" s="166" t="inlineStr">
        <is>
          <t>Ядрена копоть</t>
        </is>
      </c>
      <c r="C255" s="166" t="inlineStr">
        <is>
          <t>Горячая штучка</t>
        </is>
      </c>
      <c r="D255" s="472" t="n"/>
      <c r="E255" s="472" t="n"/>
      <c r="F255" s="472" t="n"/>
      <c r="G255" s="472" t="n"/>
      <c r="H255" s="472" t="n"/>
      <c r="I255" s="472" t="n"/>
      <c r="J255" s="472" t="n"/>
      <c r="K255" s="472" t="n"/>
      <c r="L255" s="472" t="n"/>
      <c r="M255" s="472" t="n"/>
      <c r="N255" s="472" t="n"/>
      <c r="O255" s="472" t="n"/>
      <c r="P255" s="472" t="n"/>
      <c r="Q255" s="472" t="n"/>
      <c r="R255" s="473" t="n"/>
      <c r="S255" s="166" t="inlineStr">
        <is>
          <t>No Name</t>
        </is>
      </c>
      <c r="T255" s="472" t="n"/>
      <c r="U255" s="473" t="n"/>
      <c r="V255" s="166" t="inlineStr">
        <is>
          <t>Вязанка</t>
        </is>
      </c>
      <c r="W255" s="472" t="n"/>
      <c r="X255" s="473" t="n"/>
      <c r="Y255" s="166" t="inlineStr">
        <is>
          <t>Стародворье</t>
        </is>
      </c>
      <c r="Z255" s="472" t="n"/>
      <c r="AA255" s="472" t="n"/>
      <c r="AB255" s="473" t="n"/>
      <c r="AC255" s="166" t="inlineStr">
        <is>
          <t>Колбасный стандарт</t>
        </is>
      </c>
      <c r="AD255" s="166" t="inlineStr">
        <is>
          <t>Особый рецепт</t>
        </is>
      </c>
      <c r="AE255" s="473" t="n"/>
    </row>
    <row r="256" ht="14.25" customHeight="1" thickTop="1">
      <c r="A256" s="167" t="inlineStr">
        <is>
          <t>СЕРИЯ</t>
        </is>
      </c>
      <c r="B256" s="166" t="inlineStr">
        <is>
          <t>Ядрена копоть</t>
        </is>
      </c>
      <c r="C256" s="166" t="inlineStr">
        <is>
          <t>Наггетсы ГШ</t>
        </is>
      </c>
      <c r="D256" s="166" t="inlineStr">
        <is>
          <t>Grandmeni</t>
        </is>
      </c>
      <c r="E256" s="166" t="inlineStr">
        <is>
          <t>Чебупай</t>
        </is>
      </c>
      <c r="F256" s="166" t="inlineStr">
        <is>
          <t>Бигбули ГШ</t>
        </is>
      </c>
      <c r="G256" s="166" t="inlineStr">
        <is>
          <t>Бульмени вес ГШ</t>
        </is>
      </c>
      <c r="H256" s="166" t="inlineStr">
        <is>
          <t>Бельмеши</t>
        </is>
      </c>
      <c r="I256" s="166" t="inlineStr">
        <is>
          <t>Крылышки ГШ</t>
        </is>
      </c>
      <c r="J256" s="166" t="inlineStr">
        <is>
          <t>Чебупели</t>
        </is>
      </c>
      <c r="K256" s="166" t="inlineStr">
        <is>
          <t>Чебуреки</t>
        </is>
      </c>
      <c r="L256" s="166" t="inlineStr">
        <is>
          <t>Бульмени ГШ</t>
        </is>
      </c>
      <c r="M256" s="166" t="inlineStr">
        <is>
          <t>Чебупицца</t>
        </is>
      </c>
      <c r="N256" s="166" t="inlineStr">
        <is>
          <t>Хотстеры</t>
        </is>
      </c>
      <c r="O256" s="166" t="inlineStr">
        <is>
          <t>Круггетсы</t>
        </is>
      </c>
      <c r="P256" s="166" t="inlineStr">
        <is>
          <t>Пекерсы</t>
        </is>
      </c>
      <c r="Q256" s="166" t="inlineStr">
        <is>
          <t>Супермени</t>
        </is>
      </c>
      <c r="R256" s="166" t="inlineStr">
        <is>
          <t>Чебуманы</t>
        </is>
      </c>
      <c r="S256" s="166" t="inlineStr">
        <is>
          <t>No Name ПГП</t>
        </is>
      </c>
      <c r="T256" s="166" t="inlineStr">
        <is>
          <t>Стародворье ПГП</t>
        </is>
      </c>
      <c r="U256" s="166" t="inlineStr">
        <is>
          <t>No Name ЗПФ</t>
        </is>
      </c>
      <c r="V256" s="166" t="inlineStr">
        <is>
          <t>Няняггетсы Сливушки</t>
        </is>
      </c>
      <c r="W256" s="166" t="inlineStr">
        <is>
          <t>Печеные пельмени</t>
        </is>
      </c>
      <c r="X256" s="166" t="inlineStr">
        <is>
          <t>Вязанка</t>
        </is>
      </c>
      <c r="Y256" s="166" t="inlineStr">
        <is>
          <t>Стародворье ЗПФ</t>
        </is>
      </c>
      <c r="Z256" s="166" t="inlineStr">
        <is>
          <t>Медвежье ушко</t>
        </is>
      </c>
      <c r="AA256" s="166" t="inlineStr">
        <is>
          <t>Бордо</t>
        </is>
      </c>
      <c r="AB256" s="166" t="inlineStr">
        <is>
          <t>Сочные</t>
        </is>
      </c>
      <c r="AC256" s="166" t="inlineStr">
        <is>
          <t>Владимирский Стандарт ЗПФ</t>
        </is>
      </c>
      <c r="AD256" s="166" t="inlineStr">
        <is>
          <t>Любимая ложка</t>
        </is>
      </c>
      <c r="AE256" s="166" t="inlineStr">
        <is>
          <t>Особая Без свинины</t>
        </is>
      </c>
    </row>
    <row r="257" ht="13.5" customHeight="1" thickBot="1">
      <c r="A257" s="474" t="n"/>
      <c r="B257" s="475" t="n"/>
      <c r="C257" s="475" t="n"/>
      <c r="D257" s="475" t="n"/>
      <c r="E257" s="475" t="n"/>
      <c r="F257" s="475" t="n"/>
      <c r="G257" s="475" t="n"/>
      <c r="H257" s="475" t="n"/>
      <c r="I257" s="475" t="n"/>
      <c r="J257" s="475" t="n"/>
      <c r="K257" s="475" t="n"/>
      <c r="L257" s="475" t="n"/>
      <c r="M257" s="475" t="n"/>
      <c r="N257" s="475" t="n"/>
      <c r="O257" s="475" t="n"/>
      <c r="P257" s="475" t="n"/>
      <c r="Q257" s="475" t="n"/>
      <c r="R257" s="475" t="n"/>
      <c r="S257" s="475" t="n"/>
      <c r="T257" s="475" t="n"/>
      <c r="U257" s="475" t="n"/>
      <c r="V257" s="475" t="n"/>
      <c r="W257" s="475" t="n"/>
      <c r="X257" s="475" t="n"/>
      <c r="Y257" s="475" t="n"/>
      <c r="Z257" s="475" t="n"/>
      <c r="AA257" s="475" t="n"/>
      <c r="AB257" s="475" t="n"/>
      <c r="AC257" s="475" t="n"/>
      <c r="AD257" s="475" t="n"/>
      <c r="AE257" s="475" t="n"/>
    </row>
    <row r="258" ht="18" customHeight="1" thickBot="1" thickTop="1">
      <c r="A258" s="47" t="inlineStr">
        <is>
          <t>ИТОГО, кг</t>
        </is>
      </c>
      <c r="B258" s="53">
        <f>IFERROR(U22*H22,"0")</f>
        <v/>
      </c>
      <c r="C258" s="53">
        <f>IFERROR(U28*H28,"0")+IFERROR(U29*H29,"0")+IFERROR(U30*H30,"0")+IFERROR(U31*H31,"0")</f>
        <v/>
      </c>
      <c r="D258" s="53">
        <f>IFERROR(U36*H36,"0")+IFERROR(U37*H37,"0")+IFERROR(U38*H38,"0")+IFERROR(U39*H39,"0")</f>
        <v/>
      </c>
      <c r="E258" s="53">
        <f>IFERROR(U44*H44,"0")+IFERROR(U45*H45,"0")</f>
        <v/>
      </c>
      <c r="F258" s="53">
        <f>IFERROR(U50*H50,"0")+IFERROR(U51*H51,"0")+IFERROR(U52*H52,"0")+IFERROR(U53*H53,"0")+IFERROR(U54*H54,"0")+IFERROR(U55*H55,"0")+IFERROR(U56*H56,"0")+IFERROR(U57*H57,"0")</f>
        <v/>
      </c>
      <c r="G258" s="53">
        <f>IFERROR(U62*H62,"0")+IFERROR(U63*H63,"0")+IFERROR(U64*H64,"0")</f>
        <v/>
      </c>
      <c r="H258" s="53">
        <f>IFERROR(U69*H69,"0")</f>
        <v/>
      </c>
      <c r="I258" s="53">
        <f>IFERROR(U74*H74,"0")+IFERROR(U75*H75,"0")</f>
        <v/>
      </c>
      <c r="J258" s="53">
        <f>IFERROR(U80*H80,"0")+IFERROR(U81*H81,"0")+IFERROR(U82*H82,"0")+IFERROR(U83*H83,"0")+IFERROR(U84*H84,"0")+IFERROR(U85*H85,"0")</f>
        <v/>
      </c>
      <c r="K258" s="53">
        <f>IFERROR(U90*H90,"0")+IFERROR(U91*H91,"0")+IFERROR(U92*H92,"0")</f>
        <v/>
      </c>
      <c r="L258" s="53">
        <f>IFERROR(U97*H97,"0")+IFERROR(U98*H98,"0")+IFERROR(U99*H99,"0")+IFERROR(U100*H100,"0")+IFERROR(U101*H101,"0")+IFERROR(U102*H102,"0")+IFERROR(U103*H103,"0")</f>
        <v/>
      </c>
      <c r="M258" s="53">
        <f>IFERROR(U108*H108,"0")+IFERROR(U109*H109,"0")</f>
        <v/>
      </c>
      <c r="N258" s="53">
        <f>IFERROR(U114*H114,"0")</f>
        <v/>
      </c>
      <c r="O258" s="53">
        <f>IFERROR(U119*H119,"0")+IFERROR(U120*H120,"0")+IFERROR(U121*H121,"0")+IFERROR(U122*H122,"0")</f>
        <v/>
      </c>
      <c r="P258" s="53">
        <f>IFERROR(U127*H127,"0")</f>
        <v/>
      </c>
      <c r="Q258" s="53">
        <f>IFERROR(U132*H132,"0")+IFERROR(U133*H133,"0")</f>
        <v/>
      </c>
      <c r="R258" s="53">
        <f>IFERROR(U138*H138,"0")</f>
        <v/>
      </c>
      <c r="S258" s="53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/>
      </c>
      <c r="T258" s="53">
        <f>IFERROR(U173*H173,"0")</f>
        <v/>
      </c>
      <c r="U258" s="53">
        <f>IFERROR(U178*H178,"0")+IFERROR(U179*H179,"0")+IFERROR(U180*H180,"0")+IFERROR(U181*H181,"0")+IFERROR(U185*H185,"0")+IFERROR(U186*H186,"0")</f>
        <v/>
      </c>
      <c r="V258" s="53">
        <f>IFERROR(U192*H192,"0")+IFERROR(U193*H193,"0")</f>
        <v/>
      </c>
      <c r="W258" s="53">
        <f>IFERROR(U198*H198,"0")</f>
        <v/>
      </c>
      <c r="X258" s="53">
        <f>IFERROR(U203*H203,"0")</f>
        <v/>
      </c>
      <c r="Y258" s="53">
        <f>IFERROR(U209*H209,"0")</f>
        <v/>
      </c>
      <c r="Z258" s="53">
        <f>IFERROR(U214*H214,"0")+IFERROR(U215*H215,"0")+IFERROR(U216*H216,"0")+IFERROR(U217*H217,"0")</f>
        <v/>
      </c>
      <c r="AA258" s="53">
        <f>IFERROR(U222*H222,"0")</f>
        <v/>
      </c>
      <c r="AB258" s="53">
        <f>IFERROR(U227*H227,"0")+IFERROR(U228*H228,"0")</f>
        <v/>
      </c>
      <c r="AC258" s="53">
        <f>IFERROR(U234*H234,"0")</f>
        <v/>
      </c>
      <c r="AD258" s="53">
        <f>IFERROR(U240*H240,"0")</f>
        <v/>
      </c>
      <c r="AE258" s="53">
        <f>IFERROR(U245*H245,"0")</f>
        <v/>
      </c>
    </row>
    <row r="259" ht="13.5" customHeight="1" thickTop="1">
      <c r="C259" s="1" t="n"/>
    </row>
    <row r="260" ht="19.5" customHeight="1">
      <c r="A260" s="71" t="inlineStr">
        <is>
          <t>ЗПФ, кг</t>
        </is>
      </c>
      <c r="B260" s="71" t="inlineStr">
        <is>
          <t xml:space="preserve">ПГП, кг </t>
        </is>
      </c>
      <c r="C260" s="71" t="inlineStr">
        <is>
          <t>КИЗ, кг</t>
        </is>
      </c>
    </row>
    <row r="261">
      <c r="A261" s="72">
        <f>SUMPRODUCT(--(AZ:AZ="ЗПФ"),--(T:T="кор"),H:H,V:V)+SUMPRODUCT(--(AZ:AZ="ЗПФ"),--(T:T="кг"),V:V)</f>
        <v/>
      </c>
      <c r="B261" s="73">
        <f>SUMPRODUCT(--(AZ:AZ="ПГП"),--(T:T="кор"),H:H,V:V)+SUMPRODUCT(--(AZ:AZ="ПГП"),--(T:T="кг"),V:V)</f>
        <v/>
      </c>
      <c r="C261" s="73">
        <f>SUMPRODUCT(--(AZ:AZ="КИЗ"),--(T:T="кор"),H:H,V:V)+SUMPRODUCT(--(AZ:AZ="КИЗ"),--(T:T="кг"),V:V)</f>
        <v/>
      </c>
    </row>
    <row r="2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C4+4vTbj0/ESukzPJWeg==" formatRows="1" sort="0" spinCount="100000" hashValue="kv54LsRl/qNeKgU8pFYiPVDar6w/bU1STLlw1n/rHWIBV9bxnc0uZX6k7KcX9AAQUx6ZdN5XZJia8ayfdPaJV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ORINXNVE3F4k90yHW/YgQ==" formatRows="1" sort="0" spinCount="100000" hashValue="qfVksXy5K6Wj01M4ycv567p8hdm/F6js4Cn8uFjDaTEqAFNQ+/XeRuyruh6238XWNdzmqngUZ96DxoDfM29zb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2023-09-14T12:56:51Z</dcterms:modified>
  <cp:lastModifiedBy>Admin</cp:lastModifiedBy>
</cp:coreProperties>
</file>