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2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Setting!$E$27:$E$28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Setting!$B$6:$B$12</definedName>
    <definedName name="DeliveryCodeAdressList">Setting!$C$6:$C$12</definedName>
    <definedName name="DeliveryConditions">'Бланк заказа'!$S$12</definedName>
    <definedName name="DeliveryConditionsList">Setting!$B$28:$B$38</definedName>
    <definedName name="DeliveryDate">'Бланк заказа'!$N$9</definedName>
    <definedName name="DeliveryMethodList">Setting!$B$3:$B$4</definedName>
    <definedName name="DeliveryNumAdressList">Setting!$D$6:$D$12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Setting!$C$27:$C$28</definedName>
    <definedName name="GrossWeightTotal">'Бланк заказа'!$U$405:$U$405</definedName>
    <definedName name="GrossWeightTotalR">'Бланк заказа'!$V$405:$V$405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Setting!$B$27:$B$28</definedName>
    <definedName name="PalletQtyTotal">'Бланк заказа'!$U$406:$U$406</definedName>
    <definedName name="PalletQtyTotalR">'Бланк заказа'!$V$406:$V$406</definedName>
    <definedName name="PassportProxy">'Бланк заказа'!$J$9:$K$9</definedName>
    <definedName name="PassportProxySet">Setting!$D$27:$D$28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заказа'!$B$198:$B$198</definedName>
    <definedName name="ProductId116">'Бланк заказа'!$B$199:$B$199</definedName>
    <definedName name="ProductId117">'Бланк заказа'!$B$200:$B$200</definedName>
    <definedName name="ProductId118">'Бланк заказа'!$B$201:$B$201</definedName>
    <definedName name="ProductId119">'Бланк заказа'!$B$202:$B$202</definedName>
    <definedName name="ProductId12">'Бланк заказа'!$B$50:$B$50</definedName>
    <definedName name="ProductId120">'Бланк заказа'!$B$203:$B$203</definedName>
    <definedName name="ProductId121">'Бланк заказа'!$B$207:$B$207</definedName>
    <definedName name="ProductId122">'Бланк заказа'!$B$208:$B$208</definedName>
    <definedName name="ProductId123">'Бланк заказа'!$B$209:$B$209</definedName>
    <definedName name="ProductId124">'Бланк заказа'!$B$210:$B$210</definedName>
    <definedName name="ProductId125">'Бланк заказа'!$B$214:$B$214</definedName>
    <definedName name="ProductId126">'Бланк заказа'!$B$215:$B$215</definedName>
    <definedName name="ProductId127">'Бланк заказа'!$B$220:$B$220</definedName>
    <definedName name="ProductId128">'Бланк заказа'!$B$221:$B$221</definedName>
    <definedName name="ProductId129">'Бланк заказа'!$B$222:$B$222</definedName>
    <definedName name="ProductId13">'Бланк заказа'!$B$51:$B$51</definedName>
    <definedName name="ProductId130">'Бланк заказа'!$B$223:$B$223</definedName>
    <definedName name="ProductId131">'Бланк заказа'!$B$224:$B$224</definedName>
    <definedName name="ProductId132">'Бланк заказа'!$B$225:$B$225</definedName>
    <definedName name="ProductId133">'Бланк заказа'!$B$226:$B$226</definedName>
    <definedName name="ProductId134">'Бланк заказа'!$B$230:$B$230</definedName>
    <definedName name="ProductId135">'Бланк заказа'!$B$231:$B$231</definedName>
    <definedName name="ProductId136">'Бланк заказа'!$B$236:$B$236</definedName>
    <definedName name="ProductId137">'Бланк заказа'!$B$237:$B$237</definedName>
    <definedName name="ProductId138">'Бланк заказа'!$B$241:$B$241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заказа'!$B$245:$B$245</definedName>
    <definedName name="ProductId143">'Бланк заказа'!$B$249:$B$249</definedName>
    <definedName name="ProductId144">'Бланк заказа'!$B$253:$B$253</definedName>
    <definedName name="ProductId145">'Бланк заказа'!$B$257:$B$257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заказа'!$B$279:$B$279</definedName>
    <definedName name="ProductId157">'Бланк заказа'!$B$280:$B$280</definedName>
    <definedName name="ProductId158">'Бланк заказа'!$B$284:$B$284</definedName>
    <definedName name="ProductId159">'Бланк заказа'!$B$288:$B$288</definedName>
    <definedName name="ProductId16">'Бланк заказа'!$B$62:$B$62</definedName>
    <definedName name="ProductId160">'Бланк заказа'!$B$293:$B$293</definedName>
    <definedName name="ProductId161">'Бланк заказа'!$B$294:$B$294</definedName>
    <definedName name="ProductId162">'Бланк заказа'!$B$295:$B$295</definedName>
    <definedName name="ProductId163">'Бланк заказа'!$B$299:$B$299</definedName>
    <definedName name="ProductId164">'Бланк заказа'!$B$300:$B$300</definedName>
    <definedName name="ProductId165">'Бланк заказа'!$B$304:$B$304</definedName>
    <definedName name="ProductId166">'Бланк заказа'!$B$305:$B$305</definedName>
    <definedName name="ProductId167">'Бланк заказа'!$B$309:$B$309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заказа'!$B$343:$B$343</definedName>
    <definedName name="ProductId184">'Бланк заказа'!$B$344:$B$344</definedName>
    <definedName name="ProductId185">'Бланк заказа'!$B$348:$B$348</definedName>
    <definedName name="ProductId186">'Бланк заказа'!$B$349:$B$349</definedName>
    <definedName name="ProductId187">'Бланк заказа'!$B$350:$B$350</definedName>
    <definedName name="ProductId188">'Бланк заказа'!$B$351:$B$351</definedName>
    <definedName name="ProductId189">'Бланк заказа'!$B$352:$B$352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заказа'!$B$367:$B$367</definedName>
    <definedName name="ProductId197">'Бланк заказа'!$B$371:$B$371</definedName>
    <definedName name="ProductId198">'Бланк заказа'!$B$372:$B$372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заказа'!$B$384:$B$384</definedName>
    <definedName name="ProductId203">'Бланк заказа'!$B$385:$B$385</definedName>
    <definedName name="ProductId204">'Бланк заказа'!$B$389:$B$389</definedName>
    <definedName name="ProductId205">'Бланк заказа'!$B$390:$B$390</definedName>
    <definedName name="ProductId206">'Бланк заказа'!$B$394:$B$394</definedName>
    <definedName name="ProductId207">'Бланк заказа'!$B$395:$B$395</definedName>
    <definedName name="ProductId208">'Бланк заказа'!$B$399:$B$399</definedName>
    <definedName name="ProductId209">'Бланк заказа'!$B$400:$B$400</definedName>
    <definedName name="ProductId21">'Бланк заказа'!$B$67:$B$67</definedName>
    <definedName name="ProductId210">'Бланк заказа'!$B$401:$B$401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заказа'!$B$177:$B$177</definedName>
    <definedName name="ProductId98">'Бланк заказа'!$B$178:$B$178</definedName>
    <definedName name="ProductId99">'Бланк заказа'!$B$179:$B$179</definedName>
    <definedName name="Proxy">Setting!$B$27:$E$28</definedName>
    <definedName name="Ref_UnloadCodeAdressList0001">Setting!$C$14:$C$14</definedName>
    <definedName name="Ref_UnloadCodeAdressList0002">Setting!$C$16:$C$16</definedName>
    <definedName name="Ref_UnloadCodeAdressList0003">Setting!$C$18:$C$18</definedName>
    <definedName name="Ref_UnloadCodeAdressList0004">Setting!$C$20:$C$20</definedName>
    <definedName name="Ref_UnloadCodeAdressList0005">Setting!$C$22:$C$22</definedName>
    <definedName name="Ref_UnloadCodeAdressList0006">Setting!$C$24:$C$24</definedName>
    <definedName name="Ref_UnloadCodeAdressList0007">Setting!$C$26:$C$26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заказа'!$U$198:$U$198</definedName>
    <definedName name="SalesQty116">'Бланк заказа'!$U$199:$U$199</definedName>
    <definedName name="SalesQty117">'Бланк заказа'!$U$200:$U$200</definedName>
    <definedName name="SalesQty118">'Бланк заказа'!$U$201:$U$201</definedName>
    <definedName name="SalesQty119">'Бланк заказа'!$U$202:$U$202</definedName>
    <definedName name="SalesQty12">'Бланк заказа'!$U$50:$U$50</definedName>
    <definedName name="SalesQty120">'Бланк заказа'!$U$203:$U$203</definedName>
    <definedName name="SalesQty121">'Бланк заказа'!$U$207:$U$207</definedName>
    <definedName name="SalesQty122">'Бланк заказа'!$U$208:$U$208</definedName>
    <definedName name="SalesQty123">'Бланк заказа'!$U$209:$U$209</definedName>
    <definedName name="SalesQty124">'Бланк заказа'!$U$210:$U$210</definedName>
    <definedName name="SalesQty125">'Бланк заказа'!$U$214:$U$214</definedName>
    <definedName name="SalesQty126">'Бланк заказа'!$U$215:$U$215</definedName>
    <definedName name="SalesQty127">'Бланк заказа'!$U$220:$U$220</definedName>
    <definedName name="SalesQty128">'Бланк заказа'!$U$221:$U$221</definedName>
    <definedName name="SalesQty129">'Бланк заказа'!$U$222:$U$222</definedName>
    <definedName name="SalesQty13">'Бланк заказа'!$U$51:$U$51</definedName>
    <definedName name="SalesQty130">'Бланк заказа'!$U$223:$U$223</definedName>
    <definedName name="SalesQty131">'Бланк заказа'!$U$224:$U$224</definedName>
    <definedName name="SalesQty132">'Бланк заказа'!$U$225:$U$225</definedName>
    <definedName name="SalesQty133">'Бланк заказа'!$U$226:$U$226</definedName>
    <definedName name="SalesQty134">'Бланк заказа'!$U$230:$U$230</definedName>
    <definedName name="SalesQty135">'Бланк заказа'!$U$231:$U$231</definedName>
    <definedName name="SalesQty136">'Бланк заказа'!$U$236:$U$236</definedName>
    <definedName name="SalesQty137">'Бланк заказа'!$U$237:$U$237</definedName>
    <definedName name="SalesQty138">'Бланк заказа'!$U$241:$U$241</definedName>
    <definedName name="SalesQty139">'Бланк заказа'!$U$242:$U$242</definedName>
    <definedName name="SalesQty14">'Бланк заказа'!$U$56:$U$56</definedName>
    <definedName name="SalesQty140">'Бланк заказа'!$U$243:$U$243</definedName>
    <definedName name="SalesQty141">'Бланк заказа'!$U$244:$U$244</definedName>
    <definedName name="SalesQty142">'Бланк заказа'!$U$245:$U$245</definedName>
    <definedName name="SalesQty143">'Бланк заказа'!$U$249:$U$249</definedName>
    <definedName name="SalesQty144">'Бланк заказа'!$U$253:$U$253</definedName>
    <definedName name="SalesQty145">'Бланк заказа'!$U$257:$U$257</definedName>
    <definedName name="SalesQty146">'Бланк заказа'!$U$263:$U$263</definedName>
    <definedName name="SalesQty147">'Бланк заказа'!$U$264:$U$264</definedName>
    <definedName name="SalesQty148">'Бланк заказа'!$U$265:$U$265</definedName>
    <definedName name="SalesQty149">'Бланк заказа'!$U$266:$U$266</definedName>
    <definedName name="SalesQty15">'Бланк заказа'!$U$57:$U$57</definedName>
    <definedName name="SalesQty150">'Бланк заказа'!$U$267:$U$267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заказа'!$U$274:$U$274</definedName>
    <definedName name="SalesQty155">'Бланк заказа'!$U$275:$U$275</definedName>
    <definedName name="SalesQty156">'Бланк заказа'!$U$279:$U$279</definedName>
    <definedName name="SalesQty157">'Бланк заказа'!$U$280:$U$280</definedName>
    <definedName name="SalesQty158">'Бланк заказа'!$U$284:$U$284</definedName>
    <definedName name="SalesQty159">'Бланк заказа'!$U$288:$U$288</definedName>
    <definedName name="SalesQty16">'Бланк заказа'!$U$62:$U$62</definedName>
    <definedName name="SalesQty160">'Бланк заказа'!$U$293:$U$293</definedName>
    <definedName name="SalesQty161">'Бланк заказа'!$U$294:$U$294</definedName>
    <definedName name="SalesQty162">'Бланк заказа'!$U$295:$U$295</definedName>
    <definedName name="SalesQty163">'Бланк заказа'!$U$299:$U$299</definedName>
    <definedName name="SalesQty164">'Бланк заказа'!$U$300:$U$300</definedName>
    <definedName name="SalesQty165">'Бланк заказа'!$U$304:$U$304</definedName>
    <definedName name="SalesQty166">'Бланк заказа'!$U$305:$U$305</definedName>
    <definedName name="SalesQty167">'Бланк заказа'!$U$309:$U$309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заказа'!$U$326:$U$326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заказа'!$U$333:$U$333</definedName>
    <definedName name="SalesQty181">'Бланк заказа'!$U$334:$U$334</definedName>
    <definedName name="SalesQty182">'Бланк заказа'!$U$338:$U$338</definedName>
    <definedName name="SalesQty183">'Бланк заказа'!$U$343:$U$343</definedName>
    <definedName name="SalesQty184">'Бланк заказа'!$U$344:$U$344</definedName>
    <definedName name="SalesQty185">'Бланк заказа'!$U$348:$U$348</definedName>
    <definedName name="SalesQty186">'Бланк заказа'!$U$349:$U$349</definedName>
    <definedName name="SalesQty187">'Бланк заказа'!$U$350:$U$350</definedName>
    <definedName name="SalesQty188">'Бланк заказа'!$U$351:$U$351</definedName>
    <definedName name="SalesQty189">'Бланк заказа'!$U$352:$U$352</definedName>
    <definedName name="SalesQty19">'Бланк заказа'!$U$65:$U$65</definedName>
    <definedName name="SalesQty190">'Бланк заказа'!$U$358:$U$358</definedName>
    <definedName name="SalesQty191">'Бланк заказа'!$U$359:$U$359</definedName>
    <definedName name="SalesQty192">'Бланк заказа'!$U$360:$U$360</definedName>
    <definedName name="SalesQty193">'Бланк заказа'!$U$361:$U$361</definedName>
    <definedName name="SalesQty194">'Бланк заказа'!$U$362:$U$362</definedName>
    <definedName name="SalesQty195">'Бланк заказа'!$U$363:$U$363</definedName>
    <definedName name="SalesQty196">'Бланк заказа'!$U$367:$U$367</definedName>
    <definedName name="SalesQty197">'Бланк заказа'!$U$371:$U$371</definedName>
    <definedName name="SalesQty198">'Бланк заказа'!$U$372:$U$372</definedName>
    <definedName name="SalesQty199">'Бланк заказа'!$U$373:$U$373</definedName>
    <definedName name="SalesQty2">'Бланк заказа'!$U$26:$U$26</definedName>
    <definedName name="SalesQty20">'Бланк заказа'!$U$66:$U$66</definedName>
    <definedName name="SalesQty200">'Бланк заказа'!$U$377:$U$377</definedName>
    <definedName name="SalesQty201">'Бланк заказа'!$U$378:$U$378</definedName>
    <definedName name="SalesQty202">'Бланк заказа'!$U$384:$U$384</definedName>
    <definedName name="SalesQty203">'Бланк заказа'!$U$385:$U$385</definedName>
    <definedName name="SalesQty204">'Бланк заказа'!$U$389:$U$389</definedName>
    <definedName name="SalesQty205">'Бланк заказа'!$U$390:$U$390</definedName>
    <definedName name="SalesQty206">'Бланк заказа'!$U$394:$U$394</definedName>
    <definedName name="SalesQty207">'Бланк заказа'!$U$395:$U$395</definedName>
    <definedName name="SalesQty208">'Бланк заказа'!$U$399:$U$399</definedName>
    <definedName name="SalesQty209">'Бланк заказа'!$U$400:$U$400</definedName>
    <definedName name="SalesQty21">'Бланк заказа'!$U$67:$U$67</definedName>
    <definedName name="SalesQty210">'Бланк заказа'!$U$401:$U$401</definedName>
    <definedName name="SalesQty22">'Бланк заказа'!$U$68:$U$68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заказа'!$U$177:$U$177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заказа'!$V$198:$V$198</definedName>
    <definedName name="SalesRoundBox116">'Бланк заказа'!$V$199:$V$199</definedName>
    <definedName name="SalesRoundBox117">'Бланк заказа'!$V$200:$V$200</definedName>
    <definedName name="SalesRoundBox118">'Бланк заказа'!$V$201:$V$201</definedName>
    <definedName name="SalesRoundBox119">'Бланк заказа'!$V$202:$V$202</definedName>
    <definedName name="SalesRoundBox12">'Бланк заказа'!$V$50:$V$50</definedName>
    <definedName name="SalesRoundBox120">'Бланк заказа'!$V$203:$V$203</definedName>
    <definedName name="SalesRoundBox121">'Бланк заказа'!$V$207:$V$207</definedName>
    <definedName name="SalesRoundBox122">'Бланк заказа'!$V$208:$V$208</definedName>
    <definedName name="SalesRoundBox123">'Бланк заказа'!$V$209:$V$209</definedName>
    <definedName name="SalesRoundBox124">'Бланк заказа'!$V$210:$V$210</definedName>
    <definedName name="SalesRoundBox125">'Бланк заказа'!$V$214:$V$214</definedName>
    <definedName name="SalesRoundBox126">'Бланк заказа'!$V$215:$V$215</definedName>
    <definedName name="SalesRoundBox127">'Бланк заказа'!$V$220:$V$220</definedName>
    <definedName name="SalesRoundBox128">'Бланк заказа'!$V$221:$V$221</definedName>
    <definedName name="SalesRoundBox129">'Бланк заказа'!$V$222:$V$222</definedName>
    <definedName name="SalesRoundBox13">'Бланк заказа'!$V$51:$V$51</definedName>
    <definedName name="SalesRoundBox130">'Бланк заказа'!$V$223:$V$223</definedName>
    <definedName name="SalesRoundBox131">'Бланк заказа'!$V$224:$V$224</definedName>
    <definedName name="SalesRoundBox132">'Бланк заказа'!$V$225:$V$225</definedName>
    <definedName name="SalesRoundBox133">'Бланк заказа'!$V$226:$V$226</definedName>
    <definedName name="SalesRoundBox134">'Бланк заказа'!$V$230:$V$230</definedName>
    <definedName name="SalesRoundBox135">'Бланк заказа'!$V$231:$V$231</definedName>
    <definedName name="SalesRoundBox136">'Бланк заказа'!$V$236:$V$236</definedName>
    <definedName name="SalesRoundBox137">'Бланк заказа'!$V$237:$V$237</definedName>
    <definedName name="SalesRoundBox138">'Бланк заказа'!$V$241:$V$241</definedName>
    <definedName name="SalesRoundBox139">'Бланк заказа'!$V$242:$V$242</definedName>
    <definedName name="SalesRoundBox14">'Бланк заказа'!$V$56:$V$56</definedName>
    <definedName name="SalesRoundBox140">'Бланк заказа'!$V$243:$V$243</definedName>
    <definedName name="SalesRoundBox141">'Бланк заказа'!$V$244:$V$244</definedName>
    <definedName name="SalesRoundBox142">'Бланк заказа'!$V$245:$V$245</definedName>
    <definedName name="SalesRoundBox143">'Бланк заказа'!$V$249:$V$249</definedName>
    <definedName name="SalesRoundBox144">'Бланк заказа'!$V$253:$V$253</definedName>
    <definedName name="SalesRoundBox145">'Бланк заказа'!$V$257:$V$257</definedName>
    <definedName name="SalesRoundBox146">'Бланк заказа'!$V$263:$V$263</definedName>
    <definedName name="SalesRoundBox147">'Бланк заказа'!$V$264:$V$264</definedName>
    <definedName name="SalesRoundBox148">'Бланк заказа'!$V$265:$V$265</definedName>
    <definedName name="SalesRoundBox149">'Бланк заказа'!$V$266:$V$266</definedName>
    <definedName name="SalesRoundBox15">'Бланк заказа'!$V$57:$V$57</definedName>
    <definedName name="SalesRoundBox150">'Бланк заказа'!$V$267:$V$267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заказа'!$V$274:$V$274</definedName>
    <definedName name="SalesRoundBox155">'Бланк заказа'!$V$275:$V$275</definedName>
    <definedName name="SalesRoundBox156">'Бланк заказа'!$V$279:$V$279</definedName>
    <definedName name="SalesRoundBox157">'Бланк заказа'!$V$280:$V$280</definedName>
    <definedName name="SalesRoundBox158">'Бланк заказа'!$V$284:$V$284</definedName>
    <definedName name="SalesRoundBox159">'Бланк заказа'!$V$288:$V$288</definedName>
    <definedName name="SalesRoundBox16">'Бланк заказа'!$V$62:$V$62</definedName>
    <definedName name="SalesRoundBox160">'Бланк заказа'!$V$293:$V$293</definedName>
    <definedName name="SalesRoundBox161">'Бланк заказа'!$V$294:$V$294</definedName>
    <definedName name="SalesRoundBox162">'Бланк заказа'!$V$295:$V$295</definedName>
    <definedName name="SalesRoundBox163">'Бланк заказа'!$V$299:$V$299</definedName>
    <definedName name="SalesRoundBox164">'Бланк заказа'!$V$300:$V$300</definedName>
    <definedName name="SalesRoundBox165">'Бланк заказа'!$V$304:$V$304</definedName>
    <definedName name="SalesRoundBox166">'Бланк заказа'!$V$305:$V$305</definedName>
    <definedName name="SalesRoundBox167">'Бланк заказа'!$V$309:$V$309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заказа'!$V$326:$V$326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заказа'!$V$333:$V$333</definedName>
    <definedName name="SalesRoundBox181">'Бланк заказа'!$V$334:$V$334</definedName>
    <definedName name="SalesRoundBox182">'Бланк заказа'!$V$338:$V$338</definedName>
    <definedName name="SalesRoundBox183">'Бланк заказа'!$V$343:$V$343</definedName>
    <definedName name="SalesRoundBox184">'Бланк заказа'!$V$344:$V$344</definedName>
    <definedName name="SalesRoundBox185">'Бланк заказа'!$V$348:$V$348</definedName>
    <definedName name="SalesRoundBox186">'Бланк заказа'!$V$349:$V$349</definedName>
    <definedName name="SalesRoundBox187">'Бланк заказа'!$V$350:$V$350</definedName>
    <definedName name="SalesRoundBox188">'Бланк заказа'!$V$351:$V$351</definedName>
    <definedName name="SalesRoundBox189">'Бланк заказа'!$V$352:$V$352</definedName>
    <definedName name="SalesRoundBox19">'Бланк заказа'!$V$65:$V$65</definedName>
    <definedName name="SalesRoundBox190">'Бланк заказа'!$V$358:$V$358</definedName>
    <definedName name="SalesRoundBox191">'Бланк заказа'!$V$359:$V$359</definedName>
    <definedName name="SalesRoundBox192">'Бланк заказа'!$V$360:$V$360</definedName>
    <definedName name="SalesRoundBox193">'Бланк заказа'!$V$361:$V$361</definedName>
    <definedName name="SalesRoundBox194">'Бланк заказа'!$V$362:$V$362</definedName>
    <definedName name="SalesRoundBox195">'Бланк заказа'!$V$363:$V$363</definedName>
    <definedName name="SalesRoundBox196">'Бланк заказа'!$V$367:$V$367</definedName>
    <definedName name="SalesRoundBox197">'Бланк заказа'!$V$371:$V$371</definedName>
    <definedName name="SalesRoundBox198">'Бланк заказа'!$V$372:$V$372</definedName>
    <definedName name="SalesRoundBox199">'Бланк заказа'!$V$373:$V$373</definedName>
    <definedName name="SalesRoundBox2">'Бланк заказа'!$V$26:$V$26</definedName>
    <definedName name="SalesRoundBox20">'Бланк заказа'!$V$66:$V$66</definedName>
    <definedName name="SalesRoundBox200">'Бланк заказа'!$V$377:$V$377</definedName>
    <definedName name="SalesRoundBox201">'Бланк заказа'!$V$378:$V$378</definedName>
    <definedName name="SalesRoundBox202">'Бланк заказа'!$V$384:$V$384</definedName>
    <definedName name="SalesRoundBox203">'Бланк заказа'!$V$385:$V$385</definedName>
    <definedName name="SalesRoundBox204">'Бланк заказа'!$V$389:$V$389</definedName>
    <definedName name="SalesRoundBox205">'Бланк заказа'!$V$390:$V$390</definedName>
    <definedName name="SalesRoundBox206">'Бланк заказа'!$V$394:$V$394</definedName>
    <definedName name="SalesRoundBox207">'Бланк заказа'!$V$395:$V$395</definedName>
    <definedName name="SalesRoundBox208">'Бланк заказа'!$V$399:$V$399</definedName>
    <definedName name="SalesRoundBox209">'Бланк заказа'!$V$400:$V$400</definedName>
    <definedName name="SalesRoundBox21">'Бланк заказа'!$V$67:$V$67</definedName>
    <definedName name="SalesRoundBox210">'Бланк заказа'!$V$401:$V$401</definedName>
    <definedName name="SalesRoundBox22">'Бланк заказа'!$V$68:$V$68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заказа'!$V$177:$V$177</definedName>
    <definedName name="SalesRoundBox98">'Бланк заказа'!$V$178:$V$178</definedName>
    <definedName name="SalesRoundBox99">'Бланк заказа'!$V$179:$V$179</definedName>
    <definedName name="Table">Setting!$B$6:$D$12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заказа'!$T$198:$T$198</definedName>
    <definedName name="UnitOfMeasure116">'Бланк заказа'!$T$199:$T$199</definedName>
    <definedName name="UnitOfMeasure117">'Бланк заказа'!$T$200:$T$200</definedName>
    <definedName name="UnitOfMeasure118">'Бланк заказа'!$T$201:$T$201</definedName>
    <definedName name="UnitOfMeasure119">'Бланк заказа'!$T$202:$T$202</definedName>
    <definedName name="UnitOfMeasure12">'Бланк заказа'!$T$50:$T$50</definedName>
    <definedName name="UnitOfMeasure120">'Бланк заказа'!$T$203:$T$203</definedName>
    <definedName name="UnitOfMeasure121">'Бланк заказа'!$T$207:$T$207</definedName>
    <definedName name="UnitOfMeasure122">'Бланк заказа'!$T$208:$T$208</definedName>
    <definedName name="UnitOfMeasure123">'Бланк заказа'!$T$209:$T$209</definedName>
    <definedName name="UnitOfMeasure124">'Бланк заказа'!$T$210:$T$210</definedName>
    <definedName name="UnitOfMeasure125">'Бланк заказа'!$T$214:$T$214</definedName>
    <definedName name="UnitOfMeasure126">'Бланк заказа'!$T$215:$T$215</definedName>
    <definedName name="UnitOfMeasure127">'Бланк заказа'!$T$220:$T$220</definedName>
    <definedName name="UnitOfMeasure128">'Бланк заказа'!$T$221:$T$221</definedName>
    <definedName name="UnitOfMeasure129">'Бланк заказа'!$T$222:$T$222</definedName>
    <definedName name="UnitOfMeasure13">'Бланк заказа'!$T$51:$T$51</definedName>
    <definedName name="UnitOfMeasure130">'Бланк заказа'!$T$223:$T$223</definedName>
    <definedName name="UnitOfMeasure131">'Бланк заказа'!$T$224:$T$224</definedName>
    <definedName name="UnitOfMeasure132">'Бланк заказа'!$T$225:$T$225</definedName>
    <definedName name="UnitOfMeasure133">'Бланк заказа'!$T$226:$T$226</definedName>
    <definedName name="UnitOfMeasure134">'Бланк заказа'!$T$230:$T$230</definedName>
    <definedName name="UnitOfMeasure135">'Бланк заказа'!$T$231:$T$231</definedName>
    <definedName name="UnitOfMeasure136">'Бланк заказа'!$T$236:$T$236</definedName>
    <definedName name="UnitOfMeasure137">'Бланк заказа'!$T$237:$T$237</definedName>
    <definedName name="UnitOfMeasure138">'Бланк заказа'!$T$241:$T$241</definedName>
    <definedName name="UnitOfMeasure139">'Бланк заказа'!$T$242:$T$242</definedName>
    <definedName name="UnitOfMeasure14">'Бланк заказа'!$T$56:$T$56</definedName>
    <definedName name="UnitOfMeasure140">'Бланк заказа'!$T$243:$T$243</definedName>
    <definedName name="UnitOfMeasure141">'Бланк заказа'!$T$244:$T$244</definedName>
    <definedName name="UnitOfMeasure142">'Бланк заказа'!$T$245:$T$245</definedName>
    <definedName name="UnitOfMeasure143">'Бланк заказа'!$T$249:$T$249</definedName>
    <definedName name="UnitOfMeasure144">'Бланк заказа'!$T$253:$T$253</definedName>
    <definedName name="UnitOfMeasure145">'Бланк заказа'!$T$257:$T$257</definedName>
    <definedName name="UnitOfMeasure146">'Бланк заказа'!$T$263:$T$263</definedName>
    <definedName name="UnitOfMeasure147">'Бланк заказа'!$T$264:$T$264</definedName>
    <definedName name="UnitOfMeasure148">'Бланк заказа'!$T$265:$T$265</definedName>
    <definedName name="UnitOfMeasure149">'Бланк заказа'!$T$266:$T$266</definedName>
    <definedName name="UnitOfMeasure15">'Бланк заказа'!$T$57:$T$57</definedName>
    <definedName name="UnitOfMeasure150">'Бланк заказа'!$T$267:$T$267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заказа'!$T$274:$T$274</definedName>
    <definedName name="UnitOfMeasure155">'Бланк заказа'!$T$275:$T$275</definedName>
    <definedName name="UnitOfMeasure156">'Бланк заказа'!$T$279:$T$279</definedName>
    <definedName name="UnitOfMeasure157">'Бланк заказа'!$T$280:$T$280</definedName>
    <definedName name="UnitOfMeasure158">'Бланк заказа'!$T$284:$T$284</definedName>
    <definedName name="UnitOfMeasure159">'Бланк заказа'!$T$288:$T$288</definedName>
    <definedName name="UnitOfMeasure16">'Бланк заказа'!$T$62:$T$62</definedName>
    <definedName name="UnitOfMeasure160">'Бланк заказа'!$T$293:$T$293</definedName>
    <definedName name="UnitOfMeasure161">'Бланк заказа'!$T$294:$T$294</definedName>
    <definedName name="UnitOfMeasure162">'Бланк заказа'!$T$295:$T$295</definedName>
    <definedName name="UnitOfMeasure163">'Бланк заказа'!$T$299:$T$299</definedName>
    <definedName name="UnitOfMeasure164">'Бланк заказа'!$T$300:$T$300</definedName>
    <definedName name="UnitOfMeasure165">'Бланк заказа'!$T$304:$T$304</definedName>
    <definedName name="UnitOfMeasure166">'Бланк заказа'!$T$305:$T$305</definedName>
    <definedName name="UnitOfMeasure167">'Бланк заказа'!$T$309:$T$309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заказа'!$T$326:$T$326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заказа'!$T$333:$T$333</definedName>
    <definedName name="UnitOfMeasure181">'Бланк заказа'!$T$334:$T$334</definedName>
    <definedName name="UnitOfMeasure182">'Бланк заказа'!$T$338:$T$338</definedName>
    <definedName name="UnitOfMeasure183">'Бланк заказа'!$T$343:$T$343</definedName>
    <definedName name="UnitOfMeasure184">'Бланк заказа'!$T$344:$T$344</definedName>
    <definedName name="UnitOfMeasure185">'Бланк заказа'!$T$348:$T$348</definedName>
    <definedName name="UnitOfMeasure186">'Бланк заказа'!$T$349:$T$349</definedName>
    <definedName name="UnitOfMeasure187">'Бланк заказа'!$T$350:$T$350</definedName>
    <definedName name="UnitOfMeasure188">'Бланк заказа'!$T$351:$T$351</definedName>
    <definedName name="UnitOfMeasure189">'Бланк заказа'!$T$352:$T$352</definedName>
    <definedName name="UnitOfMeasure19">'Бланк заказа'!$T$65:$T$65</definedName>
    <definedName name="UnitOfMeasure190">'Бланк заказа'!$T$358:$T$358</definedName>
    <definedName name="UnitOfMeasure191">'Бланк заказа'!$T$359:$T$359</definedName>
    <definedName name="UnitOfMeasure192">'Бланк заказа'!$T$360:$T$360</definedName>
    <definedName name="UnitOfMeasure193">'Бланк заказа'!$T$361:$T$361</definedName>
    <definedName name="UnitOfMeasure194">'Бланк заказа'!$T$362:$T$362</definedName>
    <definedName name="UnitOfMeasure195">'Бланк заказа'!$T$363:$T$363</definedName>
    <definedName name="UnitOfMeasure196">'Бланк заказа'!$T$367:$T$367</definedName>
    <definedName name="UnitOfMeasure197">'Бланк заказа'!$T$371:$T$371</definedName>
    <definedName name="UnitOfMeasure198">'Бланк заказа'!$T$372:$T$372</definedName>
    <definedName name="UnitOfMeasure199">'Бланк заказа'!$T$373:$T$373</definedName>
    <definedName name="UnitOfMeasure2">'Бланк заказа'!$T$26:$T$26</definedName>
    <definedName name="UnitOfMeasure20">'Бланк заказа'!$T$66:$T$66</definedName>
    <definedName name="UnitOfMeasure200">'Бланк заказа'!$T$377:$T$377</definedName>
    <definedName name="UnitOfMeasure201">'Бланк заказа'!$T$378:$T$378</definedName>
    <definedName name="UnitOfMeasure202">'Бланк заказа'!$T$384:$T$384</definedName>
    <definedName name="UnitOfMeasure203">'Бланк заказа'!$T$385:$T$385</definedName>
    <definedName name="UnitOfMeasure204">'Бланк заказа'!$T$389:$T$389</definedName>
    <definedName name="UnitOfMeasure205">'Бланк заказа'!$T$390:$T$390</definedName>
    <definedName name="UnitOfMeasure206">'Бланк заказа'!$T$394:$T$394</definedName>
    <definedName name="UnitOfMeasure207">'Бланк заказа'!$T$395:$T$395</definedName>
    <definedName name="UnitOfMeasure208">'Бланк заказа'!$T$399:$T$399</definedName>
    <definedName name="UnitOfMeasure209">'Бланк заказа'!$T$400:$T$400</definedName>
    <definedName name="UnitOfMeasure21">'Бланк заказа'!$T$67:$T$67</definedName>
    <definedName name="UnitOfMeasure210">'Бланк заказа'!$T$401:$T$401</definedName>
    <definedName name="UnitOfMeasure22">'Бланк заказа'!$T$68:$T$68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заказа'!$T$177:$T$177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Setting!$B$14:$B$14</definedName>
    <definedName name="UnloadAdressList0002">Setting!$B$16:$B$16</definedName>
    <definedName name="UnloadAdressList0003">Setting!$B$18:$B$18</definedName>
    <definedName name="UnloadAdressList0004">Setting!$B$20:$B$20</definedName>
    <definedName name="UnloadAdressList0005">Setting!$B$22:$B$22</definedName>
    <definedName name="UnloadAdressList0006">Setting!$B$24:$B$24</definedName>
    <definedName name="UnloadAdressList0007">Setting!$B$26:$B$26</definedName>
  </definedNames>
  <calcPr calcId="162913" refMode="R1C1"/>
</workbook>
</file>

<file path=xl/calcChain.xml><?xml version="1.0" encoding="utf-8"?>
<calcChain xmlns="http://schemas.openxmlformats.org/spreadsheetml/2006/main">
  <c r="U406" i="2" l="1"/>
  <c r="U405" i="2"/>
  <c r="U403" i="2"/>
  <c r="U402" i="2"/>
  <c r="V401" i="2"/>
  <c r="W401" i="2" s="1"/>
  <c r="V400" i="2"/>
  <c r="W400" i="2" s="1"/>
  <c r="V399" i="2"/>
  <c r="U397" i="2"/>
  <c r="U396" i="2"/>
  <c r="V395" i="2"/>
  <c r="W395" i="2" s="1"/>
  <c r="V394" i="2"/>
  <c r="W394" i="2" s="1"/>
  <c r="U392" i="2"/>
  <c r="U391" i="2"/>
  <c r="V390" i="2"/>
  <c r="V391" i="2" s="1"/>
  <c r="V389" i="2"/>
  <c r="W389" i="2" s="1"/>
  <c r="U387" i="2"/>
  <c r="U386" i="2"/>
  <c r="V385" i="2"/>
  <c r="W385" i="2" s="1"/>
  <c r="V384" i="2"/>
  <c r="U380" i="2"/>
  <c r="U379" i="2"/>
  <c r="V378" i="2"/>
  <c r="W378" i="2" s="1"/>
  <c r="V377" i="2"/>
  <c r="W377" i="2" s="1"/>
  <c r="U375" i="2"/>
  <c r="U374" i="2"/>
  <c r="V373" i="2"/>
  <c r="W373" i="2" s="1"/>
  <c r="V372" i="2"/>
  <c r="W372" i="2" s="1"/>
  <c r="V371" i="2"/>
  <c r="U369" i="2"/>
  <c r="U368" i="2"/>
  <c r="V367" i="2"/>
  <c r="V369" i="2" s="1"/>
  <c r="U365" i="2"/>
  <c r="U364" i="2"/>
  <c r="V363" i="2"/>
  <c r="W363" i="2" s="1"/>
  <c r="V362" i="2"/>
  <c r="W362" i="2" s="1"/>
  <c r="V361" i="2"/>
  <c r="W361" i="2" s="1"/>
  <c r="V360" i="2"/>
  <c r="W360" i="2" s="1"/>
  <c r="V359" i="2"/>
  <c r="W359" i="2" s="1"/>
  <c r="V358" i="2"/>
  <c r="U354" i="2"/>
  <c r="U353" i="2"/>
  <c r="V352" i="2"/>
  <c r="W352" i="2" s="1"/>
  <c r="V351" i="2"/>
  <c r="W351" i="2" s="1"/>
  <c r="V350" i="2"/>
  <c r="W350" i="2" s="1"/>
  <c r="V349" i="2"/>
  <c r="V348" i="2"/>
  <c r="W348" i="2" s="1"/>
  <c r="U346" i="2"/>
  <c r="U345" i="2"/>
  <c r="V344" i="2"/>
  <c r="W344" i="2" s="1"/>
  <c r="V343" i="2"/>
  <c r="U340" i="2"/>
  <c r="U339" i="2"/>
  <c r="V338" i="2"/>
  <c r="V340" i="2" s="1"/>
  <c r="U336" i="2"/>
  <c r="U335" i="2"/>
  <c r="V334" i="2"/>
  <c r="W334" i="2" s="1"/>
  <c r="V333" i="2"/>
  <c r="W333" i="2" s="1"/>
  <c r="V332" i="2"/>
  <c r="W332" i="2" s="1"/>
  <c r="V331" i="2"/>
  <c r="W331" i="2" s="1"/>
  <c r="V330" i="2"/>
  <c r="U328" i="2"/>
  <c r="U327" i="2"/>
  <c r="V326" i="2"/>
  <c r="W326" i="2" s="1"/>
  <c r="V325" i="2"/>
  <c r="W325" i="2" s="1"/>
  <c r="V324" i="2"/>
  <c r="W324" i="2" s="1"/>
  <c r="V323" i="2"/>
  <c r="W323" i="2" s="1"/>
  <c r="V322" i="2"/>
  <c r="W322" i="2" s="1"/>
  <c r="V321" i="2"/>
  <c r="W321" i="2" s="1"/>
  <c r="V320" i="2"/>
  <c r="U318" i="2"/>
  <c r="U317" i="2"/>
  <c r="V316" i="2"/>
  <c r="V317" i="2" s="1"/>
  <c r="V315" i="2"/>
  <c r="W315" i="2" s="1"/>
  <c r="U311" i="2"/>
  <c r="U310" i="2"/>
  <c r="V309" i="2"/>
  <c r="V311" i="2" s="1"/>
  <c r="U307" i="2"/>
  <c r="U306" i="2"/>
  <c r="V305" i="2"/>
  <c r="V304" i="2"/>
  <c r="U302" i="2"/>
  <c r="U301" i="2"/>
  <c r="V300" i="2"/>
  <c r="W300" i="2" s="1"/>
  <c r="V299" i="2"/>
  <c r="W299" i="2" s="1"/>
  <c r="U297" i="2"/>
  <c r="U296" i="2"/>
  <c r="V295" i="2"/>
  <c r="W295" i="2" s="1"/>
  <c r="V294" i="2"/>
  <c r="W294" i="2" s="1"/>
  <c r="V293" i="2"/>
  <c r="W293" i="2" s="1"/>
  <c r="U290" i="2"/>
  <c r="U289" i="2"/>
  <c r="V288" i="2"/>
  <c r="V290" i="2" s="1"/>
  <c r="U286" i="2"/>
  <c r="U285" i="2"/>
  <c r="V284" i="2"/>
  <c r="V285" i="2" s="1"/>
  <c r="U282" i="2"/>
  <c r="U281" i="2"/>
  <c r="V280" i="2"/>
  <c r="V279" i="2"/>
  <c r="W279" i="2" s="1"/>
  <c r="U277" i="2"/>
  <c r="U276" i="2"/>
  <c r="V275" i="2"/>
  <c r="W275" i="2" s="1"/>
  <c r="V274" i="2"/>
  <c r="U272" i="2"/>
  <c r="U271" i="2"/>
  <c r="V270" i="2"/>
  <c r="W270" i="2" s="1"/>
  <c r="V269" i="2"/>
  <c r="W269" i="2" s="1"/>
  <c r="V268" i="2"/>
  <c r="W268" i="2" s="1"/>
  <c r="V267" i="2"/>
  <c r="W267" i="2" s="1"/>
  <c r="V266" i="2"/>
  <c r="W266" i="2" s="1"/>
  <c r="V265" i="2"/>
  <c r="W265" i="2" s="1"/>
  <c r="V264" i="2"/>
  <c r="V263" i="2"/>
  <c r="U259" i="2"/>
  <c r="U258" i="2"/>
  <c r="V257" i="2"/>
  <c r="W257" i="2" s="1"/>
  <c r="W258" i="2" s="1"/>
  <c r="U255" i="2"/>
  <c r="U254" i="2"/>
  <c r="V253" i="2"/>
  <c r="V255" i="2" s="1"/>
  <c r="U251" i="2"/>
  <c r="U250" i="2"/>
  <c r="V249" i="2"/>
  <c r="V250" i="2" s="1"/>
  <c r="U247" i="2"/>
  <c r="U246" i="2"/>
  <c r="V245" i="2"/>
  <c r="W245" i="2" s="1"/>
  <c r="V244" i="2"/>
  <c r="W244" i="2" s="1"/>
  <c r="V243" i="2"/>
  <c r="W243" i="2" s="1"/>
  <c r="V242" i="2"/>
  <c r="W242" i="2" s="1"/>
  <c r="V241" i="2"/>
  <c r="W241" i="2" s="1"/>
  <c r="U239" i="2"/>
  <c r="U238" i="2"/>
  <c r="V237" i="2"/>
  <c r="W237" i="2" s="1"/>
  <c r="V236" i="2"/>
  <c r="W236" i="2" s="1"/>
  <c r="U233" i="2"/>
  <c r="U232" i="2"/>
  <c r="V231" i="2"/>
  <c r="W231" i="2" s="1"/>
  <c r="V230" i="2"/>
  <c r="W230" i="2" s="1"/>
  <c r="U228" i="2"/>
  <c r="U227" i="2"/>
  <c r="V226" i="2"/>
  <c r="W226" i="2" s="1"/>
  <c r="V225" i="2"/>
  <c r="W225" i="2" s="1"/>
  <c r="V224" i="2"/>
  <c r="W224" i="2" s="1"/>
  <c r="V223" i="2"/>
  <c r="W223" i="2" s="1"/>
  <c r="V222" i="2"/>
  <c r="W222" i="2" s="1"/>
  <c r="V221" i="2"/>
  <c r="W221" i="2" s="1"/>
  <c r="V220" i="2"/>
  <c r="U217" i="2"/>
  <c r="U216" i="2"/>
  <c r="V215" i="2"/>
  <c r="W215" i="2" s="1"/>
  <c r="V214" i="2"/>
  <c r="W214" i="2" s="1"/>
  <c r="U212" i="2"/>
  <c r="U211" i="2"/>
  <c r="V210" i="2"/>
  <c r="W210" i="2" s="1"/>
  <c r="V209" i="2"/>
  <c r="W209" i="2" s="1"/>
  <c r="V208" i="2"/>
  <c r="W208" i="2" s="1"/>
  <c r="V207" i="2"/>
  <c r="W207" i="2" s="1"/>
  <c r="U205" i="2"/>
  <c r="U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U196" i="2"/>
  <c r="U195" i="2"/>
  <c r="V194" i="2"/>
  <c r="W194" i="2" s="1"/>
  <c r="V193" i="2"/>
  <c r="W193" i="2" s="1"/>
  <c r="V192" i="2"/>
  <c r="W192" i="2" s="1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V182" i="2"/>
  <c r="W182" i="2" s="1"/>
  <c r="V181" i="2"/>
  <c r="W181" i="2" s="1"/>
  <c r="V180" i="2"/>
  <c r="W180" i="2" s="1"/>
  <c r="V179" i="2"/>
  <c r="W179" i="2" s="1"/>
  <c r="V178" i="2"/>
  <c r="W178" i="2" s="1"/>
  <c r="V177" i="2"/>
  <c r="U175" i="2"/>
  <c r="U174" i="2"/>
  <c r="V173" i="2"/>
  <c r="W173" i="2" s="1"/>
  <c r="V172" i="2"/>
  <c r="W172" i="2" s="1"/>
  <c r="V171" i="2"/>
  <c r="W171" i="2" s="1"/>
  <c r="V170" i="2"/>
  <c r="W170" i="2" s="1"/>
  <c r="V169" i="2"/>
  <c r="W169" i="2" s="1"/>
  <c r="V168" i="2"/>
  <c r="W168" i="2" s="1"/>
  <c r="V167" i="2"/>
  <c r="W167" i="2" s="1"/>
  <c r="V166" i="2"/>
  <c r="W166" i="2" s="1"/>
  <c r="V165" i="2"/>
  <c r="W165" i="2" s="1"/>
  <c r="V164" i="2"/>
  <c r="W164" i="2" s="1"/>
  <c r="V163" i="2"/>
  <c r="W163" i="2" s="1"/>
  <c r="V162" i="2"/>
  <c r="U160" i="2"/>
  <c r="U159" i="2"/>
  <c r="V158" i="2"/>
  <c r="V159" i="2" s="1"/>
  <c r="U156" i="2"/>
  <c r="U155" i="2"/>
  <c r="V154" i="2"/>
  <c r="W154" i="2" s="1"/>
  <c r="V153" i="2"/>
  <c r="W153" i="2" s="1"/>
  <c r="V152" i="2"/>
  <c r="W152" i="2" s="1"/>
  <c r="V151" i="2"/>
  <c r="W151" i="2" s="1"/>
  <c r="V150" i="2"/>
  <c r="W150" i="2" s="1"/>
  <c r="V149" i="2"/>
  <c r="W149" i="2" s="1"/>
  <c r="V148" i="2"/>
  <c r="W148" i="2" s="1"/>
  <c r="V147" i="2"/>
  <c r="W147" i="2" s="1"/>
  <c r="W146" i="2"/>
  <c r="V146" i="2"/>
  <c r="V145" i="2"/>
  <c r="W145" i="2" s="1"/>
  <c r="V144" i="2"/>
  <c r="W144" i="2" s="1"/>
  <c r="V143" i="2"/>
  <c r="W143" i="2" s="1"/>
  <c r="V142" i="2"/>
  <c r="W142" i="2" s="1"/>
  <c r="V141" i="2"/>
  <c r="W141" i="2" s="1"/>
  <c r="U138" i="2"/>
  <c r="U137" i="2"/>
  <c r="V136" i="2"/>
  <c r="W136" i="2" s="1"/>
  <c r="V135" i="2"/>
  <c r="W135" i="2" s="1"/>
  <c r="V134" i="2"/>
  <c r="U130" i="2"/>
  <c r="U129" i="2"/>
  <c r="V128" i="2"/>
  <c r="W128" i="2" s="1"/>
  <c r="V127" i="2"/>
  <c r="W127" i="2" s="1"/>
  <c r="V126" i="2"/>
  <c r="W126" i="2" s="1"/>
  <c r="V125" i="2"/>
  <c r="U122" i="2"/>
  <c r="U121" i="2"/>
  <c r="V120" i="2"/>
  <c r="W120" i="2" s="1"/>
  <c r="V119" i="2"/>
  <c r="W119" i="2" s="1"/>
  <c r="V118" i="2"/>
  <c r="W118" i="2" s="1"/>
  <c r="V117" i="2"/>
  <c r="W117" i="2" s="1"/>
  <c r="U115" i="2"/>
  <c r="U114" i="2"/>
  <c r="V113" i="2"/>
  <c r="W113" i="2" s="1"/>
  <c r="V112" i="2"/>
  <c r="W112" i="2" s="1"/>
  <c r="V111" i="2"/>
  <c r="W111" i="2" s="1"/>
  <c r="V110" i="2"/>
  <c r="W110" i="2" s="1"/>
  <c r="V109" i="2"/>
  <c r="W109" i="2" s="1"/>
  <c r="V108" i="2"/>
  <c r="W108" i="2" s="1"/>
  <c r="V107" i="2"/>
  <c r="W107" i="2" s="1"/>
  <c r="V106" i="2"/>
  <c r="W106" i="2" s="1"/>
  <c r="U104" i="2"/>
  <c r="U103" i="2"/>
  <c r="W102" i="2"/>
  <c r="V102" i="2"/>
  <c r="V101" i="2"/>
  <c r="W101" i="2" s="1"/>
  <c r="V100" i="2"/>
  <c r="W100" i="2" s="1"/>
  <c r="V99" i="2"/>
  <c r="W99" i="2" s="1"/>
  <c r="V98" i="2"/>
  <c r="W98" i="2" s="1"/>
  <c r="V97" i="2"/>
  <c r="W97" i="2" s="1"/>
  <c r="V96" i="2"/>
  <c r="W96" i="2" s="1"/>
  <c r="V95" i="2"/>
  <c r="W95" i="2" s="1"/>
  <c r="V94" i="2"/>
  <c r="U92" i="2"/>
  <c r="U91" i="2"/>
  <c r="V90" i="2"/>
  <c r="W90" i="2" s="1"/>
  <c r="V89" i="2"/>
  <c r="W89" i="2" s="1"/>
  <c r="V88" i="2"/>
  <c r="W88" i="2" s="1"/>
  <c r="V87" i="2"/>
  <c r="V86" i="2"/>
  <c r="W86" i="2" s="1"/>
  <c r="V85" i="2"/>
  <c r="W85" i="2" s="1"/>
  <c r="V84" i="2"/>
  <c r="W84" i="2" s="1"/>
  <c r="U82" i="2"/>
  <c r="U81" i="2"/>
  <c r="V80" i="2"/>
  <c r="W80" i="2" s="1"/>
  <c r="V79" i="2"/>
  <c r="W79" i="2" s="1"/>
  <c r="V78" i="2"/>
  <c r="W78" i="2" s="1"/>
  <c r="V77" i="2"/>
  <c r="W77" i="2" s="1"/>
  <c r="V76" i="2"/>
  <c r="W76" i="2" s="1"/>
  <c r="V75" i="2"/>
  <c r="W75" i="2" s="1"/>
  <c r="V74" i="2"/>
  <c r="W74" i="2" s="1"/>
  <c r="V73" i="2"/>
  <c r="W73" i="2" s="1"/>
  <c r="V72" i="2"/>
  <c r="W72" i="2" s="1"/>
  <c r="V71" i="2"/>
  <c r="W71" i="2" s="1"/>
  <c r="V70" i="2"/>
  <c r="W70" i="2" s="1"/>
  <c r="V69" i="2"/>
  <c r="W69" i="2" s="1"/>
  <c r="V68" i="2"/>
  <c r="W68" i="2" s="1"/>
  <c r="V67" i="2"/>
  <c r="W67" i="2" s="1"/>
  <c r="V66" i="2"/>
  <c r="W66" i="2" s="1"/>
  <c r="V65" i="2"/>
  <c r="W65" i="2" s="1"/>
  <c r="V64" i="2"/>
  <c r="W64" i="2" s="1"/>
  <c r="V63" i="2"/>
  <c r="W63" i="2" s="1"/>
  <c r="V62" i="2"/>
  <c r="W62" i="2" s="1"/>
  <c r="U59" i="2"/>
  <c r="U58" i="2"/>
  <c r="V57" i="2"/>
  <c r="W57" i="2" s="1"/>
  <c r="V56" i="2"/>
  <c r="D414" i="2" s="1"/>
  <c r="U53" i="2"/>
  <c r="U52" i="2"/>
  <c r="V51" i="2"/>
  <c r="V50" i="2"/>
  <c r="U46" i="2"/>
  <c r="U45" i="2"/>
  <c r="V44" i="2"/>
  <c r="V46" i="2" s="1"/>
  <c r="U42" i="2"/>
  <c r="U41" i="2"/>
  <c r="V40" i="2"/>
  <c r="V41" i="2" s="1"/>
  <c r="U38" i="2"/>
  <c r="U37" i="2"/>
  <c r="V36" i="2"/>
  <c r="W36" i="2" s="1"/>
  <c r="V35" i="2"/>
  <c r="W35" i="2" s="1"/>
  <c r="U33" i="2"/>
  <c r="U32" i="2"/>
  <c r="V31" i="2"/>
  <c r="V30" i="2"/>
  <c r="W30" i="2" s="1"/>
  <c r="V29" i="2"/>
  <c r="W29" i="2" s="1"/>
  <c r="V28" i="2"/>
  <c r="W28" i="2" s="1"/>
  <c r="V27" i="2"/>
  <c r="W27" i="2" s="1"/>
  <c r="V26" i="2"/>
  <c r="W26" i="2" s="1"/>
  <c r="U24" i="2"/>
  <c r="U23" i="2"/>
  <c r="V22" i="2"/>
  <c r="H10" i="2"/>
  <c r="A9" i="2"/>
  <c r="F9" i="2" s="1"/>
  <c r="D7" i="2"/>
  <c r="N6" i="2"/>
  <c r="M2" i="2"/>
  <c r="V336" i="2" l="1"/>
  <c r="W379" i="2"/>
  <c r="V386" i="2"/>
  <c r="V91" i="2"/>
  <c r="W232" i="2"/>
  <c r="B414" i="2"/>
  <c r="V387" i="2"/>
  <c r="W396" i="2"/>
  <c r="V228" i="2"/>
  <c r="V277" i="2"/>
  <c r="W301" i="2"/>
  <c r="V354" i="2"/>
  <c r="V42" i="2"/>
  <c r="W44" i="2"/>
  <c r="W45" i="2" s="1"/>
  <c r="V45" i="2"/>
  <c r="V103" i="2"/>
  <c r="V138" i="2"/>
  <c r="V301" i="2"/>
  <c r="V392" i="2"/>
  <c r="V302" i="2"/>
  <c r="V307" i="2"/>
  <c r="V204" i="2"/>
  <c r="N414" i="2"/>
  <c r="V403" i="2"/>
  <c r="V258" i="2"/>
  <c r="W349" i="2"/>
  <c r="W353" i="2" s="1"/>
  <c r="V160" i="2"/>
  <c r="V259" i="2"/>
  <c r="G414" i="2"/>
  <c r="V375" i="2"/>
  <c r="V282" i="2"/>
  <c r="W37" i="2"/>
  <c r="V37" i="2"/>
  <c r="V38" i="2"/>
  <c r="V24" i="2"/>
  <c r="V23" i="2"/>
  <c r="C414" i="2"/>
  <c r="P414" i="2"/>
  <c r="V397" i="2"/>
  <c r="W211" i="2"/>
  <c r="W296" i="2"/>
  <c r="V286" i="2"/>
  <c r="V271" i="2"/>
  <c r="V251" i="2"/>
  <c r="V217" i="2"/>
  <c r="W216" i="2"/>
  <c r="V216" i="2"/>
  <c r="V212" i="2"/>
  <c r="V195" i="2"/>
  <c r="O414" i="2"/>
  <c r="W399" i="2"/>
  <c r="W402" i="2" s="1"/>
  <c r="V327" i="2"/>
  <c r="K414" i="2"/>
  <c r="V175" i="2"/>
  <c r="W304" i="2"/>
  <c r="V306" i="2"/>
  <c r="V335" i="2"/>
  <c r="H414" i="2"/>
  <c r="V239" i="2"/>
  <c r="V238" i="2"/>
  <c r="W238" i="2"/>
  <c r="V130" i="2"/>
  <c r="W114" i="2"/>
  <c r="U404" i="2"/>
  <c r="F414" i="2"/>
  <c r="W125" i="2"/>
  <c r="W129" i="2" s="1"/>
  <c r="E414" i="2"/>
  <c r="W50" i="2"/>
  <c r="V53" i="2"/>
  <c r="V405" i="2"/>
  <c r="U408" i="2"/>
  <c r="V52" i="2"/>
  <c r="U407" i="2"/>
  <c r="V406" i="2"/>
  <c r="W155" i="2"/>
  <c r="W246" i="2"/>
  <c r="W81" i="2"/>
  <c r="W32" i="2"/>
  <c r="W121" i="2"/>
  <c r="I414" i="2"/>
  <c r="A10" i="2"/>
  <c r="V232" i="2"/>
  <c r="V246" i="2"/>
  <c r="W309" i="2"/>
  <c r="W310" i="2" s="1"/>
  <c r="V379" i="2"/>
  <c r="V205" i="2"/>
  <c r="W220" i="2"/>
  <c r="W227" i="2" s="1"/>
  <c r="V296" i="2"/>
  <c r="V345" i="2"/>
  <c r="J414" i="2"/>
  <c r="J9" i="2"/>
  <c r="V32" i="2"/>
  <c r="V211" i="2"/>
  <c r="W330" i="2"/>
  <c r="W335" i="2" s="1"/>
  <c r="W56" i="2"/>
  <c r="W58" i="2" s="1"/>
  <c r="V155" i="2"/>
  <c r="W162" i="2"/>
  <c r="W174" i="2" s="1"/>
  <c r="V174" i="2"/>
  <c r="W253" i="2"/>
  <c r="W254" i="2" s="1"/>
  <c r="V281" i="2"/>
  <c r="W288" i="2"/>
  <c r="W289" i="2" s="1"/>
  <c r="V365" i="2"/>
  <c r="F10" i="2"/>
  <c r="W40" i="2"/>
  <c r="W41" i="2" s="1"/>
  <c r="V33" i="2"/>
  <c r="V82" i="2"/>
  <c r="V114" i="2"/>
  <c r="V254" i="2"/>
  <c r="W263" i="2"/>
  <c r="V289" i="2"/>
  <c r="V310" i="2"/>
  <c r="V318" i="2"/>
  <c r="W338" i="2"/>
  <c r="W339" i="2" s="1"/>
  <c r="W367" i="2"/>
  <c r="W368" i="2" s="1"/>
  <c r="V402" i="2"/>
  <c r="V104" i="2"/>
  <c r="V396" i="2"/>
  <c r="L414" i="2"/>
  <c r="V196" i="2"/>
  <c r="W31" i="2"/>
  <c r="V92" i="2"/>
  <c r="W134" i="2"/>
  <c r="W137" i="2" s="1"/>
  <c r="V272" i="2"/>
  <c r="W316" i="2"/>
  <c r="W317" i="2" s="1"/>
  <c r="V328" i="2"/>
  <c r="W343" i="2"/>
  <c r="W345" i="2" s="1"/>
  <c r="V364" i="2"/>
  <c r="H9" i="2"/>
  <c r="W198" i="2"/>
  <c r="W204" i="2" s="1"/>
  <c r="W280" i="2"/>
  <c r="W281" i="2" s="1"/>
  <c r="W94" i="2"/>
  <c r="W103" i="2" s="1"/>
  <c r="V121" i="2"/>
  <c r="V137" i="2"/>
  <c r="V156" i="2"/>
  <c r="V227" i="2"/>
  <c r="V233" i="2"/>
  <c r="V247" i="2"/>
  <c r="V276" i="2"/>
  <c r="V374" i="2"/>
  <c r="V380" i="2"/>
  <c r="W22" i="2"/>
  <c r="W23" i="2" s="1"/>
  <c r="V58" i="2"/>
  <c r="V129" i="2"/>
  <c r="W264" i="2"/>
  <c r="V297" i="2"/>
  <c r="W320" i="2"/>
  <c r="W327" i="2" s="1"/>
  <c r="V339" i="2"/>
  <c r="V346" i="2"/>
  <c r="V353" i="2"/>
  <c r="V368" i="2"/>
  <c r="W390" i="2"/>
  <c r="W391" i="2" s="1"/>
  <c r="M414" i="2"/>
  <c r="W358" i="2"/>
  <c r="W364" i="2" s="1"/>
  <c r="V81" i="2"/>
  <c r="W274" i="2"/>
  <c r="W276" i="2" s="1"/>
  <c r="W51" i="2"/>
  <c r="V115" i="2"/>
  <c r="W158" i="2"/>
  <c r="W159" i="2" s="1"/>
  <c r="W177" i="2"/>
  <c r="W195" i="2" s="1"/>
  <c r="W249" i="2"/>
  <c r="W250" i="2" s="1"/>
  <c r="W284" i="2"/>
  <c r="W285" i="2" s="1"/>
  <c r="W305" i="2"/>
  <c r="W384" i="2"/>
  <c r="W386" i="2" s="1"/>
  <c r="W371" i="2"/>
  <c r="W374" i="2" s="1"/>
  <c r="W87" i="2"/>
  <c r="W91" i="2" s="1"/>
  <c r="V122" i="2"/>
  <c r="V59" i="2"/>
  <c r="W271" i="2" l="1"/>
  <c r="W306" i="2"/>
  <c r="V408" i="2"/>
  <c r="V404" i="2"/>
  <c r="V407" i="2"/>
  <c r="W52" i="2"/>
  <c r="W409" i="2" l="1"/>
</calcChain>
</file>

<file path=xl/sharedStrings.xml><?xml version="1.0" encoding="utf-8"?>
<sst xmlns="http://schemas.openxmlformats.org/spreadsheetml/2006/main" count="2383" uniqueCount="761">
  <si>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</si>
  <si>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</si>
  <si>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</si>
  <si>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</si>
  <si>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</si>
  <si>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</si>
  <si>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</si>
  <si>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</si>
  <si>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</si>
  <si>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</si>
  <si>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</si>
  <si>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</si>
  <si>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</si>
  <si>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</si>
  <si>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</si>
  <si>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</si>
  <si>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</si>
  <si>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</si>
  <si>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</si>
  <si>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</si>
  <si>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</si>
  <si>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</si>
  <si>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</si>
  <si>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</si>
  <si>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</si>
  <si>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</si>
  <si>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</si>
  <si>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</si>
  <si>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</si>
  <si>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</si>
  <si>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</si>
  <si>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</si>
  <si>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</si>
  <si>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</si>
  <si>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</si>
  <si>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</si>
  <si>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</si>
  <si>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</si>
  <si>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</si>
  <si>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</si>
  <si>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</si>
  <si>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</si>
  <si>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</si>
  <si>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</si>
  <si>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</si>
  <si>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</si>
  <si>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</si>
  <si>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</si>
  <si>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</si>
  <si>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</si>
  <si>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</si>
  <si>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</si>
  <si>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</si>
  <si>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</si>
  <si>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</si>
  <si>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</si>
  <si>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</si>
  <si>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</si>
  <si>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</si>
  <si>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</si>
  <si>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</si>
  <si>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</si>
  <si>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</si>
  <si>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КИ</t>
  </si>
  <si>
    <t>22.05.2023</t>
  </si>
  <si>
    <t>17.05.2023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</si>
  <si>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</si>
  <si>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</si>
  <si>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</si>
  <si>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</si>
  <si>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</si>
  <si>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</si>
  <si>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</si>
  <si>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</si>
  <si>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</si>
  <si>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</si>
  <si>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</si>
  <si>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</si>
  <si>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</si>
  <si>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</si>
  <si>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</si>
  <si>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</si>
  <si>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</si>
  <si>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</si>
  <si>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</si>
  <si>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</si>
  <si>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</si>
  <si>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</si>
  <si>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</si>
  <si>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</si>
  <si>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</si>
  <si>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</si>
  <si>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</si>
  <si>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</si>
  <si>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</si>
  <si>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</si>
  <si>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</si>
  <si>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</si>
  <si>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</si>
  <si>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</si>
  <si>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</si>
  <si>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</si>
  <si>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</si>
  <si>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</si>
  <si>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</si>
  <si>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</si>
  <si>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</si>
  <si>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</si>
  <si>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</si>
  <si>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</si>
  <si>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</si>
  <si>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</si>
  <si>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</si>
  <si>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</si>
  <si>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</si>
  <si>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</si>
  <si>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</si>
  <si>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</si>
  <si>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</si>
  <si>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</si>
  <si>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</si>
  <si>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</si>
  <si>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</si>
  <si>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</si>
  <si>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</si>
  <si>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</si>
  <si>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</si>
  <si>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</si>
  <si>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</si>
  <si>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</si>
  <si>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</si>
  <si>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</si>
  <si>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Вареные колбасы Классическая/Филейская Вязанка/Классическая Весовые Вектор Вязанка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</si>
  <si>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</si>
  <si>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</si>
  <si>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</si>
  <si>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</si>
  <si>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</si>
  <si>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</si>
  <si>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SU000086</t>
  </si>
  <si>
    <t>P001740</t>
  </si>
  <si>
    <t>Вареные колбасы Классическая Вязанка Весовые Вектор Вязанка</t>
  </si>
  <si>
    <t>P002470</t>
  </si>
  <si>
    <t>ВЗ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</si>
  <si>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</si>
  <si>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</si>
  <si>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</si>
  <si>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</si>
  <si>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</si>
  <si>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</si>
  <si>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</si>
  <si>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</si>
  <si>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</si>
  <si>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</si>
  <si>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</si>
  <si>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</si>
  <si>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</si>
  <si>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</si>
  <si>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</si>
  <si>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</si>
  <si>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</si>
  <si>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</si>
  <si>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</si>
  <si>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</si>
  <si>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SU001512</t>
  </si>
  <si>
    <t>P001738</t>
  </si>
  <si>
    <t>Вареные колбасы Классическая Вязанка Фикс.вес 0,5 Вектор Вязанка</t>
  </si>
  <si>
    <t>P003056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</si>
  <si>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</si>
  <si>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</si>
  <si>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</si>
  <si>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</si>
  <si>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</si>
  <si>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</si>
  <si>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</si>
  <si>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</si>
  <si>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</si>
  <si>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</si>
  <si>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</si>
  <si>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</si>
  <si>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</si>
  <si>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</si>
  <si>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</si>
  <si>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</si>
  <si>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</si>
  <si>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</si>
  <si>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</si>
  <si>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</si>
  <si>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</si>
  <si>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</si>
  <si>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</si>
  <si>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</si>
  <si>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</si>
  <si>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</si>
  <si>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</si>
  <si>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</si>
  <si>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</si>
  <si>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</si>
  <si>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SU001945</t>
  </si>
  <si>
    <t>P001830</t>
  </si>
  <si>
    <t>Ветчины Вязанка с индейкой Вязанка фикс.вес 0,45 Вектор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</si>
  <si>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</si>
  <si>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</si>
  <si>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</si>
  <si>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</si>
  <si>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</si>
  <si>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</si>
  <si>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</si>
  <si>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</si>
  <si>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</si>
  <si>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</si>
  <si>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</si>
  <si>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</si>
  <si>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</si>
  <si>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</si>
  <si>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</si>
  <si>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</si>
  <si>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</si>
  <si>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</si>
  <si>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</si>
  <si>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</si>
  <si>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</si>
  <si>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</si>
  <si>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</si>
  <si>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</si>
  <si>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</si>
  <si>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</si>
  <si>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</si>
  <si>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</si>
  <si>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</si>
  <si>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</si>
  <si>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</si>
  <si>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</si>
  <si>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</si>
  <si>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</si>
  <si>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</si>
  <si>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</si>
  <si>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</si>
  <si>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</si>
  <si>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</si>
  <si>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</si>
  <si>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</si>
  <si>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</si>
  <si>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</si>
  <si>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</si>
  <si>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</si>
  <si>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</si>
  <si>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</si>
  <si>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</si>
  <si>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P002220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</si>
  <si>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</si>
  <si>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</si>
  <si>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</si>
  <si>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</si>
  <si>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</si>
  <si>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</si>
  <si>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</si>
  <si>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</si>
  <si>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</si>
  <si>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</si>
  <si>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</si>
  <si>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</si>
  <si>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</si>
  <si>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</si>
  <si>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</si>
  <si>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</si>
  <si>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</si>
  <si>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</si>
  <si>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"Сливушки" фикс.вес 0,33 п/а мгс ТМ "Вязанка"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</si>
  <si>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</si>
  <si>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</si>
  <si>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</si>
  <si>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</si>
  <si>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</si>
  <si>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</si>
  <si>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</si>
  <si>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</si>
  <si>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</si>
  <si>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</si>
  <si>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</si>
  <si>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</si>
  <si>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</si>
  <si>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</si>
  <si>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</si>
  <si>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</si>
  <si>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</si>
  <si>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</si>
  <si>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</si>
  <si>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</si>
  <si>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</si>
  <si>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</si>
  <si>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</si>
  <si>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</si>
  <si>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</si>
  <si>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</si>
  <si>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</si>
  <si>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</si>
  <si>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</si>
  <si>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</si>
  <si>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</si>
  <si>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</si>
  <si>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</si>
  <si>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</si>
  <si>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</si>
  <si>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</si>
  <si>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</si>
  <si>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</si>
  <si>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</si>
  <si>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</si>
  <si>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</si>
  <si>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</si>
  <si>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</si>
  <si>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</si>
  <si>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</si>
  <si>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</si>
  <si>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</si>
  <si>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</si>
  <si>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</si>
  <si>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</si>
  <si>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</si>
  <si>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</si>
  <si>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</si>
  <si>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</si>
  <si>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</si>
  <si>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</si>
  <si>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</si>
  <si>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</si>
  <si>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</si>
  <si>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</si>
  <si>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</si>
  <si>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</si>
  <si>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</si>
  <si>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</si>
  <si>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</si>
  <si>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</si>
  <si>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</si>
  <si>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</si>
  <si>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</si>
  <si>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</si>
  <si>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</si>
  <si>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</si>
  <si>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</si>
  <si>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</si>
  <si>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</si>
  <si>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</si>
  <si>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</si>
  <si>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</si>
  <si>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</si>
  <si>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</si>
  <si>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</si>
  <si>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</si>
  <si>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</si>
  <si>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</si>
  <si>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</si>
  <si>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</si>
  <si>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</si>
  <si>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</si>
  <si>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</si>
  <si>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</si>
  <si>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</si>
  <si>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</si>
  <si>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</si>
  <si>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</si>
  <si>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</si>
  <si>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</si>
  <si>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</si>
  <si>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</si>
  <si>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</si>
  <si>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</si>
  <si>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</si>
  <si>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</si>
  <si>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</si>
  <si>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</si>
  <si>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</si>
  <si>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</si>
  <si>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</si>
  <si>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</si>
  <si>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</si>
  <si>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</si>
  <si>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</si>
  <si>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</si>
  <si>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</si>
  <si>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</si>
  <si>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</si>
  <si>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</si>
  <si>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</si>
  <si>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</si>
  <si>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</si>
  <si>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</si>
  <si>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</si>
  <si>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</si>
  <si>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</si>
  <si>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</si>
  <si>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</si>
  <si>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</si>
  <si>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</si>
  <si>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</si>
  <si>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</si>
  <si>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</si>
  <si>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</si>
  <si>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</si>
  <si>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</si>
  <si>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</si>
  <si>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</si>
  <si>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</si>
  <si>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</si>
  <si>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</si>
  <si>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</si>
  <si>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</si>
  <si>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</si>
  <si>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</si>
  <si>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</si>
  <si>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</si>
  <si>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</si>
  <si>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</si>
  <si>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</si>
  <si>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</si>
  <si>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</si>
  <si>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</si>
  <si>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SU002621</t>
  </si>
  <si>
    <t>P003182</t>
  </si>
  <si>
    <t>Сосиски Сочинки с сочным окороком Бордо Фикс.вес 0,4 П/а мгс Стародворье</t>
  </si>
  <si>
    <t>SU002686</t>
  </si>
  <si>
    <t>P003071</t>
  </si>
  <si>
    <t>Сосиски Сочинки с сыром Бордо ф/в 0,4 кг п/а Стародворье</t>
  </si>
  <si>
    <t>SU002619</t>
  </si>
  <si>
    <t>P002953</t>
  </si>
  <si>
    <t>Сосиски Царедворские Бордо Фикс.вес 0,33 П/а мгс Стародворье</t>
  </si>
  <si>
    <t>SU001051</t>
  </si>
  <si>
    <t>P002061</t>
  </si>
  <si>
    <t>Сардельки Нежные Бордо Весовые н/о мгс Стародворье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</si>
  <si>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</si>
  <si>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</si>
  <si>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</si>
  <si>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</si>
  <si>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</si>
  <si>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</si>
  <si>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</si>
  <si>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</si>
  <si>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</si>
  <si>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</si>
  <si>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</si>
  <si>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</si>
  <si>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</si>
  <si>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</si>
  <si>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</si>
  <si>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</si>
  <si>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</si>
  <si>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</si>
  <si>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</si>
  <si>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</si>
  <si>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</si>
  <si>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</si>
  <si>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</si>
  <si>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</si>
  <si>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SU002695</t>
  </si>
  <si>
    <t>P002112</t>
  </si>
  <si>
    <t>Сырокопченые колбасы Стародворская Бордо ф/в 0,17 Стародворье</t>
  </si>
  <si>
    <t>ДУБ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</si>
  <si>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</si>
  <si>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</si>
  <si>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</si>
  <si>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</si>
  <si>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</si>
  <si>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</si>
  <si>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</si>
  <si>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</si>
  <si>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</si>
  <si>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</si>
  <si>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</si>
  <si>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</si>
  <si>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</si>
  <si>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</si>
  <si>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</si>
  <si>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</si>
  <si>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</si>
  <si>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</si>
  <si>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</si>
  <si>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</si>
  <si>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</si>
  <si>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</si>
  <si>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</si>
  <si>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</si>
  <si>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</si>
  <si>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</si>
  <si>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</si>
  <si>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</si>
  <si>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</si>
  <si>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</si>
  <si>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</si>
  <si>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</si>
  <si>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</si>
  <si>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</si>
  <si>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</si>
  <si>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</si>
  <si>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</si>
  <si>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</si>
  <si>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</si>
  <si>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</si>
  <si>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</si>
  <si>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</si>
  <si>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</si>
  <si>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</si>
  <si>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</si>
  <si>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</si>
  <si>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</si>
  <si>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</si>
  <si>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SU002247</t>
  </si>
  <si>
    <t>P002203</t>
  </si>
  <si>
    <t>Сосиски Баварские с сыром Бавария (Баварушки) Фикс.вес 0,42 П/а мгс Стародворье</t>
  </si>
  <si>
    <t>SU002199</t>
  </si>
  <si>
    <t>P002737</t>
  </si>
  <si>
    <t>Сосиски Баварские Бавария (Баварушки) Фикс.вес 0,42 П/а мгс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</si>
  <si>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</si>
  <si>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</si>
  <si>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</si>
  <si>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</si>
  <si>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</si>
  <si>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</si>
  <si>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</si>
  <si>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</si>
  <si>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</si>
  <si>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</si>
  <si>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</si>
  <si>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</si>
  <si>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</si>
  <si>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P002581</t>
  </si>
  <si>
    <t>Вареные колбасы Докторская Особая Особая Весовые П/а Особый рецепт</t>
  </si>
  <si>
    <t>P002584</t>
  </si>
  <si>
    <t>SU001578</t>
  </si>
  <si>
    <t>P002562</t>
  </si>
  <si>
    <t>Вареные колбасы Молочная Особая Особая Весовые П/а Особый рецепт</t>
  </si>
  <si>
    <t>P002582</t>
  </si>
  <si>
    <t>SU000102</t>
  </si>
  <si>
    <t>P002564</t>
  </si>
  <si>
    <t>Вареные колбасы Особая Особая Весовые П/а Особый рецепт</t>
  </si>
  <si>
    <t>P002580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</si>
  <si>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</si>
  <si>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</si>
  <si>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</si>
  <si>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</si>
  <si>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</si>
  <si>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</si>
  <si>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</si>
  <si>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</si>
  <si>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</si>
  <si>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</si>
  <si>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</si>
  <si>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</si>
  <si>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</si>
  <si>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</si>
  <si>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</si>
  <si>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</si>
  <si>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</si>
  <si>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</si>
  <si>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</si>
  <si>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</si>
  <si>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</si>
  <si>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</si>
  <si>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</si>
  <si>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</si>
  <si>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</si>
  <si>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</si>
  <si>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</si>
  <si>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</si>
  <si>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</si>
  <si>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</si>
  <si>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</si>
  <si>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</si>
  <si>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</si>
  <si>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</si>
  <si>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</si>
  <si>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</si>
  <si>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</si>
  <si>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</si>
  <si>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</si>
  <si>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</si>
  <si>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</si>
  <si>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</si>
  <si>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</si>
  <si>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</si>
  <si>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</si>
  <si>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</si>
  <si>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</si>
  <si>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</si>
  <si>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</si>
  <si>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</si>
  <si>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</si>
  <si>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</si>
  <si>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</si>
  <si>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</si>
  <si>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</si>
  <si>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</si>
  <si>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</si>
  <si>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</si>
  <si>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</si>
  <si>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</si>
  <si>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</si>
  <si>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</si>
  <si>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</si>
  <si>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</si>
  <si>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</si>
  <si>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</si>
  <si>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</si>
  <si>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</si>
  <si>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</si>
  <si>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</si>
  <si>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</si>
  <si>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</si>
  <si>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</si>
  <si>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</si>
  <si>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</si>
  <si>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</si>
  <si>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</si>
  <si>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</si>
  <si>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</si>
  <si>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</si>
  <si>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</si>
  <si>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</si>
  <si>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</si>
  <si>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</si>
  <si>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P002866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</si>
  <si>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</si>
  <si>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</si>
  <si>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</si>
  <si>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</si>
  <si>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</si>
  <si>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</si>
  <si>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</si>
  <si>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</si>
  <si>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</si>
  <si>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</si>
  <si>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</si>
  <si>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</si>
  <si>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</si>
  <si>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</si>
  <si>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</si>
  <si>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</si>
  <si>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</si>
  <si>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</si>
  <si>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</si>
  <si>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</si>
  <si>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</si>
  <si>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</si>
  <si>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</si>
  <si>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</si>
  <si>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</si>
  <si>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</si>
  <si>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</si>
  <si>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</si>
  <si>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</si>
  <si>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</si>
  <si>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</si>
  <si>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</si>
  <si>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</si>
  <si>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</si>
  <si>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</si>
  <si>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</si>
  <si>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</si>
  <si>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Вареные колбасы Докторская Дугушка Дугушка Весовые Вектор Дугушка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</si>
  <si>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</si>
  <si>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</si>
  <si>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</si>
  <si>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</si>
  <si>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</si>
  <si>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Вареные колбасы Молочная Дугушка Дугушка Весовые Вектор Дугушка</t>
  </si>
  <si>
    <t>SU002019</t>
  </si>
  <si>
    <t>P002306</t>
  </si>
  <si>
    <t>Вареные колбасы Докторская ГОСТ Дугушка Фикс.вес 0,4 Вектор Дугушка</t>
  </si>
  <si>
    <t>SU002020</t>
  </si>
  <si>
    <t>P002308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</si>
  <si>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</si>
  <si>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</si>
  <si>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</si>
  <si>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</si>
  <si>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SU002150</t>
  </si>
  <si>
    <t>P003249</t>
  </si>
  <si>
    <t>В/к колбасы Рубленая Запеченная Дугушка Весовые Вектор Дугушка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</si>
  <si>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</si>
  <si>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</si>
  <si>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</si>
  <si>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</si>
  <si>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</si>
  <si>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</si>
  <si>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</si>
  <si>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</si>
  <si>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</si>
  <si>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</si>
  <si>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</si>
  <si>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</si>
  <si>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</si>
  <si>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</si>
  <si>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</si>
  <si>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</si>
  <si>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</si>
  <si>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</si>
  <si>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</si>
  <si>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</si>
  <si>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</si>
  <si>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</si>
  <si>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</si>
  <si>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</si>
  <si>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</si>
  <si>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</si>
  <si>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SU002809</t>
  </si>
  <si>
    <t>P003216</t>
  </si>
  <si>
    <t>В/к колбасы "Рижский" НТУ Весовые Фиброуз в/у ТМ "Зареченские"</t>
  </si>
  <si>
    <t>SU002805</t>
  </si>
  <si>
    <t>P003206</t>
  </si>
  <si>
    <t>Копченые колбасы Пражский Зареченские продукты Весовой фиброуз Зареченские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</si>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</sst>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B414"/>
  <sheetViews>
    <sheetView showGridLines="0" tabSelected="1" topLeftCell="F381" zoomScaleNormal="100" zoomScaleSheetLayoutView="100" workbookViewId="0">
      <selection activeCell="V404" sqref="V40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9" bestFit="1" customWidth="1"/>
    <col min="27" max="28" width="9.140625" style="9"/>
    <col min="29" max="16384" width="9.140625" style="1"/>
  </cols>
  <sheetData>
    <row r="1" spans="1:28" s="17" customFormat="1" ht="45" customHeight="1" x14ac:dyDescent="0.2">
      <c r="A1" s="46"/>
      <c r="B1" s="46"/>
      <c r="C1" s="46"/>
      <c r="D1" s="131" t="s">
        <v>29</v>
      </c>
      <c r="E1" s="131"/>
      <c r="F1" s="131"/>
      <c r="G1" s="14" t="s">
        <v>63</v>
      </c>
      <c r="H1" s="131" t="s">
        <v>49</v>
      </c>
      <c r="I1" s="131"/>
      <c r="J1" s="131"/>
      <c r="K1" s="131"/>
      <c r="L1" s="131"/>
      <c r="M1" s="131"/>
      <c r="N1" s="131"/>
      <c r="O1" s="132" t="s">
        <v>64</v>
      </c>
      <c r="P1" s="133"/>
      <c r="Q1" s="133"/>
      <c r="R1" s="15"/>
      <c r="S1" s="15"/>
      <c r="T1" s="15"/>
      <c r="U1" s="15"/>
      <c r="V1" s="15"/>
      <c r="W1" s="15"/>
      <c r="X1" s="15"/>
      <c r="Y1" s="59"/>
      <c r="Z1" s="59"/>
      <c r="AA1" s="59"/>
      <c r="AB1" s="59"/>
    </row>
    <row r="2" spans="1:28" s="17" customFormat="1" ht="16.5" customHeight="1" x14ac:dyDescent="0.2">
      <c r="A2" s="32" t="s">
        <v>45</v>
      </c>
      <c r="B2" s="33" t="s">
        <v>65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34"/>
      <c r="O2" s="134"/>
      <c r="P2" s="134"/>
      <c r="Q2" s="134"/>
      <c r="R2" s="134"/>
      <c r="S2" s="134"/>
      <c r="T2" s="134"/>
      <c r="U2" s="19"/>
      <c r="V2" s="19"/>
      <c r="W2" s="19"/>
      <c r="X2" s="19"/>
      <c r="Y2" s="58"/>
      <c r="Z2" s="58"/>
      <c r="AA2" s="58"/>
    </row>
    <row r="3" spans="1:28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134"/>
      <c r="N3" s="134"/>
      <c r="O3" s="134"/>
      <c r="P3" s="134"/>
      <c r="Q3" s="134"/>
      <c r="R3" s="134"/>
      <c r="S3" s="134"/>
      <c r="T3" s="134"/>
      <c r="U3" s="19"/>
      <c r="V3" s="19"/>
      <c r="W3" s="19"/>
      <c r="X3" s="19"/>
      <c r="Y3" s="58"/>
      <c r="Z3" s="58"/>
      <c r="AA3" s="58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58"/>
      <c r="Z4" s="58"/>
      <c r="AA4" s="58"/>
    </row>
    <row r="5" spans="1:28" s="17" customFormat="1" ht="23.45" customHeight="1" x14ac:dyDescent="0.2">
      <c r="A5" s="113" t="s">
        <v>8</v>
      </c>
      <c r="B5" s="113"/>
      <c r="C5" s="113"/>
      <c r="D5" s="135"/>
      <c r="E5" s="135"/>
      <c r="F5" s="136" t="s">
        <v>14</v>
      </c>
      <c r="G5" s="136"/>
      <c r="H5" s="135"/>
      <c r="I5" s="135"/>
      <c r="J5" s="135"/>
      <c r="K5" s="135"/>
      <c r="M5" s="26" t="s">
        <v>4</v>
      </c>
      <c r="N5" s="130">
        <v>45065</v>
      </c>
      <c r="O5" s="130"/>
      <c r="Q5" s="137" t="s">
        <v>3</v>
      </c>
      <c r="R5" s="138"/>
      <c r="S5" s="139" t="s">
        <v>721</v>
      </c>
      <c r="T5" s="140"/>
      <c r="Y5" s="58"/>
      <c r="Z5" s="58"/>
      <c r="AA5" s="58"/>
    </row>
    <row r="6" spans="1:28" s="17" customFormat="1" ht="24" customHeight="1" x14ac:dyDescent="0.2">
      <c r="A6" s="113" t="s">
        <v>1</v>
      </c>
      <c r="B6" s="113"/>
      <c r="C6" s="113"/>
      <c r="D6" s="114" t="s">
        <v>722</v>
      </c>
      <c r="E6" s="114"/>
      <c r="F6" s="114"/>
      <c r="G6" s="114"/>
      <c r="H6" s="114"/>
      <c r="I6" s="114"/>
      <c r="J6" s="114"/>
      <c r="K6" s="114"/>
      <c r="M6" s="26" t="s">
        <v>30</v>
      </c>
      <c r="N6" s="115" t="str">
        <f>IF(N5=0," ",CHOOSE(WEEKDAY(N5,2),"Понедельник","Вторник","Среда","Четверг","Пятница","Суббота","Воскресенье"))</f>
        <v>Пятница</v>
      </c>
      <c r="O6" s="115"/>
      <c r="Q6" s="116" t="s">
        <v>5</v>
      </c>
      <c r="R6" s="117"/>
      <c r="S6" s="118" t="s">
        <v>66</v>
      </c>
      <c r="T6" s="119"/>
      <c r="Y6" s="58"/>
      <c r="Z6" s="58"/>
      <c r="AA6" s="58"/>
    </row>
    <row r="7" spans="1:28" s="17" customFormat="1" ht="21.75" hidden="1" customHeight="1" x14ac:dyDescent="0.2">
      <c r="A7" s="62"/>
      <c r="B7" s="62"/>
      <c r="C7" s="62"/>
      <c r="D7" s="124" t="str">
        <f>IFERROR(VLOOKUP(DeliveryAddress,Table,3,0),1)</f>
        <v>1</v>
      </c>
      <c r="E7" s="125"/>
      <c r="F7" s="125"/>
      <c r="G7" s="125"/>
      <c r="H7" s="125"/>
      <c r="I7" s="125"/>
      <c r="J7" s="125"/>
      <c r="K7" s="126"/>
      <c r="M7" s="26"/>
      <c r="N7" s="47"/>
      <c r="O7" s="47"/>
      <c r="Q7" s="116"/>
      <c r="R7" s="117"/>
      <c r="S7" s="120"/>
      <c r="T7" s="121"/>
      <c r="Y7" s="58"/>
      <c r="Z7" s="58"/>
      <c r="AA7" s="58"/>
    </row>
    <row r="8" spans="1:28" s="17" customFormat="1" ht="25.5" customHeight="1" x14ac:dyDescent="0.2">
      <c r="A8" s="127" t="s">
        <v>60</v>
      </c>
      <c r="B8" s="127"/>
      <c r="C8" s="127"/>
      <c r="D8" s="128"/>
      <c r="E8" s="128"/>
      <c r="F8" s="128"/>
      <c r="G8" s="128"/>
      <c r="H8" s="128"/>
      <c r="I8" s="128"/>
      <c r="J8" s="128"/>
      <c r="K8" s="128"/>
      <c r="M8" s="26" t="s">
        <v>11</v>
      </c>
      <c r="N8" s="108">
        <v>0.33333333333333331</v>
      </c>
      <c r="O8" s="108"/>
      <c r="Q8" s="116"/>
      <c r="R8" s="117"/>
      <c r="S8" s="120"/>
      <c r="T8" s="121"/>
      <c r="Y8" s="58"/>
      <c r="Z8" s="58"/>
      <c r="AA8" s="58"/>
    </row>
    <row r="9" spans="1:28" s="17" customFormat="1" ht="39.950000000000003" customHeight="1" x14ac:dyDescent="0.2">
      <c r="A9" s="1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4"/>
      <c r="C9" s="104"/>
      <c r="D9" s="105" t="s">
        <v>48</v>
      </c>
      <c r="E9" s="106"/>
      <c r="F9" s="1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4"/>
      <c r="H9" s="129" t="str">
        <f>IF(AND($A$9="Тип доверенности/получателя при получении в адресе перегруза:",$D$9="Разовая доверенность"),"Введите ФИО","")</f>
        <v/>
      </c>
      <c r="I9" s="129"/>
      <c r="J9" s="1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9"/>
      <c r="M9" s="29" t="s">
        <v>15</v>
      </c>
      <c r="N9" s="130"/>
      <c r="O9" s="130"/>
      <c r="Q9" s="116"/>
      <c r="R9" s="117"/>
      <c r="S9" s="122"/>
      <c r="T9" s="123"/>
      <c r="U9" s="48"/>
      <c r="V9" s="48"/>
      <c r="W9" s="48"/>
      <c r="X9" s="48"/>
      <c r="Y9" s="58"/>
      <c r="Z9" s="58"/>
      <c r="AA9" s="58"/>
    </row>
    <row r="10" spans="1:28" s="17" customFormat="1" ht="26.45" customHeight="1" x14ac:dyDescent="0.2">
      <c r="A10" s="1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4"/>
      <c r="C10" s="104"/>
      <c r="D10" s="105"/>
      <c r="E10" s="106"/>
      <c r="F10" s="1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4"/>
      <c r="H10" s="107" t="str">
        <f>IFERROR(VLOOKUP($D$10,Proxy,2,FALSE),"")</f>
        <v/>
      </c>
      <c r="I10" s="107"/>
      <c r="J10" s="107"/>
      <c r="K10" s="107"/>
      <c r="M10" s="29" t="s">
        <v>35</v>
      </c>
      <c r="N10" s="108"/>
      <c r="O10" s="108"/>
      <c r="R10" s="26" t="s">
        <v>12</v>
      </c>
      <c r="S10" s="109" t="s">
        <v>67</v>
      </c>
      <c r="T10" s="110"/>
      <c r="U10" s="49"/>
      <c r="V10" s="49"/>
      <c r="W10" s="49"/>
      <c r="X10" s="49"/>
      <c r="Y10" s="58"/>
      <c r="Z10" s="58"/>
      <c r="AA10" s="58"/>
    </row>
    <row r="11" spans="1:28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M11" s="29" t="s">
        <v>32</v>
      </c>
      <c r="N11" s="108"/>
      <c r="O11" s="108"/>
      <c r="R11" s="26" t="s">
        <v>31</v>
      </c>
      <c r="S11" s="99" t="s">
        <v>57</v>
      </c>
      <c r="T11" s="99"/>
      <c r="U11" s="50"/>
      <c r="V11" s="50"/>
      <c r="W11" s="50"/>
      <c r="X11" s="50"/>
      <c r="Y11" s="58"/>
      <c r="Z11" s="58"/>
      <c r="AA11" s="58"/>
    </row>
    <row r="12" spans="1:28" s="17" customFormat="1" ht="18.600000000000001" customHeight="1" x14ac:dyDescent="0.2">
      <c r="A12" s="98" t="s">
        <v>68</v>
      </c>
      <c r="B12" s="98"/>
      <c r="C12" s="98"/>
      <c r="D12" s="98"/>
      <c r="E12" s="98"/>
      <c r="F12" s="98"/>
      <c r="G12" s="98"/>
      <c r="H12" s="98"/>
      <c r="I12" s="98"/>
      <c r="J12" s="98"/>
      <c r="K12" s="98"/>
      <c r="M12" s="26" t="s">
        <v>33</v>
      </c>
      <c r="N12" s="111"/>
      <c r="O12" s="111"/>
      <c r="P12" s="27"/>
      <c r="Q12"/>
      <c r="R12" s="26" t="s">
        <v>48</v>
      </c>
      <c r="S12" s="112"/>
      <c r="T12" s="112"/>
      <c r="U12"/>
      <c r="Y12" s="58"/>
      <c r="Z12" s="58"/>
      <c r="AA12" s="58"/>
    </row>
    <row r="13" spans="1:28" s="17" customFormat="1" ht="23.25" customHeight="1" x14ac:dyDescent="0.2">
      <c r="A13" s="98" t="s">
        <v>69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29"/>
      <c r="M13" s="29" t="s">
        <v>34</v>
      </c>
      <c r="N13" s="99"/>
      <c r="O13" s="99"/>
      <c r="P13" s="27"/>
      <c r="Q13"/>
      <c r="R13"/>
      <c r="S13"/>
      <c r="T13"/>
      <c r="U13" s="55"/>
      <c r="V13" s="55"/>
      <c r="W13" s="55"/>
      <c r="X13" s="55"/>
      <c r="Y13" s="58"/>
      <c r="Z13" s="58"/>
      <c r="AA13" s="58"/>
    </row>
    <row r="14" spans="1:28" s="17" customFormat="1" ht="18.600000000000001" customHeight="1" x14ac:dyDescent="0.2">
      <c r="A14" s="98" t="s">
        <v>70</v>
      </c>
      <c r="B14" s="98"/>
      <c r="C14" s="98"/>
      <c r="D14" s="98"/>
      <c r="E14" s="98"/>
      <c r="F14" s="98"/>
      <c r="G14" s="98"/>
      <c r="H14" s="98"/>
      <c r="I14" s="98"/>
      <c r="J14" s="98"/>
      <c r="K14" s="98"/>
      <c r="L14"/>
      <c r="M14"/>
      <c r="N14"/>
      <c r="O14"/>
      <c r="P14"/>
      <c r="Q14"/>
      <c r="R14"/>
      <c r="S14"/>
      <c r="T14"/>
      <c r="U14" s="56"/>
      <c r="V14" s="56"/>
      <c r="W14" s="56"/>
      <c r="X14" s="56"/>
      <c r="Y14" s="58"/>
      <c r="Z14" s="58"/>
      <c r="AA14" s="58"/>
    </row>
    <row r="15" spans="1:28" s="17" customFormat="1" ht="22.5" customHeight="1" x14ac:dyDescent="0.2">
      <c r="A15" s="100" t="s">
        <v>71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/>
      <c r="M15"/>
      <c r="N15"/>
      <c r="O15"/>
      <c r="P15"/>
      <c r="Q15"/>
      <c r="R15"/>
      <c r="S15"/>
      <c r="T15"/>
      <c r="Y15" s="58"/>
      <c r="Z15" s="58"/>
      <c r="AA15" s="58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88" t="s">
        <v>61</v>
      </c>
      <c r="B17" s="88" t="s">
        <v>51</v>
      </c>
      <c r="C17" s="88" t="s">
        <v>50</v>
      </c>
      <c r="D17" s="88" t="s">
        <v>52</v>
      </c>
      <c r="E17" s="88"/>
      <c r="F17" s="88" t="s">
        <v>24</v>
      </c>
      <c r="G17" s="88" t="s">
        <v>27</v>
      </c>
      <c r="H17" s="88" t="s">
        <v>25</v>
      </c>
      <c r="I17" s="88" t="s">
        <v>26</v>
      </c>
      <c r="J17" s="102" t="s">
        <v>16</v>
      </c>
      <c r="K17" s="102" t="s">
        <v>2</v>
      </c>
      <c r="L17" s="88" t="s">
        <v>28</v>
      </c>
      <c r="M17" s="88" t="s">
        <v>17</v>
      </c>
      <c r="N17" s="88"/>
      <c r="O17" s="88"/>
      <c r="P17" s="88"/>
      <c r="Q17" s="88"/>
      <c r="R17" s="101" t="s">
        <v>58</v>
      </c>
      <c r="S17" s="88"/>
      <c r="T17" s="88" t="s">
        <v>6</v>
      </c>
      <c r="U17" s="88" t="s">
        <v>44</v>
      </c>
      <c r="V17" s="89" t="s">
        <v>56</v>
      </c>
      <c r="W17" s="88" t="s">
        <v>18</v>
      </c>
      <c r="X17" s="91" t="s">
        <v>62</v>
      </c>
      <c r="Y17" s="91" t="s">
        <v>19</v>
      </c>
      <c r="Z17" s="92" t="s">
        <v>59</v>
      </c>
      <c r="AA17" s="93"/>
      <c r="AB17" s="94"/>
    </row>
    <row r="18" spans="1:28" ht="14.25" customHeight="1" x14ac:dyDescent="0.2">
      <c r="A18" s="88"/>
      <c r="B18" s="88"/>
      <c r="C18" s="88"/>
      <c r="D18" s="88"/>
      <c r="E18" s="88"/>
      <c r="F18" s="88" t="s">
        <v>20</v>
      </c>
      <c r="G18" s="88" t="s">
        <v>21</v>
      </c>
      <c r="H18" s="88" t="s">
        <v>22</v>
      </c>
      <c r="I18" s="88" t="s">
        <v>22</v>
      </c>
      <c r="J18" s="103"/>
      <c r="K18" s="103"/>
      <c r="L18" s="88"/>
      <c r="M18" s="88"/>
      <c r="N18" s="88"/>
      <c r="O18" s="88"/>
      <c r="P18" s="88"/>
      <c r="Q18" s="88"/>
      <c r="R18" s="34" t="s">
        <v>47</v>
      </c>
      <c r="S18" s="34" t="s">
        <v>46</v>
      </c>
      <c r="T18" s="88"/>
      <c r="U18" s="88"/>
      <c r="V18" s="90"/>
      <c r="W18" s="88"/>
      <c r="X18" s="91"/>
      <c r="Y18" s="91"/>
      <c r="Z18" s="95"/>
      <c r="AA18" s="96"/>
      <c r="AB18" s="97"/>
    </row>
    <row r="19" spans="1:28" ht="27.75" customHeight="1" x14ac:dyDescent="0.2">
      <c r="A19" s="86" t="s">
        <v>72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53"/>
      <c r="Y19" s="53"/>
    </row>
    <row r="20" spans="1:28" ht="16.5" customHeight="1" x14ac:dyDescent="0.25">
      <c r="A20" s="87" t="s">
        <v>72</v>
      </c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63"/>
      <c r="Y20" s="63"/>
    </row>
    <row r="21" spans="1:28" ht="14.25" customHeight="1" x14ac:dyDescent="0.25">
      <c r="A21" s="77" t="s">
        <v>73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64"/>
      <c r="Y21" s="64"/>
    </row>
    <row r="22" spans="1:28" ht="27" customHeight="1" x14ac:dyDescent="0.25">
      <c r="A22" s="61" t="s">
        <v>74</v>
      </c>
      <c r="B22" s="61" t="s">
        <v>75</v>
      </c>
      <c r="C22" s="35">
        <v>4301031106</v>
      </c>
      <c r="D22" s="78">
        <v>4607091389258</v>
      </c>
      <c r="E22" s="78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7" t="s">
        <v>77</v>
      </c>
      <c r="L22" s="36">
        <v>35</v>
      </c>
      <c r="M22" s="79" t="s">
        <v>76</v>
      </c>
      <c r="N22" s="80"/>
      <c r="O22" s="80"/>
      <c r="P22" s="80"/>
      <c r="Q22" s="81"/>
      <c r="R22" s="38" t="s">
        <v>48</v>
      </c>
      <c r="S22" s="38" t="s">
        <v>48</v>
      </c>
      <c r="T22" s="39" t="s">
        <v>0</v>
      </c>
      <c r="U22" s="57">
        <v>0</v>
      </c>
      <c r="V22" s="54">
        <f>IFERROR(IF(U22="",0,CEILING((U22/$H22),1)*$H22),"")</f>
        <v>0</v>
      </c>
      <c r="W22" s="40" t="str">
        <f>IFERROR(IF(V22=0,"",ROUNDUP(V22/H22,0)*0.00753),"")</f>
        <v/>
      </c>
      <c r="X22" s="66" t="s">
        <v>48</v>
      </c>
      <c r="Y22" s="67" t="s">
        <v>48</v>
      </c>
    </row>
    <row r="23" spans="1:28" x14ac:dyDescent="0.2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85"/>
      <c r="M23" s="82" t="s">
        <v>43</v>
      </c>
      <c r="N23" s="83"/>
      <c r="O23" s="83"/>
      <c r="P23" s="83"/>
      <c r="Q23" s="83"/>
      <c r="R23" s="83"/>
      <c r="S23" s="84"/>
      <c r="T23" s="41" t="s">
        <v>42</v>
      </c>
      <c r="U23" s="42">
        <f>IFERROR(U22/H22,"0")</f>
        <v>0</v>
      </c>
      <c r="V23" s="42">
        <f>IFERROR(V22/H22,"0")</f>
        <v>0</v>
      </c>
      <c r="W23" s="42">
        <f>IFERROR(IF(W22="",0,W22),"0")</f>
        <v>0</v>
      </c>
      <c r="X23" s="65"/>
      <c r="Y23" s="65"/>
    </row>
    <row r="24" spans="1:28" x14ac:dyDescent="0.2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85"/>
      <c r="M24" s="82" t="s">
        <v>43</v>
      </c>
      <c r="N24" s="83"/>
      <c r="O24" s="83"/>
      <c r="P24" s="83"/>
      <c r="Q24" s="83"/>
      <c r="R24" s="83"/>
      <c r="S24" s="84"/>
      <c r="T24" s="41" t="s">
        <v>0</v>
      </c>
      <c r="U24" s="42">
        <f>IFERROR(SUM(U22:U22),"0")</f>
        <v>0</v>
      </c>
      <c r="V24" s="42">
        <f>IFERROR(SUM(V22:V22),"0")</f>
        <v>0</v>
      </c>
      <c r="W24" s="41"/>
      <c r="X24" s="65"/>
      <c r="Y24" s="65"/>
    </row>
    <row r="25" spans="1:28" ht="14.25" customHeight="1" x14ac:dyDescent="0.25">
      <c r="A25" s="77" t="s">
        <v>78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64"/>
      <c r="Y25" s="64"/>
    </row>
    <row r="26" spans="1:28" ht="27" customHeight="1" x14ac:dyDescent="0.25">
      <c r="A26" s="61" t="s">
        <v>79</v>
      </c>
      <c r="B26" s="61" t="s">
        <v>80</v>
      </c>
      <c r="C26" s="35">
        <v>4301051176</v>
      </c>
      <c r="D26" s="78">
        <v>4607091383881</v>
      </c>
      <c r="E26" s="78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7" t="s">
        <v>77</v>
      </c>
      <c r="L26" s="36">
        <v>35</v>
      </c>
      <c r="M26" s="79" t="s">
        <v>81</v>
      </c>
      <c r="N26" s="80"/>
      <c r="O26" s="80"/>
      <c r="P26" s="80"/>
      <c r="Q26" s="81"/>
      <c r="R26" s="38" t="s">
        <v>48</v>
      </c>
      <c r="S26" s="38" t="s">
        <v>48</v>
      </c>
      <c r="T26" s="39" t="s">
        <v>0</v>
      </c>
      <c r="U26" s="57">
        <v>0</v>
      </c>
      <c r="V26" s="54">
        <f t="shared" ref="V26:V31" si="0">IFERROR(IF(U26="",0,CEILING((U26/$H26),1)*$H26),"")</f>
        <v>0</v>
      </c>
      <c r="W26" s="40" t="str">
        <f t="shared" ref="W26:W31" si="1">IFERROR(IF(V26=0,"",ROUNDUP(V26/H26,0)*0.00753),"")</f>
        <v/>
      </c>
      <c r="X26" s="66" t="s">
        <v>48</v>
      </c>
      <c r="Y26" s="67" t="s">
        <v>48</v>
      </c>
    </row>
    <row r="27" spans="1:28" ht="27" customHeight="1" x14ac:dyDescent="0.25">
      <c r="A27" s="61" t="s">
        <v>82</v>
      </c>
      <c r="B27" s="61" t="s">
        <v>83</v>
      </c>
      <c r="C27" s="35">
        <v>4301051172</v>
      </c>
      <c r="D27" s="78">
        <v>4607091388237</v>
      </c>
      <c r="E27" s="78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7" t="s">
        <v>77</v>
      </c>
      <c r="L27" s="36">
        <v>35</v>
      </c>
      <c r="M27" s="79" t="s">
        <v>84</v>
      </c>
      <c r="N27" s="80"/>
      <c r="O27" s="80"/>
      <c r="P27" s="80"/>
      <c r="Q27" s="81"/>
      <c r="R27" s="38" t="s">
        <v>48</v>
      </c>
      <c r="S27" s="38" t="s">
        <v>48</v>
      </c>
      <c r="T27" s="39" t="s">
        <v>0</v>
      </c>
      <c r="U27" s="57">
        <v>0</v>
      </c>
      <c r="V27" s="54">
        <f t="shared" si="0"/>
        <v>0</v>
      </c>
      <c r="W27" s="40" t="str">
        <f t="shared" si="1"/>
        <v/>
      </c>
      <c r="X27" s="66" t="s">
        <v>48</v>
      </c>
      <c r="Y27" s="67" t="s">
        <v>48</v>
      </c>
    </row>
    <row r="28" spans="1:28" ht="27" customHeight="1" x14ac:dyDescent="0.25">
      <c r="A28" s="61" t="s">
        <v>85</v>
      </c>
      <c r="B28" s="61" t="s">
        <v>86</v>
      </c>
      <c r="C28" s="35">
        <v>4301051180</v>
      </c>
      <c r="D28" s="78">
        <v>4607091383935</v>
      </c>
      <c r="E28" s="78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7" t="s">
        <v>77</v>
      </c>
      <c r="L28" s="36">
        <v>30</v>
      </c>
      <c r="M28" s="79" t="s">
        <v>87</v>
      </c>
      <c r="N28" s="80"/>
      <c r="O28" s="80"/>
      <c r="P28" s="80"/>
      <c r="Q28" s="81"/>
      <c r="R28" s="38" t="s">
        <v>48</v>
      </c>
      <c r="S28" s="38" t="s">
        <v>48</v>
      </c>
      <c r="T28" s="39" t="s">
        <v>0</v>
      </c>
      <c r="U28" s="57">
        <v>0</v>
      </c>
      <c r="V28" s="54">
        <f t="shared" si="0"/>
        <v>0</v>
      </c>
      <c r="W28" s="40" t="str">
        <f t="shared" si="1"/>
        <v/>
      </c>
      <c r="X28" s="66" t="s">
        <v>48</v>
      </c>
      <c r="Y28" s="67" t="s">
        <v>48</v>
      </c>
    </row>
    <row r="29" spans="1:28" ht="27" customHeight="1" x14ac:dyDescent="0.25">
      <c r="A29" s="61" t="s">
        <v>88</v>
      </c>
      <c r="B29" s="61" t="s">
        <v>89</v>
      </c>
      <c r="C29" s="35">
        <v>4301051426</v>
      </c>
      <c r="D29" s="78">
        <v>4680115881853</v>
      </c>
      <c r="E29" s="78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7" t="s">
        <v>77</v>
      </c>
      <c r="L29" s="36">
        <v>30</v>
      </c>
      <c r="M29" s="79" t="s">
        <v>90</v>
      </c>
      <c r="N29" s="80"/>
      <c r="O29" s="80"/>
      <c r="P29" s="80"/>
      <c r="Q29" s="81"/>
      <c r="R29" s="38" t="s">
        <v>48</v>
      </c>
      <c r="S29" s="38" t="s">
        <v>48</v>
      </c>
      <c r="T29" s="39" t="s">
        <v>0</v>
      </c>
      <c r="U29" s="57">
        <v>0</v>
      </c>
      <c r="V29" s="54">
        <f t="shared" si="0"/>
        <v>0</v>
      </c>
      <c r="W29" s="40" t="str">
        <f t="shared" si="1"/>
        <v/>
      </c>
      <c r="X29" s="66" t="s">
        <v>48</v>
      </c>
      <c r="Y29" s="67" t="s">
        <v>48</v>
      </c>
    </row>
    <row r="30" spans="1:28" ht="27" customHeight="1" x14ac:dyDescent="0.25">
      <c r="A30" s="61" t="s">
        <v>91</v>
      </c>
      <c r="B30" s="61" t="s">
        <v>92</v>
      </c>
      <c r="C30" s="35">
        <v>4301051178</v>
      </c>
      <c r="D30" s="78">
        <v>4607091383911</v>
      </c>
      <c r="E30" s="78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7" t="s">
        <v>77</v>
      </c>
      <c r="L30" s="36">
        <v>35</v>
      </c>
      <c r="M30" s="79" t="s">
        <v>93</v>
      </c>
      <c r="N30" s="80"/>
      <c r="O30" s="80"/>
      <c r="P30" s="80"/>
      <c r="Q30" s="81"/>
      <c r="R30" s="38" t="s">
        <v>48</v>
      </c>
      <c r="S30" s="38" t="s">
        <v>48</v>
      </c>
      <c r="T30" s="39" t="s">
        <v>0</v>
      </c>
      <c r="U30" s="57">
        <v>0</v>
      </c>
      <c r="V30" s="54">
        <f t="shared" si="0"/>
        <v>0</v>
      </c>
      <c r="W30" s="40" t="str">
        <f t="shared" si="1"/>
        <v/>
      </c>
      <c r="X30" s="66" t="s">
        <v>48</v>
      </c>
      <c r="Y30" s="67" t="s">
        <v>48</v>
      </c>
    </row>
    <row r="31" spans="1:28" ht="27" customHeight="1" x14ac:dyDescent="0.25">
      <c r="A31" s="61" t="s">
        <v>94</v>
      </c>
      <c r="B31" s="61" t="s">
        <v>95</v>
      </c>
      <c r="C31" s="35">
        <v>4301051174</v>
      </c>
      <c r="D31" s="78">
        <v>4607091388244</v>
      </c>
      <c r="E31" s="78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7" t="s">
        <v>77</v>
      </c>
      <c r="L31" s="36">
        <v>35</v>
      </c>
      <c r="M31" s="79" t="s">
        <v>96</v>
      </c>
      <c r="N31" s="80"/>
      <c r="O31" s="80"/>
      <c r="P31" s="80"/>
      <c r="Q31" s="81"/>
      <c r="R31" s="38" t="s">
        <v>48</v>
      </c>
      <c r="S31" s="38" t="s">
        <v>48</v>
      </c>
      <c r="T31" s="39" t="s">
        <v>0</v>
      </c>
      <c r="U31" s="57">
        <v>0</v>
      </c>
      <c r="V31" s="54">
        <f t="shared" si="0"/>
        <v>0</v>
      </c>
      <c r="W31" s="40" t="str">
        <f t="shared" si="1"/>
        <v/>
      </c>
      <c r="X31" s="66" t="s">
        <v>48</v>
      </c>
      <c r="Y31" s="67" t="s">
        <v>48</v>
      </c>
    </row>
    <row r="32" spans="1:28" x14ac:dyDescent="0.2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85"/>
      <c r="M32" s="82" t="s">
        <v>43</v>
      </c>
      <c r="N32" s="83"/>
      <c r="O32" s="83"/>
      <c r="P32" s="83"/>
      <c r="Q32" s="83"/>
      <c r="R32" s="83"/>
      <c r="S32" s="84"/>
      <c r="T32" s="41" t="s">
        <v>42</v>
      </c>
      <c r="U32" s="42">
        <f>IFERROR(U26/H26,"0")+IFERROR(U27/H27,"0")+IFERROR(U28/H28,"0")+IFERROR(U29/H29,"0")+IFERROR(U30/H30,"0")+IFERROR(U31/H31,"0")</f>
        <v>0</v>
      </c>
      <c r="V32" s="42">
        <f>IFERROR(V26/H26,"0")+IFERROR(V27/H27,"0")+IFERROR(V28/H28,"0")+IFERROR(V29/H29,"0")+IFERROR(V30/H30,"0")+IFERROR(V31/H31,"0")</f>
        <v>0</v>
      </c>
      <c r="W32" s="42">
        <f>IFERROR(IF(W26="",0,W26),"0")+IFERROR(IF(W27="",0,W27),"0")+IFERROR(IF(W28="",0,W28),"0")+IFERROR(IF(W29="",0,W29),"0")+IFERROR(IF(W30="",0,W30),"0")+IFERROR(IF(W31="",0,W31),"0")</f>
        <v>0</v>
      </c>
      <c r="X32" s="65"/>
      <c r="Y32" s="65"/>
    </row>
    <row r="33" spans="1:25" x14ac:dyDescent="0.2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85"/>
      <c r="M33" s="82" t="s">
        <v>43</v>
      </c>
      <c r="N33" s="83"/>
      <c r="O33" s="83"/>
      <c r="P33" s="83"/>
      <c r="Q33" s="83"/>
      <c r="R33" s="83"/>
      <c r="S33" s="84"/>
      <c r="T33" s="41" t="s">
        <v>0</v>
      </c>
      <c r="U33" s="42">
        <f>IFERROR(SUM(U26:U31),"0")</f>
        <v>0</v>
      </c>
      <c r="V33" s="42">
        <f>IFERROR(SUM(V26:V31),"0")</f>
        <v>0</v>
      </c>
      <c r="W33" s="41"/>
      <c r="X33" s="65"/>
      <c r="Y33" s="65"/>
    </row>
    <row r="34" spans="1:25" ht="14.25" customHeight="1" x14ac:dyDescent="0.25">
      <c r="A34" s="77" t="s">
        <v>97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64"/>
      <c r="Y34" s="64"/>
    </row>
    <row r="35" spans="1:25" ht="27" customHeight="1" x14ac:dyDescent="0.25">
      <c r="A35" s="61" t="s">
        <v>98</v>
      </c>
      <c r="B35" s="61" t="s">
        <v>99</v>
      </c>
      <c r="C35" s="35">
        <v>4301032013</v>
      </c>
      <c r="D35" s="78">
        <v>4607091388503</v>
      </c>
      <c r="E35" s="78"/>
      <c r="F35" s="60">
        <v>0.05</v>
      </c>
      <c r="G35" s="36">
        <v>12</v>
      </c>
      <c r="H35" s="60">
        <v>0.6</v>
      </c>
      <c r="I35" s="60">
        <v>0.84199999999999997</v>
      </c>
      <c r="J35" s="36">
        <v>156</v>
      </c>
      <c r="K35" s="37" t="s">
        <v>101</v>
      </c>
      <c r="L35" s="36">
        <v>120</v>
      </c>
      <c r="M35" s="79" t="s">
        <v>100</v>
      </c>
      <c r="N35" s="80"/>
      <c r="O35" s="80"/>
      <c r="P35" s="80"/>
      <c r="Q35" s="81"/>
      <c r="R35" s="38" t="s">
        <v>48</v>
      </c>
      <c r="S35" s="38" t="s">
        <v>48</v>
      </c>
      <c r="T35" s="39" t="s">
        <v>0</v>
      </c>
      <c r="U35" s="57">
        <v>0</v>
      </c>
      <c r="V35" s="54">
        <f>IFERROR(IF(U35="",0,CEILING((U35/$H35),1)*$H35),"")</f>
        <v>0</v>
      </c>
      <c r="W35" s="40" t="str">
        <f>IFERROR(IF(V35=0,"",ROUNDUP(V35/H35,0)*0.00753),"")</f>
        <v/>
      </c>
      <c r="X35" s="66" t="s">
        <v>48</v>
      </c>
      <c r="Y35" s="67" t="s">
        <v>48</v>
      </c>
    </row>
    <row r="36" spans="1:25" ht="27" customHeight="1" x14ac:dyDescent="0.25">
      <c r="A36" s="61" t="s">
        <v>102</v>
      </c>
      <c r="B36" s="61" t="s">
        <v>103</v>
      </c>
      <c r="C36" s="35">
        <v>4301032036</v>
      </c>
      <c r="D36" s="78">
        <v>4680115880139</v>
      </c>
      <c r="E36" s="78"/>
      <c r="F36" s="60">
        <v>2.5000000000000001E-2</v>
      </c>
      <c r="G36" s="36">
        <v>10</v>
      </c>
      <c r="H36" s="60">
        <v>0.25</v>
      </c>
      <c r="I36" s="60">
        <v>0.41</v>
      </c>
      <c r="J36" s="36">
        <v>234</v>
      </c>
      <c r="K36" s="37" t="s">
        <v>105</v>
      </c>
      <c r="L36" s="36">
        <v>120</v>
      </c>
      <c r="M36" s="79" t="s">
        <v>104</v>
      </c>
      <c r="N36" s="80"/>
      <c r="O36" s="80"/>
      <c r="P36" s="80"/>
      <c r="Q36" s="81"/>
      <c r="R36" s="38" t="s">
        <v>48</v>
      </c>
      <c r="S36" s="38" t="s">
        <v>48</v>
      </c>
      <c r="T36" s="39" t="s">
        <v>0</v>
      </c>
      <c r="U36" s="57">
        <v>0</v>
      </c>
      <c r="V36" s="54">
        <f>IFERROR(IF(U36="",0,CEILING((U36/$H36),1)*$H36),"")</f>
        <v>0</v>
      </c>
      <c r="W36" s="40" t="str">
        <f>IFERROR(IF(V36=0,"",ROUNDUP(V36/H36,0)*0.00502),"")</f>
        <v/>
      </c>
      <c r="X36" s="66" t="s">
        <v>48</v>
      </c>
      <c r="Y36" s="67" t="s">
        <v>48</v>
      </c>
    </row>
    <row r="37" spans="1:25" x14ac:dyDescent="0.2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85"/>
      <c r="M37" s="82" t="s">
        <v>43</v>
      </c>
      <c r="N37" s="83"/>
      <c r="O37" s="83"/>
      <c r="P37" s="83"/>
      <c r="Q37" s="83"/>
      <c r="R37" s="83"/>
      <c r="S37" s="84"/>
      <c r="T37" s="41" t="s">
        <v>42</v>
      </c>
      <c r="U37" s="42">
        <f>IFERROR(U35/H35,"0")+IFERROR(U36/H36,"0")</f>
        <v>0</v>
      </c>
      <c r="V37" s="42">
        <f>IFERROR(V35/H35,"0")+IFERROR(V36/H36,"0")</f>
        <v>0</v>
      </c>
      <c r="W37" s="42">
        <f>IFERROR(IF(W35="",0,W35),"0")+IFERROR(IF(W36="",0,W36),"0")</f>
        <v>0</v>
      </c>
      <c r="X37" s="65"/>
      <c r="Y37" s="65"/>
    </row>
    <row r="38" spans="1:25" x14ac:dyDescent="0.2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85"/>
      <c r="M38" s="82" t="s">
        <v>43</v>
      </c>
      <c r="N38" s="83"/>
      <c r="O38" s="83"/>
      <c r="P38" s="83"/>
      <c r="Q38" s="83"/>
      <c r="R38" s="83"/>
      <c r="S38" s="84"/>
      <c r="T38" s="41" t="s">
        <v>0</v>
      </c>
      <c r="U38" s="42">
        <f>IFERROR(SUM(U35:U36),"0")</f>
        <v>0</v>
      </c>
      <c r="V38" s="42">
        <f>IFERROR(SUM(V35:V36),"0")</f>
        <v>0</v>
      </c>
      <c r="W38" s="41"/>
      <c r="X38" s="65"/>
      <c r="Y38" s="65"/>
    </row>
    <row r="39" spans="1:25" ht="14.25" customHeight="1" x14ac:dyDescent="0.25">
      <c r="A39" s="77" t="s">
        <v>106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64"/>
      <c r="Y39" s="64"/>
    </row>
    <row r="40" spans="1:25" ht="69" customHeight="1" x14ac:dyDescent="0.25">
      <c r="A40" s="61" t="s">
        <v>107</v>
      </c>
      <c r="B40" s="61" t="s">
        <v>108</v>
      </c>
      <c r="C40" s="35">
        <v>4301160001</v>
      </c>
      <c r="D40" s="78">
        <v>4607091388282</v>
      </c>
      <c r="E40" s="78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7" t="s">
        <v>101</v>
      </c>
      <c r="L40" s="36">
        <v>30</v>
      </c>
      <c r="M40" s="79" t="s">
        <v>109</v>
      </c>
      <c r="N40" s="80"/>
      <c r="O40" s="80"/>
      <c r="P40" s="80"/>
      <c r="Q40" s="81"/>
      <c r="R40" s="38" t="s">
        <v>48</v>
      </c>
      <c r="S40" s="38" t="s">
        <v>48</v>
      </c>
      <c r="T40" s="39" t="s">
        <v>0</v>
      </c>
      <c r="U40" s="57">
        <v>0</v>
      </c>
      <c r="V40" s="54">
        <f>IFERROR(IF(U40="",0,CEILING((U40/$H40),1)*$H40),"")</f>
        <v>0</v>
      </c>
      <c r="W40" s="40" t="str">
        <f>IFERROR(IF(V40=0,"",ROUNDUP(V40/H40,0)*0.00753),"")</f>
        <v/>
      </c>
      <c r="X40" s="66" t="s">
        <v>110</v>
      </c>
      <c r="Y40" s="67" t="s">
        <v>48</v>
      </c>
    </row>
    <row r="41" spans="1:25" x14ac:dyDescent="0.2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85"/>
      <c r="M41" s="82" t="s">
        <v>43</v>
      </c>
      <c r="N41" s="83"/>
      <c r="O41" s="83"/>
      <c r="P41" s="83"/>
      <c r="Q41" s="83"/>
      <c r="R41" s="83"/>
      <c r="S41" s="84"/>
      <c r="T41" s="41" t="s">
        <v>42</v>
      </c>
      <c r="U41" s="42">
        <f>IFERROR(U40/H40,"0")</f>
        <v>0</v>
      </c>
      <c r="V41" s="42">
        <f>IFERROR(V40/H40,"0")</f>
        <v>0</v>
      </c>
      <c r="W41" s="42">
        <f>IFERROR(IF(W40="",0,W40),"0")</f>
        <v>0</v>
      </c>
      <c r="X41" s="65"/>
      <c r="Y41" s="65"/>
    </row>
    <row r="42" spans="1:25" x14ac:dyDescent="0.2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85"/>
      <c r="M42" s="82" t="s">
        <v>43</v>
      </c>
      <c r="N42" s="83"/>
      <c r="O42" s="83"/>
      <c r="P42" s="83"/>
      <c r="Q42" s="83"/>
      <c r="R42" s="83"/>
      <c r="S42" s="84"/>
      <c r="T42" s="41" t="s">
        <v>0</v>
      </c>
      <c r="U42" s="42">
        <f>IFERROR(SUM(U40:U40),"0")</f>
        <v>0</v>
      </c>
      <c r="V42" s="42">
        <f>IFERROR(SUM(V40:V40),"0")</f>
        <v>0</v>
      </c>
      <c r="W42" s="41"/>
      <c r="X42" s="65"/>
      <c r="Y42" s="65"/>
    </row>
    <row r="43" spans="1:25" ht="14.25" customHeight="1" x14ac:dyDescent="0.25">
      <c r="A43" s="77" t="s">
        <v>111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64"/>
      <c r="Y43" s="64"/>
    </row>
    <row r="44" spans="1:25" ht="27" customHeight="1" x14ac:dyDescent="0.25">
      <c r="A44" s="61" t="s">
        <v>112</v>
      </c>
      <c r="B44" s="61" t="s">
        <v>113</v>
      </c>
      <c r="C44" s="35">
        <v>4301170002</v>
      </c>
      <c r="D44" s="78">
        <v>4607091389111</v>
      </c>
      <c r="E44" s="78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7" t="s">
        <v>101</v>
      </c>
      <c r="L44" s="36">
        <v>120</v>
      </c>
      <c r="M44" s="79" t="s">
        <v>114</v>
      </c>
      <c r="N44" s="80"/>
      <c r="O44" s="80"/>
      <c r="P44" s="80"/>
      <c r="Q44" s="81"/>
      <c r="R44" s="38" t="s">
        <v>48</v>
      </c>
      <c r="S44" s="38" t="s">
        <v>48</v>
      </c>
      <c r="T44" s="39" t="s">
        <v>0</v>
      </c>
      <c r="U44" s="57">
        <v>0</v>
      </c>
      <c r="V44" s="54">
        <f>IFERROR(IF(U44="",0,CEILING((U44/$H44),1)*$H44),"")</f>
        <v>0</v>
      </c>
      <c r="W44" s="40" t="str">
        <f>IFERROR(IF(V44=0,"",ROUNDUP(V44/H44,0)*0.00753),"")</f>
        <v/>
      </c>
      <c r="X44" s="66" t="s">
        <v>48</v>
      </c>
      <c r="Y44" s="67" t="s">
        <v>48</v>
      </c>
    </row>
    <row r="45" spans="1:25" x14ac:dyDescent="0.2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85"/>
      <c r="M45" s="82" t="s">
        <v>43</v>
      </c>
      <c r="N45" s="83"/>
      <c r="O45" s="83"/>
      <c r="P45" s="83"/>
      <c r="Q45" s="83"/>
      <c r="R45" s="83"/>
      <c r="S45" s="84"/>
      <c r="T45" s="41" t="s">
        <v>42</v>
      </c>
      <c r="U45" s="42">
        <f>IFERROR(U44/H44,"0")</f>
        <v>0</v>
      </c>
      <c r="V45" s="42">
        <f>IFERROR(V44/H44,"0")</f>
        <v>0</v>
      </c>
      <c r="W45" s="42">
        <f>IFERROR(IF(W44="",0,W44),"0")</f>
        <v>0</v>
      </c>
      <c r="X45" s="65"/>
      <c r="Y45" s="65"/>
    </row>
    <row r="46" spans="1:25" x14ac:dyDescent="0.2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85"/>
      <c r="M46" s="82" t="s">
        <v>43</v>
      </c>
      <c r="N46" s="83"/>
      <c r="O46" s="83"/>
      <c r="P46" s="83"/>
      <c r="Q46" s="83"/>
      <c r="R46" s="83"/>
      <c r="S46" s="84"/>
      <c r="T46" s="41" t="s">
        <v>0</v>
      </c>
      <c r="U46" s="42">
        <f>IFERROR(SUM(U44:U44),"0")</f>
        <v>0</v>
      </c>
      <c r="V46" s="42">
        <f>IFERROR(SUM(V44:V44),"0")</f>
        <v>0</v>
      </c>
      <c r="W46" s="41"/>
      <c r="X46" s="65"/>
      <c r="Y46" s="65"/>
    </row>
    <row r="47" spans="1:25" ht="27.75" customHeight="1" x14ac:dyDescent="0.2">
      <c r="A47" s="86" t="s">
        <v>115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53"/>
      <c r="Y47" s="53"/>
    </row>
    <row r="48" spans="1:25" ht="16.5" customHeight="1" x14ac:dyDescent="0.25">
      <c r="A48" s="87" t="s">
        <v>116</v>
      </c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63"/>
      <c r="Y48" s="63"/>
    </row>
    <row r="49" spans="1:25" ht="14.25" customHeight="1" x14ac:dyDescent="0.25">
      <c r="A49" s="77" t="s">
        <v>117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64"/>
      <c r="Y49" s="64"/>
    </row>
    <row r="50" spans="1:25" ht="27" customHeight="1" x14ac:dyDescent="0.25">
      <c r="A50" s="61" t="s">
        <v>118</v>
      </c>
      <c r="B50" s="61" t="s">
        <v>119</v>
      </c>
      <c r="C50" s="35">
        <v>4301020234</v>
      </c>
      <c r="D50" s="78">
        <v>4680115881440</v>
      </c>
      <c r="E50" s="78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7" t="s">
        <v>121</v>
      </c>
      <c r="L50" s="36">
        <v>50</v>
      </c>
      <c r="M50" s="79" t="s">
        <v>120</v>
      </c>
      <c r="N50" s="80"/>
      <c r="O50" s="80"/>
      <c r="P50" s="80"/>
      <c r="Q50" s="81"/>
      <c r="R50" s="38" t="s">
        <v>48</v>
      </c>
      <c r="S50" s="38" t="s">
        <v>48</v>
      </c>
      <c r="T50" s="39" t="s">
        <v>0</v>
      </c>
      <c r="U50" s="57">
        <v>250</v>
      </c>
      <c r="V50" s="54">
        <f>IFERROR(IF(U50="",0,CEILING((U50/$H50),1)*$H50),"")</f>
        <v>259.20000000000005</v>
      </c>
      <c r="W50" s="40">
        <f>IFERROR(IF(V50=0,"",ROUNDUP(V50/H50,0)*0.02175),"")</f>
        <v>0.52200000000000002</v>
      </c>
      <c r="X50" s="66" t="s">
        <v>48</v>
      </c>
      <c r="Y50" s="67" t="s">
        <v>48</v>
      </c>
    </row>
    <row r="51" spans="1:25" ht="27" customHeight="1" x14ac:dyDescent="0.25">
      <c r="A51" s="61" t="s">
        <v>122</v>
      </c>
      <c r="B51" s="61" t="s">
        <v>123</v>
      </c>
      <c r="C51" s="35">
        <v>4301020232</v>
      </c>
      <c r="D51" s="78">
        <v>4680115881433</v>
      </c>
      <c r="E51" s="78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7" t="s">
        <v>121</v>
      </c>
      <c r="L51" s="36">
        <v>50</v>
      </c>
      <c r="M51" s="79" t="s">
        <v>124</v>
      </c>
      <c r="N51" s="80"/>
      <c r="O51" s="80"/>
      <c r="P51" s="80"/>
      <c r="Q51" s="81"/>
      <c r="R51" s="38" t="s">
        <v>48</v>
      </c>
      <c r="S51" s="38" t="s">
        <v>48</v>
      </c>
      <c r="T51" s="39" t="s">
        <v>0</v>
      </c>
      <c r="U51" s="57">
        <v>180</v>
      </c>
      <c r="V51" s="54">
        <f>IFERROR(IF(U51="",0,CEILING((U51/$H51),1)*$H51),"")</f>
        <v>180.9</v>
      </c>
      <c r="W51" s="40">
        <f>IFERROR(IF(V51=0,"",ROUNDUP(V51/H51,0)*0.00753),"")</f>
        <v>0.50451000000000001</v>
      </c>
      <c r="X51" s="66" t="s">
        <v>48</v>
      </c>
      <c r="Y51" s="67" t="s">
        <v>48</v>
      </c>
    </row>
    <row r="52" spans="1:25" x14ac:dyDescent="0.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85"/>
      <c r="M52" s="82" t="s">
        <v>43</v>
      </c>
      <c r="N52" s="83"/>
      <c r="O52" s="83"/>
      <c r="P52" s="83"/>
      <c r="Q52" s="83"/>
      <c r="R52" s="83"/>
      <c r="S52" s="84"/>
      <c r="T52" s="41" t="s">
        <v>42</v>
      </c>
      <c r="U52" s="42">
        <f>IFERROR(U50/H50,"0")+IFERROR(U51/H51,"0")</f>
        <v>89.81481481481481</v>
      </c>
      <c r="V52" s="42">
        <f>IFERROR(V50/H50,"0")+IFERROR(V51/H51,"0")</f>
        <v>91</v>
      </c>
      <c r="W52" s="42">
        <f>IFERROR(IF(W50="",0,W50),"0")+IFERROR(IF(W51="",0,W51),"0")</f>
        <v>1.02651</v>
      </c>
      <c r="X52" s="65"/>
      <c r="Y52" s="65"/>
    </row>
    <row r="53" spans="1:25" x14ac:dyDescent="0.2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85"/>
      <c r="M53" s="82" t="s">
        <v>43</v>
      </c>
      <c r="N53" s="83"/>
      <c r="O53" s="83"/>
      <c r="P53" s="83"/>
      <c r="Q53" s="83"/>
      <c r="R53" s="83"/>
      <c r="S53" s="84"/>
      <c r="T53" s="41" t="s">
        <v>0</v>
      </c>
      <c r="U53" s="42">
        <f>IFERROR(SUM(U50:U51),"0")</f>
        <v>430</v>
      </c>
      <c r="V53" s="42">
        <f>IFERROR(SUM(V50:V51),"0")</f>
        <v>440.1</v>
      </c>
      <c r="W53" s="41"/>
      <c r="X53" s="65"/>
      <c r="Y53" s="65"/>
    </row>
    <row r="54" spans="1:25" ht="16.5" customHeight="1" x14ac:dyDescent="0.25">
      <c r="A54" s="87" t="s">
        <v>125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63"/>
      <c r="Y54" s="63"/>
    </row>
    <row r="55" spans="1:25" ht="14.25" customHeight="1" x14ac:dyDescent="0.25">
      <c r="A55" s="77" t="s">
        <v>126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64"/>
      <c r="Y55" s="64"/>
    </row>
    <row r="56" spans="1:25" ht="27" customHeight="1" x14ac:dyDescent="0.25">
      <c r="A56" s="61" t="s">
        <v>127</v>
      </c>
      <c r="B56" s="61" t="s">
        <v>128</v>
      </c>
      <c r="C56" s="35">
        <v>4301011437</v>
      </c>
      <c r="D56" s="78">
        <v>4680115881419</v>
      </c>
      <c r="E56" s="78"/>
      <c r="F56" s="60">
        <v>0.45</v>
      </c>
      <c r="G56" s="36">
        <v>10</v>
      </c>
      <c r="H56" s="60">
        <v>4.5</v>
      </c>
      <c r="I56" s="60">
        <v>4.74</v>
      </c>
      <c r="J56" s="36">
        <v>120</v>
      </c>
      <c r="K56" s="37" t="s">
        <v>121</v>
      </c>
      <c r="L56" s="36">
        <v>50</v>
      </c>
      <c r="M56" s="79" t="s">
        <v>129</v>
      </c>
      <c r="N56" s="80"/>
      <c r="O56" s="80"/>
      <c r="P56" s="80"/>
      <c r="Q56" s="81"/>
      <c r="R56" s="38" t="s">
        <v>48</v>
      </c>
      <c r="S56" s="38" t="s">
        <v>48</v>
      </c>
      <c r="T56" s="39" t="s">
        <v>0</v>
      </c>
      <c r="U56" s="57">
        <v>360</v>
      </c>
      <c r="V56" s="54">
        <f>IFERROR(IF(U56="",0,CEILING((U56/$H56),1)*$H56),"")</f>
        <v>360</v>
      </c>
      <c r="W56" s="40">
        <f>IFERROR(IF(V56=0,"",ROUNDUP(V56/H56,0)*0.00937),"")</f>
        <v>0.74960000000000004</v>
      </c>
      <c r="X56" s="66" t="s">
        <v>48</v>
      </c>
      <c r="Y56" s="67" t="s">
        <v>48</v>
      </c>
    </row>
    <row r="57" spans="1:25" ht="27" customHeight="1" x14ac:dyDescent="0.25">
      <c r="A57" s="61" t="s">
        <v>130</v>
      </c>
      <c r="B57" s="61" t="s">
        <v>131</v>
      </c>
      <c r="C57" s="35">
        <v>4301011458</v>
      </c>
      <c r="D57" s="78">
        <v>4680115881525</v>
      </c>
      <c r="E57" s="78"/>
      <c r="F57" s="60">
        <v>0.4</v>
      </c>
      <c r="G57" s="36">
        <v>10</v>
      </c>
      <c r="H57" s="60">
        <v>4</v>
      </c>
      <c r="I57" s="60">
        <v>4.24</v>
      </c>
      <c r="J57" s="36">
        <v>120</v>
      </c>
      <c r="K57" s="37" t="s">
        <v>121</v>
      </c>
      <c r="L57" s="36">
        <v>50</v>
      </c>
      <c r="M57" s="79" t="s">
        <v>132</v>
      </c>
      <c r="N57" s="80"/>
      <c r="O57" s="80"/>
      <c r="P57" s="80"/>
      <c r="Q57" s="81"/>
      <c r="R57" s="38" t="s">
        <v>48</v>
      </c>
      <c r="S57" s="38" t="s">
        <v>48</v>
      </c>
      <c r="T57" s="39" t="s">
        <v>0</v>
      </c>
      <c r="U57" s="57">
        <v>100</v>
      </c>
      <c r="V57" s="54">
        <f>IFERROR(IF(U57="",0,CEILING((U57/$H57),1)*$H57),"")</f>
        <v>100</v>
      </c>
      <c r="W57" s="40">
        <f>IFERROR(IF(V57=0,"",ROUNDUP(V57/H57,0)*0.00937),"")</f>
        <v>0.23424999999999999</v>
      </c>
      <c r="X57" s="66" t="s">
        <v>48</v>
      </c>
      <c r="Y57" s="67" t="s">
        <v>48</v>
      </c>
    </row>
    <row r="58" spans="1:25" x14ac:dyDescent="0.2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85"/>
      <c r="M58" s="82" t="s">
        <v>43</v>
      </c>
      <c r="N58" s="83"/>
      <c r="O58" s="83"/>
      <c r="P58" s="83"/>
      <c r="Q58" s="83"/>
      <c r="R58" s="83"/>
      <c r="S58" s="84"/>
      <c r="T58" s="41" t="s">
        <v>42</v>
      </c>
      <c r="U58" s="42">
        <f>IFERROR(U56/H56,"0")+IFERROR(U57/H57,"0")</f>
        <v>105</v>
      </c>
      <c r="V58" s="42">
        <f>IFERROR(V56/H56,"0")+IFERROR(V57/H57,"0")</f>
        <v>105</v>
      </c>
      <c r="W58" s="42">
        <f>IFERROR(IF(W56="",0,W56),"0")+IFERROR(IF(W57="",0,W57),"0")</f>
        <v>0.98385</v>
      </c>
      <c r="X58" s="65"/>
      <c r="Y58" s="65"/>
    </row>
    <row r="59" spans="1:25" x14ac:dyDescent="0.2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85"/>
      <c r="M59" s="82" t="s">
        <v>43</v>
      </c>
      <c r="N59" s="83"/>
      <c r="O59" s="83"/>
      <c r="P59" s="83"/>
      <c r="Q59" s="83"/>
      <c r="R59" s="83"/>
      <c r="S59" s="84"/>
      <c r="T59" s="41" t="s">
        <v>0</v>
      </c>
      <c r="U59" s="42">
        <f>IFERROR(SUM(U56:U57),"0")</f>
        <v>460</v>
      </c>
      <c r="V59" s="42">
        <f>IFERROR(SUM(V56:V57),"0")</f>
        <v>460</v>
      </c>
      <c r="W59" s="41"/>
      <c r="X59" s="65"/>
      <c r="Y59" s="65"/>
    </row>
    <row r="60" spans="1:25" ht="16.5" customHeight="1" x14ac:dyDescent="0.25">
      <c r="A60" s="87" t="s">
        <v>115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63"/>
      <c r="Y60" s="63"/>
    </row>
    <row r="61" spans="1:25" ht="14.25" customHeight="1" x14ac:dyDescent="0.25">
      <c r="A61" s="77" t="s">
        <v>126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64"/>
      <c r="Y61" s="64"/>
    </row>
    <row r="62" spans="1:25" ht="27" customHeight="1" x14ac:dyDescent="0.25">
      <c r="A62" s="61" t="s">
        <v>133</v>
      </c>
      <c r="B62" s="61" t="s">
        <v>134</v>
      </c>
      <c r="C62" s="35">
        <v>4301011191</v>
      </c>
      <c r="D62" s="78">
        <v>4607091382945</v>
      </c>
      <c r="E62" s="78"/>
      <c r="F62" s="60">
        <v>1.35</v>
      </c>
      <c r="G62" s="36">
        <v>8</v>
      </c>
      <c r="H62" s="60">
        <v>10.8</v>
      </c>
      <c r="I62" s="60">
        <v>11.28</v>
      </c>
      <c r="J62" s="36">
        <v>56</v>
      </c>
      <c r="K62" s="37" t="s">
        <v>121</v>
      </c>
      <c r="L62" s="36">
        <v>50</v>
      </c>
      <c r="M62" s="79" t="s">
        <v>135</v>
      </c>
      <c r="N62" s="80"/>
      <c r="O62" s="80"/>
      <c r="P62" s="80"/>
      <c r="Q62" s="81"/>
      <c r="R62" s="38" t="s">
        <v>48</v>
      </c>
      <c r="S62" s="38" t="s">
        <v>48</v>
      </c>
      <c r="T62" s="39" t="s">
        <v>0</v>
      </c>
      <c r="U62" s="57">
        <v>0</v>
      </c>
      <c r="V62" s="54">
        <f t="shared" ref="V62:V80" si="2">IFERROR(IF(U62="",0,CEILING((U62/$H62),1)*$H62),"")</f>
        <v>0</v>
      </c>
      <c r="W62" s="40" t="str">
        <f>IFERROR(IF(V62=0,"",ROUNDUP(V62/H62,0)*0.02175),"")</f>
        <v/>
      </c>
      <c r="X62" s="66" t="s">
        <v>48</v>
      </c>
      <c r="Y62" s="67" t="s">
        <v>48</v>
      </c>
    </row>
    <row r="63" spans="1:25" ht="27" customHeight="1" x14ac:dyDescent="0.25">
      <c r="A63" s="61" t="s">
        <v>136</v>
      </c>
      <c r="B63" s="61" t="s">
        <v>137</v>
      </c>
      <c r="C63" s="35">
        <v>4301011380</v>
      </c>
      <c r="D63" s="78">
        <v>4607091385670</v>
      </c>
      <c r="E63" s="78"/>
      <c r="F63" s="60">
        <v>1.35</v>
      </c>
      <c r="G63" s="36">
        <v>8</v>
      </c>
      <c r="H63" s="60">
        <v>10.8</v>
      </c>
      <c r="I63" s="60">
        <v>11.28</v>
      </c>
      <c r="J63" s="36">
        <v>56</v>
      </c>
      <c r="K63" s="37" t="s">
        <v>121</v>
      </c>
      <c r="L63" s="36">
        <v>50</v>
      </c>
      <c r="M63" s="79" t="s">
        <v>138</v>
      </c>
      <c r="N63" s="80"/>
      <c r="O63" s="80"/>
      <c r="P63" s="80"/>
      <c r="Q63" s="81"/>
      <c r="R63" s="38" t="s">
        <v>48</v>
      </c>
      <c r="S63" s="38" t="s">
        <v>48</v>
      </c>
      <c r="T63" s="39" t="s">
        <v>0</v>
      </c>
      <c r="U63" s="57">
        <v>60</v>
      </c>
      <c r="V63" s="54">
        <f t="shared" si="2"/>
        <v>64.800000000000011</v>
      </c>
      <c r="W63" s="40">
        <f>IFERROR(IF(V63=0,"",ROUNDUP(V63/H63,0)*0.02175),"")</f>
        <v>0.1305</v>
      </c>
      <c r="X63" s="66" t="s">
        <v>48</v>
      </c>
      <c r="Y63" s="67" t="s">
        <v>48</v>
      </c>
    </row>
    <row r="64" spans="1:25" ht="27" customHeight="1" x14ac:dyDescent="0.25">
      <c r="A64" s="61" t="s">
        <v>139</v>
      </c>
      <c r="B64" s="61" t="s">
        <v>140</v>
      </c>
      <c r="C64" s="35">
        <v>4301010913</v>
      </c>
      <c r="D64" s="78">
        <v>4607091385885</v>
      </c>
      <c r="E64" s="78"/>
      <c r="F64" s="60">
        <v>1.35</v>
      </c>
      <c r="G64" s="36">
        <v>8</v>
      </c>
      <c r="H64" s="60">
        <v>10.8</v>
      </c>
      <c r="I64" s="60">
        <v>11.28</v>
      </c>
      <c r="J64" s="36">
        <v>56</v>
      </c>
      <c r="K64" s="37" t="s">
        <v>121</v>
      </c>
      <c r="L64" s="36">
        <v>45</v>
      </c>
      <c r="M64" s="79" t="s">
        <v>141</v>
      </c>
      <c r="N64" s="80"/>
      <c r="O64" s="80"/>
      <c r="P64" s="80"/>
      <c r="Q64" s="81"/>
      <c r="R64" s="38" t="s">
        <v>48</v>
      </c>
      <c r="S64" s="38" t="s">
        <v>48</v>
      </c>
      <c r="T64" s="39" t="s">
        <v>0</v>
      </c>
      <c r="U64" s="57">
        <v>0</v>
      </c>
      <c r="V64" s="54">
        <f t="shared" si="2"/>
        <v>0</v>
      </c>
      <c r="W64" s="40" t="str">
        <f>IFERROR(IF(V64=0,"",ROUNDUP(V64/H64,0)*0.02175),"")</f>
        <v/>
      </c>
      <c r="X64" s="66" t="s">
        <v>48</v>
      </c>
      <c r="Y64" s="67" t="s">
        <v>48</v>
      </c>
    </row>
    <row r="65" spans="1:25" ht="27" customHeight="1" x14ac:dyDescent="0.25">
      <c r="A65" s="61" t="s">
        <v>139</v>
      </c>
      <c r="B65" s="61" t="s">
        <v>142</v>
      </c>
      <c r="C65" s="35">
        <v>4301011188</v>
      </c>
      <c r="D65" s="78">
        <v>4607091385885</v>
      </c>
      <c r="E65" s="78"/>
      <c r="F65" s="60">
        <v>1.35</v>
      </c>
      <c r="G65" s="36">
        <v>8</v>
      </c>
      <c r="H65" s="60">
        <v>10.8</v>
      </c>
      <c r="I65" s="60">
        <v>11.28</v>
      </c>
      <c r="J65" s="36">
        <v>48</v>
      </c>
      <c r="K65" s="37" t="s">
        <v>143</v>
      </c>
      <c r="L65" s="36">
        <v>55</v>
      </c>
      <c r="M65" s="79" t="s">
        <v>141</v>
      </c>
      <c r="N65" s="80"/>
      <c r="O65" s="80"/>
      <c r="P65" s="80"/>
      <c r="Q65" s="81"/>
      <c r="R65" s="38" t="s">
        <v>48</v>
      </c>
      <c r="S65" s="38" t="s">
        <v>48</v>
      </c>
      <c r="T65" s="39" t="s">
        <v>0</v>
      </c>
      <c r="U65" s="57">
        <v>0</v>
      </c>
      <c r="V65" s="54">
        <f t="shared" si="2"/>
        <v>0</v>
      </c>
      <c r="W65" s="40" t="str">
        <f>IFERROR(IF(V65=0,"",ROUNDUP(V65/H65,0)*0.02039),"")</f>
        <v/>
      </c>
      <c r="X65" s="66" t="s">
        <v>48</v>
      </c>
      <c r="Y65" s="67" t="s">
        <v>48</v>
      </c>
    </row>
    <row r="66" spans="1:25" ht="27" customHeight="1" x14ac:dyDescent="0.25">
      <c r="A66" s="61" t="s">
        <v>144</v>
      </c>
      <c r="B66" s="61" t="s">
        <v>145</v>
      </c>
      <c r="C66" s="35">
        <v>4301011468</v>
      </c>
      <c r="D66" s="78">
        <v>4680115881327</v>
      </c>
      <c r="E66" s="78"/>
      <c r="F66" s="60">
        <v>1.35</v>
      </c>
      <c r="G66" s="36">
        <v>8</v>
      </c>
      <c r="H66" s="60">
        <v>10.8</v>
      </c>
      <c r="I66" s="60">
        <v>11.01</v>
      </c>
      <c r="J66" s="36">
        <v>120</v>
      </c>
      <c r="K66" s="37" t="s">
        <v>147</v>
      </c>
      <c r="L66" s="36">
        <v>50</v>
      </c>
      <c r="M66" s="79" t="s">
        <v>146</v>
      </c>
      <c r="N66" s="80"/>
      <c r="O66" s="80"/>
      <c r="P66" s="80"/>
      <c r="Q66" s="81"/>
      <c r="R66" s="38" t="s">
        <v>48</v>
      </c>
      <c r="S66" s="38" t="s">
        <v>48</v>
      </c>
      <c r="T66" s="39" t="s">
        <v>0</v>
      </c>
      <c r="U66" s="57">
        <v>0</v>
      </c>
      <c r="V66" s="54">
        <f t="shared" si="2"/>
        <v>0</v>
      </c>
      <c r="W66" s="40" t="str">
        <f>IFERROR(IF(V66=0,"",ROUNDUP(V66/H66,0)*0.00937),"")</f>
        <v/>
      </c>
      <c r="X66" s="66" t="s">
        <v>48</v>
      </c>
      <c r="Y66" s="67" t="s">
        <v>48</v>
      </c>
    </row>
    <row r="67" spans="1:25" ht="16.5" customHeight="1" x14ac:dyDescent="0.25">
      <c r="A67" s="61" t="s">
        <v>148</v>
      </c>
      <c r="B67" s="61" t="s">
        <v>149</v>
      </c>
      <c r="C67" s="35">
        <v>4301011348</v>
      </c>
      <c r="D67" s="78">
        <v>4607091388312</v>
      </c>
      <c r="E67" s="78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7" t="s">
        <v>121</v>
      </c>
      <c r="L67" s="36">
        <v>45</v>
      </c>
      <c r="M67" s="79" t="s">
        <v>150</v>
      </c>
      <c r="N67" s="80"/>
      <c r="O67" s="80"/>
      <c r="P67" s="80"/>
      <c r="Q67" s="81"/>
      <c r="R67" s="38" t="s">
        <v>48</v>
      </c>
      <c r="S67" s="38" t="s">
        <v>48</v>
      </c>
      <c r="T67" s="39" t="s">
        <v>0</v>
      </c>
      <c r="U67" s="57">
        <v>0</v>
      </c>
      <c r="V67" s="54">
        <f t="shared" si="2"/>
        <v>0</v>
      </c>
      <c r="W67" s="40" t="str">
        <f>IFERROR(IF(V67=0,"",ROUNDUP(V67/H67,0)*0.02175),"")</f>
        <v/>
      </c>
      <c r="X67" s="66" t="s">
        <v>48</v>
      </c>
      <c r="Y67" s="67" t="s">
        <v>48</v>
      </c>
    </row>
    <row r="68" spans="1:25" ht="27" customHeight="1" x14ac:dyDescent="0.25">
      <c r="A68" s="61" t="s">
        <v>151</v>
      </c>
      <c r="B68" s="61" t="s">
        <v>152</v>
      </c>
      <c r="C68" s="35">
        <v>4301011192</v>
      </c>
      <c r="D68" s="78">
        <v>4607091382952</v>
      </c>
      <c r="E68" s="78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7" t="s">
        <v>121</v>
      </c>
      <c r="L68" s="36">
        <v>50</v>
      </c>
      <c r="M68" s="79" t="s">
        <v>153</v>
      </c>
      <c r="N68" s="80"/>
      <c r="O68" s="80"/>
      <c r="P68" s="80"/>
      <c r="Q68" s="81"/>
      <c r="R68" s="38" t="s">
        <v>48</v>
      </c>
      <c r="S68" s="38" t="s">
        <v>48</v>
      </c>
      <c r="T68" s="39" t="s">
        <v>0</v>
      </c>
      <c r="U68" s="57">
        <v>90</v>
      </c>
      <c r="V68" s="54">
        <f t="shared" si="2"/>
        <v>90</v>
      </c>
      <c r="W68" s="40">
        <f>IFERROR(IF(V68=0,"",ROUNDUP(V68/H68,0)*0.00753),"")</f>
        <v>0.22590000000000002</v>
      </c>
      <c r="X68" s="66" t="s">
        <v>48</v>
      </c>
      <c r="Y68" s="67" t="s">
        <v>48</v>
      </c>
    </row>
    <row r="69" spans="1:25" ht="27" customHeight="1" x14ac:dyDescent="0.25">
      <c r="A69" s="61" t="s">
        <v>154</v>
      </c>
      <c r="B69" s="61" t="s">
        <v>155</v>
      </c>
      <c r="C69" s="35">
        <v>4301011382</v>
      </c>
      <c r="D69" s="78">
        <v>4607091385687</v>
      </c>
      <c r="E69" s="78"/>
      <c r="F69" s="60">
        <v>0.4</v>
      </c>
      <c r="G69" s="36">
        <v>10</v>
      </c>
      <c r="H69" s="60">
        <v>4</v>
      </c>
      <c r="I69" s="60">
        <v>4.24</v>
      </c>
      <c r="J69" s="36">
        <v>120</v>
      </c>
      <c r="K69" s="37" t="s">
        <v>157</v>
      </c>
      <c r="L69" s="36">
        <v>50</v>
      </c>
      <c r="M69" s="79" t="s">
        <v>156</v>
      </c>
      <c r="N69" s="80"/>
      <c r="O69" s="80"/>
      <c r="P69" s="80"/>
      <c r="Q69" s="81"/>
      <c r="R69" s="38" t="s">
        <v>48</v>
      </c>
      <c r="S69" s="38" t="s">
        <v>48</v>
      </c>
      <c r="T69" s="39" t="s">
        <v>0</v>
      </c>
      <c r="U69" s="57">
        <v>300</v>
      </c>
      <c r="V69" s="54">
        <f t="shared" si="2"/>
        <v>300</v>
      </c>
      <c r="W69" s="40">
        <f t="shared" ref="W69:W76" si="3">IFERROR(IF(V69=0,"",ROUNDUP(V69/H69,0)*0.00937),"")</f>
        <v>0.70274999999999999</v>
      </c>
      <c r="X69" s="66" t="s">
        <v>48</v>
      </c>
      <c r="Y69" s="67" t="s">
        <v>48</v>
      </c>
    </row>
    <row r="70" spans="1:25" ht="27" customHeight="1" x14ac:dyDescent="0.25">
      <c r="A70" s="61" t="s">
        <v>158</v>
      </c>
      <c r="B70" s="61" t="s">
        <v>159</v>
      </c>
      <c r="C70" s="35">
        <v>4301011344</v>
      </c>
      <c r="D70" s="78">
        <v>4607091384604</v>
      </c>
      <c r="E70" s="78"/>
      <c r="F70" s="60">
        <v>0.4</v>
      </c>
      <c r="G70" s="36">
        <v>10</v>
      </c>
      <c r="H70" s="60">
        <v>4</v>
      </c>
      <c r="I70" s="60">
        <v>4.24</v>
      </c>
      <c r="J70" s="36">
        <v>120</v>
      </c>
      <c r="K70" s="37" t="s">
        <v>121</v>
      </c>
      <c r="L70" s="36">
        <v>50</v>
      </c>
      <c r="M70" s="79" t="s">
        <v>160</v>
      </c>
      <c r="N70" s="80"/>
      <c r="O70" s="80"/>
      <c r="P70" s="80"/>
      <c r="Q70" s="81"/>
      <c r="R70" s="38" t="s">
        <v>48</v>
      </c>
      <c r="S70" s="38" t="s">
        <v>48</v>
      </c>
      <c r="T70" s="39" t="s">
        <v>0</v>
      </c>
      <c r="U70" s="57">
        <v>200</v>
      </c>
      <c r="V70" s="54">
        <f t="shared" si="2"/>
        <v>200</v>
      </c>
      <c r="W70" s="40">
        <f t="shared" si="3"/>
        <v>0.46849999999999997</v>
      </c>
      <c r="X70" s="66" t="s">
        <v>48</v>
      </c>
      <c r="Y70" s="67" t="s">
        <v>48</v>
      </c>
    </row>
    <row r="71" spans="1:25" ht="27" customHeight="1" x14ac:dyDescent="0.25">
      <c r="A71" s="61" t="s">
        <v>161</v>
      </c>
      <c r="B71" s="61" t="s">
        <v>162</v>
      </c>
      <c r="C71" s="35">
        <v>4301011386</v>
      </c>
      <c r="D71" s="78">
        <v>4680115880283</v>
      </c>
      <c r="E71" s="78"/>
      <c r="F71" s="60">
        <v>0.6</v>
      </c>
      <c r="G71" s="36">
        <v>8</v>
      </c>
      <c r="H71" s="60">
        <v>4.8</v>
      </c>
      <c r="I71" s="60">
        <v>5.04</v>
      </c>
      <c r="J71" s="36">
        <v>120</v>
      </c>
      <c r="K71" s="37" t="s">
        <v>121</v>
      </c>
      <c r="L71" s="36">
        <v>45</v>
      </c>
      <c r="M71" s="79" t="s">
        <v>163</v>
      </c>
      <c r="N71" s="80"/>
      <c r="O71" s="80"/>
      <c r="P71" s="80"/>
      <c r="Q71" s="81"/>
      <c r="R71" s="38" t="s">
        <v>48</v>
      </c>
      <c r="S71" s="38" t="s">
        <v>48</v>
      </c>
      <c r="T71" s="39" t="s">
        <v>0</v>
      </c>
      <c r="U71" s="57">
        <v>0</v>
      </c>
      <c r="V71" s="54">
        <f t="shared" si="2"/>
        <v>0</v>
      </c>
      <c r="W71" s="40" t="str">
        <f t="shared" si="3"/>
        <v/>
      </c>
      <c r="X71" s="66" t="s">
        <v>48</v>
      </c>
      <c r="Y71" s="67" t="s">
        <v>48</v>
      </c>
    </row>
    <row r="72" spans="1:25" ht="27" customHeight="1" x14ac:dyDescent="0.25">
      <c r="A72" s="61" t="s">
        <v>164</v>
      </c>
      <c r="B72" s="61" t="s">
        <v>165</v>
      </c>
      <c r="C72" s="35">
        <v>4301011039</v>
      </c>
      <c r="D72" s="78">
        <v>4607091385915</v>
      </c>
      <c r="E72" s="78"/>
      <c r="F72" s="60">
        <v>0.5</v>
      </c>
      <c r="G72" s="36">
        <v>10</v>
      </c>
      <c r="H72" s="60">
        <v>5</v>
      </c>
      <c r="I72" s="60">
        <v>5.24</v>
      </c>
      <c r="J72" s="36">
        <v>120</v>
      </c>
      <c r="K72" s="37" t="s">
        <v>121</v>
      </c>
      <c r="L72" s="36">
        <v>45</v>
      </c>
      <c r="M72" s="79" t="s">
        <v>166</v>
      </c>
      <c r="N72" s="80"/>
      <c r="O72" s="80"/>
      <c r="P72" s="80"/>
      <c r="Q72" s="81"/>
      <c r="R72" s="38" t="s">
        <v>48</v>
      </c>
      <c r="S72" s="38" t="s">
        <v>48</v>
      </c>
      <c r="T72" s="39" t="s">
        <v>0</v>
      </c>
      <c r="U72" s="57">
        <v>0</v>
      </c>
      <c r="V72" s="54">
        <f t="shared" si="2"/>
        <v>0</v>
      </c>
      <c r="W72" s="40" t="str">
        <f t="shared" si="3"/>
        <v/>
      </c>
      <c r="X72" s="66" t="s">
        <v>48</v>
      </c>
      <c r="Y72" s="67" t="s">
        <v>48</v>
      </c>
    </row>
    <row r="73" spans="1:25" ht="27" customHeight="1" x14ac:dyDescent="0.25">
      <c r="A73" s="61" t="s">
        <v>164</v>
      </c>
      <c r="B73" s="61" t="s">
        <v>167</v>
      </c>
      <c r="C73" s="35">
        <v>4301011390</v>
      </c>
      <c r="D73" s="78">
        <v>4607091385915</v>
      </c>
      <c r="E73" s="78"/>
      <c r="F73" s="60">
        <v>0.5</v>
      </c>
      <c r="G73" s="36">
        <v>10</v>
      </c>
      <c r="H73" s="60">
        <v>5</v>
      </c>
      <c r="I73" s="60">
        <v>5.21</v>
      </c>
      <c r="J73" s="36">
        <v>120</v>
      </c>
      <c r="K73" s="37" t="s">
        <v>147</v>
      </c>
      <c r="L73" s="36">
        <v>45</v>
      </c>
      <c r="M73" s="79" t="s">
        <v>166</v>
      </c>
      <c r="N73" s="80"/>
      <c r="O73" s="80"/>
      <c r="P73" s="80"/>
      <c r="Q73" s="81"/>
      <c r="R73" s="38" t="s">
        <v>48</v>
      </c>
      <c r="S73" s="38" t="s">
        <v>48</v>
      </c>
      <c r="T73" s="39" t="s">
        <v>0</v>
      </c>
      <c r="U73" s="57">
        <v>0</v>
      </c>
      <c r="V73" s="54">
        <f t="shared" si="2"/>
        <v>0</v>
      </c>
      <c r="W73" s="40" t="str">
        <f t="shared" si="3"/>
        <v/>
      </c>
      <c r="X73" s="66" t="s">
        <v>48</v>
      </c>
      <c r="Y73" s="67" t="s">
        <v>48</v>
      </c>
    </row>
    <row r="74" spans="1:25" ht="16.5" customHeight="1" x14ac:dyDescent="0.25">
      <c r="A74" s="61" t="s">
        <v>168</v>
      </c>
      <c r="B74" s="61" t="s">
        <v>169</v>
      </c>
      <c r="C74" s="35">
        <v>4301011476</v>
      </c>
      <c r="D74" s="78">
        <v>4680115881518</v>
      </c>
      <c r="E74" s="78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7" t="s">
        <v>157</v>
      </c>
      <c r="L74" s="36">
        <v>50</v>
      </c>
      <c r="M74" s="79" t="s">
        <v>170</v>
      </c>
      <c r="N74" s="80"/>
      <c r="O74" s="80"/>
      <c r="P74" s="80"/>
      <c r="Q74" s="81"/>
      <c r="R74" s="38" t="s">
        <v>48</v>
      </c>
      <c r="S74" s="38" t="s">
        <v>48</v>
      </c>
      <c r="T74" s="39" t="s">
        <v>0</v>
      </c>
      <c r="U74" s="57">
        <v>0</v>
      </c>
      <c r="V74" s="54">
        <f t="shared" si="2"/>
        <v>0</v>
      </c>
      <c r="W74" s="40" t="str">
        <f t="shared" si="3"/>
        <v/>
      </c>
      <c r="X74" s="66" t="s">
        <v>48</v>
      </c>
      <c r="Y74" s="67" t="s">
        <v>48</v>
      </c>
    </row>
    <row r="75" spans="1:25" ht="27" customHeight="1" x14ac:dyDescent="0.25">
      <c r="A75" s="61" t="s">
        <v>171</v>
      </c>
      <c r="B75" s="61" t="s">
        <v>172</v>
      </c>
      <c r="C75" s="35">
        <v>4301011443</v>
      </c>
      <c r="D75" s="78">
        <v>4680115881303</v>
      </c>
      <c r="E75" s="78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7" t="s">
        <v>147</v>
      </c>
      <c r="L75" s="36">
        <v>50</v>
      </c>
      <c r="M75" s="79" t="s">
        <v>173</v>
      </c>
      <c r="N75" s="80"/>
      <c r="O75" s="80"/>
      <c r="P75" s="80"/>
      <c r="Q75" s="81"/>
      <c r="R75" s="38" t="s">
        <v>48</v>
      </c>
      <c r="S75" s="38" t="s">
        <v>48</v>
      </c>
      <c r="T75" s="39" t="s">
        <v>0</v>
      </c>
      <c r="U75" s="57">
        <v>300</v>
      </c>
      <c r="V75" s="54">
        <f t="shared" si="2"/>
        <v>301.5</v>
      </c>
      <c r="W75" s="40">
        <f t="shared" si="3"/>
        <v>0.62778999999999996</v>
      </c>
      <c r="X75" s="66" t="s">
        <v>48</v>
      </c>
      <c r="Y75" s="67" t="s">
        <v>48</v>
      </c>
    </row>
    <row r="76" spans="1:25" ht="27" customHeight="1" x14ac:dyDescent="0.25">
      <c r="A76" s="61" t="s">
        <v>174</v>
      </c>
      <c r="B76" s="61" t="s">
        <v>175</v>
      </c>
      <c r="C76" s="35">
        <v>4301011414</v>
      </c>
      <c r="D76" s="78">
        <v>4607091381986</v>
      </c>
      <c r="E76" s="78"/>
      <c r="F76" s="60">
        <v>0.5</v>
      </c>
      <c r="G76" s="36">
        <v>10</v>
      </c>
      <c r="H76" s="60">
        <v>5</v>
      </c>
      <c r="I76" s="60">
        <v>5.24</v>
      </c>
      <c r="J76" s="36">
        <v>120</v>
      </c>
      <c r="K76" s="37" t="s">
        <v>121</v>
      </c>
      <c r="L76" s="36">
        <v>45</v>
      </c>
      <c r="M76" s="79" t="s">
        <v>176</v>
      </c>
      <c r="N76" s="80"/>
      <c r="O76" s="80"/>
      <c r="P76" s="80"/>
      <c r="Q76" s="81"/>
      <c r="R76" s="38" t="s">
        <v>48</v>
      </c>
      <c r="S76" s="38" t="s">
        <v>48</v>
      </c>
      <c r="T76" s="39" t="s">
        <v>0</v>
      </c>
      <c r="U76" s="57">
        <v>0</v>
      </c>
      <c r="V76" s="54">
        <f t="shared" si="2"/>
        <v>0</v>
      </c>
      <c r="W76" s="40" t="str">
        <f t="shared" si="3"/>
        <v/>
      </c>
      <c r="X76" s="66" t="s">
        <v>48</v>
      </c>
      <c r="Y76" s="67" t="s">
        <v>48</v>
      </c>
    </row>
    <row r="77" spans="1:25" ht="27" customHeight="1" x14ac:dyDescent="0.25">
      <c r="A77" s="61" t="s">
        <v>177</v>
      </c>
      <c r="B77" s="61" t="s">
        <v>178</v>
      </c>
      <c r="C77" s="35">
        <v>4301011352</v>
      </c>
      <c r="D77" s="78">
        <v>4607091388466</v>
      </c>
      <c r="E77" s="78"/>
      <c r="F77" s="60">
        <v>0.45</v>
      </c>
      <c r="G77" s="36">
        <v>6</v>
      </c>
      <c r="H77" s="60">
        <v>2.7</v>
      </c>
      <c r="I77" s="60">
        <v>2.9</v>
      </c>
      <c r="J77" s="36">
        <v>156</v>
      </c>
      <c r="K77" s="37" t="s">
        <v>157</v>
      </c>
      <c r="L77" s="36">
        <v>45</v>
      </c>
      <c r="M77" s="79" t="s">
        <v>179</v>
      </c>
      <c r="N77" s="80"/>
      <c r="O77" s="80"/>
      <c r="P77" s="80"/>
      <c r="Q77" s="81"/>
      <c r="R77" s="38" t="s">
        <v>48</v>
      </c>
      <c r="S77" s="38" t="s">
        <v>48</v>
      </c>
      <c r="T77" s="39" t="s">
        <v>0</v>
      </c>
      <c r="U77" s="57">
        <v>0</v>
      </c>
      <c r="V77" s="54">
        <f t="shared" si="2"/>
        <v>0</v>
      </c>
      <c r="W77" s="40" t="str">
        <f>IFERROR(IF(V77=0,"",ROUNDUP(V77/H77,0)*0.00753),"")</f>
        <v/>
      </c>
      <c r="X77" s="66" t="s">
        <v>48</v>
      </c>
      <c r="Y77" s="67" t="s">
        <v>48</v>
      </c>
    </row>
    <row r="78" spans="1:25" ht="27" customHeight="1" x14ac:dyDescent="0.25">
      <c r="A78" s="61" t="s">
        <v>180</v>
      </c>
      <c r="B78" s="61" t="s">
        <v>181</v>
      </c>
      <c r="C78" s="35">
        <v>4301011417</v>
      </c>
      <c r="D78" s="78">
        <v>4680115880269</v>
      </c>
      <c r="E78" s="78"/>
      <c r="F78" s="60">
        <v>0.375</v>
      </c>
      <c r="G78" s="36">
        <v>10</v>
      </c>
      <c r="H78" s="60">
        <v>3.75</v>
      </c>
      <c r="I78" s="60">
        <v>3.99</v>
      </c>
      <c r="J78" s="36">
        <v>120</v>
      </c>
      <c r="K78" s="37" t="s">
        <v>157</v>
      </c>
      <c r="L78" s="36">
        <v>50</v>
      </c>
      <c r="M78" s="79" t="s">
        <v>182</v>
      </c>
      <c r="N78" s="80"/>
      <c r="O78" s="80"/>
      <c r="P78" s="80"/>
      <c r="Q78" s="81"/>
      <c r="R78" s="38" t="s">
        <v>48</v>
      </c>
      <c r="S78" s="38" t="s">
        <v>48</v>
      </c>
      <c r="T78" s="39" t="s">
        <v>0</v>
      </c>
      <c r="U78" s="57">
        <v>0</v>
      </c>
      <c r="V78" s="54">
        <f t="shared" si="2"/>
        <v>0</v>
      </c>
      <c r="W78" s="40" t="str">
        <f>IFERROR(IF(V78=0,"",ROUNDUP(V78/H78,0)*0.00937),"")</f>
        <v/>
      </c>
      <c r="X78" s="66" t="s">
        <v>48</v>
      </c>
      <c r="Y78" s="67" t="s">
        <v>48</v>
      </c>
    </row>
    <row r="79" spans="1:25" ht="16.5" customHeight="1" x14ac:dyDescent="0.25">
      <c r="A79" s="61" t="s">
        <v>183</v>
      </c>
      <c r="B79" s="61" t="s">
        <v>184</v>
      </c>
      <c r="C79" s="35">
        <v>4301011415</v>
      </c>
      <c r="D79" s="78">
        <v>4680115880429</v>
      </c>
      <c r="E79" s="78"/>
      <c r="F79" s="60">
        <v>0.45</v>
      </c>
      <c r="G79" s="36">
        <v>10</v>
      </c>
      <c r="H79" s="60">
        <v>4.5</v>
      </c>
      <c r="I79" s="60">
        <v>4.74</v>
      </c>
      <c r="J79" s="36">
        <v>120</v>
      </c>
      <c r="K79" s="37" t="s">
        <v>157</v>
      </c>
      <c r="L79" s="36">
        <v>50</v>
      </c>
      <c r="M79" s="79" t="s">
        <v>185</v>
      </c>
      <c r="N79" s="80"/>
      <c r="O79" s="80"/>
      <c r="P79" s="80"/>
      <c r="Q79" s="81"/>
      <c r="R79" s="38" t="s">
        <v>48</v>
      </c>
      <c r="S79" s="38" t="s">
        <v>48</v>
      </c>
      <c r="T79" s="39" t="s">
        <v>0</v>
      </c>
      <c r="U79" s="57">
        <v>135</v>
      </c>
      <c r="V79" s="54">
        <f t="shared" si="2"/>
        <v>135</v>
      </c>
      <c r="W79" s="40">
        <f>IFERROR(IF(V79=0,"",ROUNDUP(V79/H79,0)*0.00937),"")</f>
        <v>0.28110000000000002</v>
      </c>
      <c r="X79" s="66" t="s">
        <v>48</v>
      </c>
      <c r="Y79" s="67" t="s">
        <v>48</v>
      </c>
    </row>
    <row r="80" spans="1:25" ht="16.5" customHeight="1" x14ac:dyDescent="0.25">
      <c r="A80" s="61" t="s">
        <v>186</v>
      </c>
      <c r="B80" s="61" t="s">
        <v>187</v>
      </c>
      <c r="C80" s="35">
        <v>4301011462</v>
      </c>
      <c r="D80" s="78">
        <v>4680115881457</v>
      </c>
      <c r="E80" s="78"/>
      <c r="F80" s="60">
        <v>0.75</v>
      </c>
      <c r="G80" s="36">
        <v>6</v>
      </c>
      <c r="H80" s="60">
        <v>4.5</v>
      </c>
      <c r="I80" s="60">
        <v>4.74</v>
      </c>
      <c r="J80" s="36">
        <v>120</v>
      </c>
      <c r="K80" s="37" t="s">
        <v>157</v>
      </c>
      <c r="L80" s="36">
        <v>50</v>
      </c>
      <c r="M80" s="79" t="s">
        <v>188</v>
      </c>
      <c r="N80" s="80"/>
      <c r="O80" s="80"/>
      <c r="P80" s="80"/>
      <c r="Q80" s="81"/>
      <c r="R80" s="38" t="s">
        <v>48</v>
      </c>
      <c r="S80" s="38" t="s">
        <v>48</v>
      </c>
      <c r="T80" s="39" t="s">
        <v>0</v>
      </c>
      <c r="U80" s="57">
        <v>0</v>
      </c>
      <c r="V80" s="54">
        <f t="shared" si="2"/>
        <v>0</v>
      </c>
      <c r="W80" s="40" t="str">
        <f>IFERROR(IF(V80=0,"",ROUNDUP(V80/H80,0)*0.00937),"")</f>
        <v/>
      </c>
      <c r="X80" s="66" t="s">
        <v>48</v>
      </c>
      <c r="Y80" s="67" t="s">
        <v>48</v>
      </c>
    </row>
    <row r="81" spans="1:25" x14ac:dyDescent="0.2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85"/>
      <c r="M81" s="82" t="s">
        <v>43</v>
      </c>
      <c r="N81" s="83"/>
      <c r="O81" s="83"/>
      <c r="P81" s="83"/>
      <c r="Q81" s="83"/>
      <c r="R81" s="83"/>
      <c r="S81" s="84"/>
      <c r="T81" s="41" t="s">
        <v>42</v>
      </c>
      <c r="U81" s="42">
        <f>IFERROR(U62/H62,"0")+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+IFERROR(U80/H80,"0")</f>
        <v>257.22222222222223</v>
      </c>
      <c r="V81" s="42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258</v>
      </c>
      <c r="W81" s="42">
        <f>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+IFERROR(IF(W80="",0,W80),"0")</f>
        <v>2.4365399999999999</v>
      </c>
      <c r="X81" s="65"/>
      <c r="Y81" s="65"/>
    </row>
    <row r="82" spans="1:25" x14ac:dyDescent="0.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85"/>
      <c r="M82" s="82" t="s">
        <v>43</v>
      </c>
      <c r="N82" s="83"/>
      <c r="O82" s="83"/>
      <c r="P82" s="83"/>
      <c r="Q82" s="83"/>
      <c r="R82" s="83"/>
      <c r="S82" s="84"/>
      <c r="T82" s="41" t="s">
        <v>0</v>
      </c>
      <c r="U82" s="42">
        <f>IFERROR(SUM(U62:U80),"0")</f>
        <v>1085</v>
      </c>
      <c r="V82" s="42">
        <f>IFERROR(SUM(V62:V80),"0")</f>
        <v>1091.3</v>
      </c>
      <c r="W82" s="41"/>
      <c r="X82" s="65"/>
      <c r="Y82" s="65"/>
    </row>
    <row r="83" spans="1:25" ht="14.25" customHeight="1" x14ac:dyDescent="0.25">
      <c r="A83" s="77" t="s">
        <v>117</v>
      </c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64"/>
      <c r="Y83" s="64"/>
    </row>
    <row r="84" spans="1:25" ht="16.5" customHeight="1" x14ac:dyDescent="0.25">
      <c r="A84" s="61" t="s">
        <v>189</v>
      </c>
      <c r="B84" s="61" t="s">
        <v>190</v>
      </c>
      <c r="C84" s="35">
        <v>4301020204</v>
      </c>
      <c r="D84" s="78">
        <v>4607091388442</v>
      </c>
      <c r="E84" s="78"/>
      <c r="F84" s="60">
        <v>1.35</v>
      </c>
      <c r="G84" s="36">
        <v>8</v>
      </c>
      <c r="H84" s="60">
        <v>10.8</v>
      </c>
      <c r="I84" s="60">
        <v>11.28</v>
      </c>
      <c r="J84" s="36">
        <v>56</v>
      </c>
      <c r="K84" s="37" t="s">
        <v>121</v>
      </c>
      <c r="L84" s="36">
        <v>45</v>
      </c>
      <c r="M84" s="79" t="s">
        <v>191</v>
      </c>
      <c r="N84" s="80"/>
      <c r="O84" s="80"/>
      <c r="P84" s="80"/>
      <c r="Q84" s="81"/>
      <c r="R84" s="38" t="s">
        <v>48</v>
      </c>
      <c r="S84" s="38" t="s">
        <v>48</v>
      </c>
      <c r="T84" s="39" t="s">
        <v>0</v>
      </c>
      <c r="U84" s="57">
        <v>0</v>
      </c>
      <c r="V84" s="54">
        <f t="shared" ref="V84:V90" si="4">IFERROR(IF(U84="",0,CEILING((U84/$H84),1)*$H84),"")</f>
        <v>0</v>
      </c>
      <c r="W84" s="40" t="str">
        <f>IFERROR(IF(V84=0,"",ROUNDUP(V84/H84,0)*0.02175),"")</f>
        <v/>
      </c>
      <c r="X84" s="66" t="s">
        <v>48</v>
      </c>
      <c r="Y84" s="67" t="s">
        <v>48</v>
      </c>
    </row>
    <row r="85" spans="1:25" ht="27" customHeight="1" x14ac:dyDescent="0.25">
      <c r="A85" s="61" t="s">
        <v>192</v>
      </c>
      <c r="B85" s="61" t="s">
        <v>193</v>
      </c>
      <c r="C85" s="35">
        <v>4301020189</v>
      </c>
      <c r="D85" s="78">
        <v>4607091384789</v>
      </c>
      <c r="E85" s="78"/>
      <c r="F85" s="60">
        <v>1</v>
      </c>
      <c r="G85" s="36">
        <v>6</v>
      </c>
      <c r="H85" s="60">
        <v>6</v>
      </c>
      <c r="I85" s="60">
        <v>6.36</v>
      </c>
      <c r="J85" s="36">
        <v>104</v>
      </c>
      <c r="K85" s="37" t="s">
        <v>121</v>
      </c>
      <c r="L85" s="36">
        <v>45</v>
      </c>
      <c r="M85" s="79" t="s">
        <v>194</v>
      </c>
      <c r="N85" s="80"/>
      <c r="O85" s="80"/>
      <c r="P85" s="80"/>
      <c r="Q85" s="81"/>
      <c r="R85" s="38" t="s">
        <v>48</v>
      </c>
      <c r="S85" s="38" t="s">
        <v>48</v>
      </c>
      <c r="T85" s="39" t="s">
        <v>0</v>
      </c>
      <c r="U85" s="57">
        <v>0</v>
      </c>
      <c r="V85" s="54">
        <f t="shared" si="4"/>
        <v>0</v>
      </c>
      <c r="W85" s="40" t="str">
        <f>IFERROR(IF(V85=0,"",ROUNDUP(V85/H85,0)*0.01196),"")</f>
        <v/>
      </c>
      <c r="X85" s="66" t="s">
        <v>48</v>
      </c>
      <c r="Y85" s="67" t="s">
        <v>48</v>
      </c>
    </row>
    <row r="86" spans="1:25" ht="16.5" customHeight="1" x14ac:dyDescent="0.25">
      <c r="A86" s="61" t="s">
        <v>195</v>
      </c>
      <c r="B86" s="61" t="s">
        <v>196</v>
      </c>
      <c r="C86" s="35">
        <v>4301020235</v>
      </c>
      <c r="D86" s="78">
        <v>4680115881488</v>
      </c>
      <c r="E86" s="78"/>
      <c r="F86" s="60">
        <v>1.35</v>
      </c>
      <c r="G86" s="36">
        <v>8</v>
      </c>
      <c r="H86" s="60">
        <v>10.8</v>
      </c>
      <c r="I86" s="60">
        <v>11.28</v>
      </c>
      <c r="J86" s="36">
        <v>48</v>
      </c>
      <c r="K86" s="37" t="s">
        <v>121</v>
      </c>
      <c r="L86" s="36">
        <v>50</v>
      </c>
      <c r="M86" s="79" t="s">
        <v>197</v>
      </c>
      <c r="N86" s="80"/>
      <c r="O86" s="80"/>
      <c r="P86" s="80"/>
      <c r="Q86" s="81"/>
      <c r="R86" s="38" t="s">
        <v>48</v>
      </c>
      <c r="S86" s="38" t="s">
        <v>48</v>
      </c>
      <c r="T86" s="39" t="s">
        <v>0</v>
      </c>
      <c r="U86" s="57">
        <v>0</v>
      </c>
      <c r="V86" s="54">
        <f t="shared" si="4"/>
        <v>0</v>
      </c>
      <c r="W86" s="40" t="str">
        <f>IFERROR(IF(V86=0,"",ROUNDUP(V86/H86,0)*0.02175),"")</f>
        <v/>
      </c>
      <c r="X86" s="66" t="s">
        <v>48</v>
      </c>
      <c r="Y86" s="67" t="s">
        <v>48</v>
      </c>
    </row>
    <row r="87" spans="1:25" ht="27" customHeight="1" x14ac:dyDescent="0.25">
      <c r="A87" s="61" t="s">
        <v>198</v>
      </c>
      <c r="B87" s="61" t="s">
        <v>199</v>
      </c>
      <c r="C87" s="35">
        <v>4301020200</v>
      </c>
      <c r="D87" s="78">
        <v>4607091388459</v>
      </c>
      <c r="E87" s="78"/>
      <c r="F87" s="60">
        <v>0.45</v>
      </c>
      <c r="G87" s="36">
        <v>6</v>
      </c>
      <c r="H87" s="60">
        <v>2.7</v>
      </c>
      <c r="I87" s="60">
        <v>2.9</v>
      </c>
      <c r="J87" s="36">
        <v>156</v>
      </c>
      <c r="K87" s="37" t="s">
        <v>121</v>
      </c>
      <c r="L87" s="36">
        <v>45</v>
      </c>
      <c r="M87" s="79" t="s">
        <v>200</v>
      </c>
      <c r="N87" s="80"/>
      <c r="O87" s="80"/>
      <c r="P87" s="80"/>
      <c r="Q87" s="81"/>
      <c r="R87" s="38" t="s">
        <v>48</v>
      </c>
      <c r="S87" s="38" t="s">
        <v>48</v>
      </c>
      <c r="T87" s="39" t="s">
        <v>0</v>
      </c>
      <c r="U87" s="57">
        <v>0</v>
      </c>
      <c r="V87" s="54">
        <f t="shared" si="4"/>
        <v>0</v>
      </c>
      <c r="W87" s="40" t="str">
        <f>IFERROR(IF(V87=0,"",ROUNDUP(V87/H87,0)*0.00753),"")</f>
        <v/>
      </c>
      <c r="X87" s="66" t="s">
        <v>48</v>
      </c>
      <c r="Y87" s="67" t="s">
        <v>48</v>
      </c>
    </row>
    <row r="88" spans="1:25" ht="27" customHeight="1" x14ac:dyDescent="0.25">
      <c r="A88" s="61" t="s">
        <v>201</v>
      </c>
      <c r="B88" s="61" t="s">
        <v>202</v>
      </c>
      <c r="C88" s="35">
        <v>4301020183</v>
      </c>
      <c r="D88" s="78">
        <v>4607091384765</v>
      </c>
      <c r="E88" s="78"/>
      <c r="F88" s="60">
        <v>0.42</v>
      </c>
      <c r="G88" s="36">
        <v>6</v>
      </c>
      <c r="H88" s="60">
        <v>2.52</v>
      </c>
      <c r="I88" s="60">
        <v>2.72</v>
      </c>
      <c r="J88" s="36">
        <v>156</v>
      </c>
      <c r="K88" s="37" t="s">
        <v>121</v>
      </c>
      <c r="L88" s="36">
        <v>45</v>
      </c>
      <c r="M88" s="79" t="s">
        <v>203</v>
      </c>
      <c r="N88" s="80"/>
      <c r="O88" s="80"/>
      <c r="P88" s="80"/>
      <c r="Q88" s="81"/>
      <c r="R88" s="38" t="s">
        <v>48</v>
      </c>
      <c r="S88" s="38" t="s">
        <v>48</v>
      </c>
      <c r="T88" s="39" t="s">
        <v>0</v>
      </c>
      <c r="U88" s="57">
        <v>0</v>
      </c>
      <c r="V88" s="54">
        <f t="shared" si="4"/>
        <v>0</v>
      </c>
      <c r="W88" s="40" t="str">
        <f>IFERROR(IF(V88=0,"",ROUNDUP(V88/H88,0)*0.00753),"")</f>
        <v/>
      </c>
      <c r="X88" s="66" t="s">
        <v>48</v>
      </c>
      <c r="Y88" s="67" t="s">
        <v>48</v>
      </c>
    </row>
    <row r="89" spans="1:25" ht="27" customHeight="1" x14ac:dyDescent="0.25">
      <c r="A89" s="61" t="s">
        <v>204</v>
      </c>
      <c r="B89" s="61" t="s">
        <v>205</v>
      </c>
      <c r="C89" s="35">
        <v>4301020217</v>
      </c>
      <c r="D89" s="78">
        <v>4680115880658</v>
      </c>
      <c r="E89" s="78"/>
      <c r="F89" s="60">
        <v>0.4</v>
      </c>
      <c r="G89" s="36">
        <v>6</v>
      </c>
      <c r="H89" s="60">
        <v>2.4</v>
      </c>
      <c r="I89" s="60">
        <v>2.6</v>
      </c>
      <c r="J89" s="36">
        <v>156</v>
      </c>
      <c r="K89" s="37" t="s">
        <v>121</v>
      </c>
      <c r="L89" s="36">
        <v>50</v>
      </c>
      <c r="M89" s="79" t="s">
        <v>206</v>
      </c>
      <c r="N89" s="80"/>
      <c r="O89" s="80"/>
      <c r="P89" s="80"/>
      <c r="Q89" s="81"/>
      <c r="R89" s="38" t="s">
        <v>48</v>
      </c>
      <c r="S89" s="38" t="s">
        <v>48</v>
      </c>
      <c r="T89" s="39" t="s">
        <v>0</v>
      </c>
      <c r="U89" s="57">
        <v>0</v>
      </c>
      <c r="V89" s="54">
        <f t="shared" si="4"/>
        <v>0</v>
      </c>
      <c r="W89" s="40" t="str">
        <f>IFERROR(IF(V89=0,"",ROUNDUP(V89/H89,0)*0.00753),"")</f>
        <v/>
      </c>
      <c r="X89" s="66" t="s">
        <v>48</v>
      </c>
      <c r="Y89" s="67" t="s">
        <v>48</v>
      </c>
    </row>
    <row r="90" spans="1:25" ht="27" customHeight="1" x14ac:dyDescent="0.25">
      <c r="A90" s="61" t="s">
        <v>207</v>
      </c>
      <c r="B90" s="61" t="s">
        <v>208</v>
      </c>
      <c r="C90" s="35">
        <v>4301020223</v>
      </c>
      <c r="D90" s="78">
        <v>4607091381962</v>
      </c>
      <c r="E90" s="78"/>
      <c r="F90" s="60">
        <v>0.5</v>
      </c>
      <c r="G90" s="36">
        <v>6</v>
      </c>
      <c r="H90" s="60">
        <v>3</v>
      </c>
      <c r="I90" s="60">
        <v>3.2</v>
      </c>
      <c r="J90" s="36">
        <v>156</v>
      </c>
      <c r="K90" s="37" t="s">
        <v>121</v>
      </c>
      <c r="L90" s="36">
        <v>50</v>
      </c>
      <c r="M90" s="79" t="s">
        <v>209</v>
      </c>
      <c r="N90" s="80"/>
      <c r="O90" s="80"/>
      <c r="P90" s="80"/>
      <c r="Q90" s="81"/>
      <c r="R90" s="38" t="s">
        <v>48</v>
      </c>
      <c r="S90" s="38" t="s">
        <v>48</v>
      </c>
      <c r="T90" s="39" t="s">
        <v>0</v>
      </c>
      <c r="U90" s="57">
        <v>0</v>
      </c>
      <c r="V90" s="54">
        <f t="shared" si="4"/>
        <v>0</v>
      </c>
      <c r="W90" s="40" t="str">
        <f>IFERROR(IF(V90=0,"",ROUNDUP(V90/H90,0)*0.00753),"")</f>
        <v/>
      </c>
      <c r="X90" s="66" t="s">
        <v>48</v>
      </c>
      <c r="Y90" s="67" t="s">
        <v>48</v>
      </c>
    </row>
    <row r="91" spans="1:25" x14ac:dyDescent="0.2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85"/>
      <c r="M91" s="82" t="s">
        <v>43</v>
      </c>
      <c r="N91" s="83"/>
      <c r="O91" s="83"/>
      <c r="P91" s="83"/>
      <c r="Q91" s="83"/>
      <c r="R91" s="83"/>
      <c r="S91" s="84"/>
      <c r="T91" s="41" t="s">
        <v>42</v>
      </c>
      <c r="U91" s="42">
        <f>IFERROR(U84/H84,"0")+IFERROR(U85/H85,"0")+IFERROR(U86/H86,"0")+IFERROR(U87/H87,"0")+IFERROR(U88/H88,"0")+IFERROR(U89/H89,"0")+IFERROR(U90/H90,"0")</f>
        <v>0</v>
      </c>
      <c r="V91" s="42">
        <f>IFERROR(V84/H84,"0")+IFERROR(V85/H85,"0")+IFERROR(V86/H86,"0")+IFERROR(V87/H87,"0")+IFERROR(V88/H88,"0")+IFERROR(V89/H89,"0")+IFERROR(V90/H90,"0")</f>
        <v>0</v>
      </c>
      <c r="W91" s="42">
        <f>IFERROR(IF(W84="",0,W84),"0")+IFERROR(IF(W85="",0,W85),"0")+IFERROR(IF(W86="",0,W86),"0")+IFERROR(IF(W87="",0,W87),"0")+IFERROR(IF(W88="",0,W88),"0")+IFERROR(IF(W89="",0,W89),"0")+IFERROR(IF(W90="",0,W90),"0")</f>
        <v>0</v>
      </c>
      <c r="X91" s="65"/>
      <c r="Y91" s="65"/>
    </row>
    <row r="92" spans="1:25" x14ac:dyDescent="0.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85"/>
      <c r="M92" s="82" t="s">
        <v>43</v>
      </c>
      <c r="N92" s="83"/>
      <c r="O92" s="83"/>
      <c r="P92" s="83"/>
      <c r="Q92" s="83"/>
      <c r="R92" s="83"/>
      <c r="S92" s="84"/>
      <c r="T92" s="41" t="s">
        <v>0</v>
      </c>
      <c r="U92" s="42">
        <f>IFERROR(SUM(U84:U90),"0")</f>
        <v>0</v>
      </c>
      <c r="V92" s="42">
        <f>IFERROR(SUM(V84:V90),"0")</f>
        <v>0</v>
      </c>
      <c r="W92" s="41"/>
      <c r="X92" s="65"/>
      <c r="Y92" s="65"/>
    </row>
    <row r="93" spans="1:25" ht="14.25" customHeight="1" x14ac:dyDescent="0.25">
      <c r="A93" s="77" t="s">
        <v>73</v>
      </c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64"/>
      <c r="Y93" s="64"/>
    </row>
    <row r="94" spans="1:25" ht="16.5" customHeight="1" x14ac:dyDescent="0.25">
      <c r="A94" s="61" t="s">
        <v>210</v>
      </c>
      <c r="B94" s="61" t="s">
        <v>211</v>
      </c>
      <c r="C94" s="35">
        <v>4301030895</v>
      </c>
      <c r="D94" s="78">
        <v>4607091387667</v>
      </c>
      <c r="E94" s="78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7" t="s">
        <v>121</v>
      </c>
      <c r="L94" s="36">
        <v>40</v>
      </c>
      <c r="M94" s="79" t="s">
        <v>212</v>
      </c>
      <c r="N94" s="80"/>
      <c r="O94" s="80"/>
      <c r="P94" s="80"/>
      <c r="Q94" s="81"/>
      <c r="R94" s="38" t="s">
        <v>48</v>
      </c>
      <c r="S94" s="38" t="s">
        <v>48</v>
      </c>
      <c r="T94" s="39" t="s">
        <v>0</v>
      </c>
      <c r="U94" s="57">
        <v>26</v>
      </c>
      <c r="V94" s="54">
        <f t="shared" ref="V94:V102" si="5">IFERROR(IF(U94="",0,CEILING((U94/$H94),1)*$H94),"")</f>
        <v>27</v>
      </c>
      <c r="W94" s="40">
        <f>IFERROR(IF(V94=0,"",ROUNDUP(V94/H94,0)*0.02175),"")</f>
        <v>6.5250000000000002E-2</v>
      </c>
      <c r="X94" s="66" t="s">
        <v>48</v>
      </c>
      <c r="Y94" s="67" t="s">
        <v>48</v>
      </c>
    </row>
    <row r="95" spans="1:25" ht="27" customHeight="1" x14ac:dyDescent="0.25">
      <c r="A95" s="61" t="s">
        <v>213</v>
      </c>
      <c r="B95" s="61" t="s">
        <v>214</v>
      </c>
      <c r="C95" s="35">
        <v>4301030961</v>
      </c>
      <c r="D95" s="78">
        <v>4607091387636</v>
      </c>
      <c r="E95" s="78"/>
      <c r="F95" s="60">
        <v>0.7</v>
      </c>
      <c r="G95" s="36">
        <v>6</v>
      </c>
      <c r="H95" s="60">
        <v>4.2</v>
      </c>
      <c r="I95" s="60">
        <v>4.5</v>
      </c>
      <c r="J95" s="36">
        <v>120</v>
      </c>
      <c r="K95" s="37" t="s">
        <v>77</v>
      </c>
      <c r="L95" s="36">
        <v>40</v>
      </c>
      <c r="M95" s="79" t="s">
        <v>215</v>
      </c>
      <c r="N95" s="80"/>
      <c r="O95" s="80"/>
      <c r="P95" s="80"/>
      <c r="Q95" s="81"/>
      <c r="R95" s="38" t="s">
        <v>48</v>
      </c>
      <c r="S95" s="38" t="s">
        <v>48</v>
      </c>
      <c r="T95" s="39" t="s">
        <v>0</v>
      </c>
      <c r="U95" s="57">
        <v>0</v>
      </c>
      <c r="V95" s="54">
        <f t="shared" si="5"/>
        <v>0</v>
      </c>
      <c r="W95" s="40" t="str">
        <f>IFERROR(IF(V95=0,"",ROUNDUP(V95/H95,0)*0.00937),"")</f>
        <v/>
      </c>
      <c r="X95" s="66" t="s">
        <v>48</v>
      </c>
      <c r="Y95" s="67" t="s">
        <v>48</v>
      </c>
    </row>
    <row r="96" spans="1:25" ht="27" customHeight="1" x14ac:dyDescent="0.25">
      <c r="A96" s="61" t="s">
        <v>216</v>
      </c>
      <c r="B96" s="61" t="s">
        <v>217</v>
      </c>
      <c r="C96" s="35">
        <v>4301031078</v>
      </c>
      <c r="D96" s="78">
        <v>4607091384727</v>
      </c>
      <c r="E96" s="78"/>
      <c r="F96" s="60">
        <v>0.8</v>
      </c>
      <c r="G96" s="36">
        <v>6</v>
      </c>
      <c r="H96" s="60">
        <v>4.8</v>
      </c>
      <c r="I96" s="60">
        <v>5.16</v>
      </c>
      <c r="J96" s="36">
        <v>104</v>
      </c>
      <c r="K96" s="37" t="s">
        <v>77</v>
      </c>
      <c r="L96" s="36">
        <v>45</v>
      </c>
      <c r="M96" s="79" t="s">
        <v>218</v>
      </c>
      <c r="N96" s="80"/>
      <c r="O96" s="80"/>
      <c r="P96" s="80"/>
      <c r="Q96" s="81"/>
      <c r="R96" s="38" t="s">
        <v>48</v>
      </c>
      <c r="S96" s="38" t="s">
        <v>48</v>
      </c>
      <c r="T96" s="39" t="s">
        <v>0</v>
      </c>
      <c r="U96" s="57">
        <v>0</v>
      </c>
      <c r="V96" s="54">
        <f t="shared" si="5"/>
        <v>0</v>
      </c>
      <c r="W96" s="40" t="str">
        <f>IFERROR(IF(V96=0,"",ROUNDUP(V96/H96,0)*0.01196),"")</f>
        <v/>
      </c>
      <c r="X96" s="66" t="s">
        <v>48</v>
      </c>
      <c r="Y96" s="67" t="s">
        <v>48</v>
      </c>
    </row>
    <row r="97" spans="1:25" ht="27" customHeight="1" x14ac:dyDescent="0.25">
      <c r="A97" s="61" t="s">
        <v>219</v>
      </c>
      <c r="B97" s="61" t="s">
        <v>220</v>
      </c>
      <c r="C97" s="35">
        <v>4301031080</v>
      </c>
      <c r="D97" s="78">
        <v>4607091386745</v>
      </c>
      <c r="E97" s="78"/>
      <c r="F97" s="60">
        <v>0.8</v>
      </c>
      <c r="G97" s="36">
        <v>6</v>
      </c>
      <c r="H97" s="60">
        <v>4.8</v>
      </c>
      <c r="I97" s="60">
        <v>5.16</v>
      </c>
      <c r="J97" s="36">
        <v>104</v>
      </c>
      <c r="K97" s="37" t="s">
        <v>77</v>
      </c>
      <c r="L97" s="36">
        <v>45</v>
      </c>
      <c r="M97" s="79" t="s">
        <v>221</v>
      </c>
      <c r="N97" s="80"/>
      <c r="O97" s="80"/>
      <c r="P97" s="80"/>
      <c r="Q97" s="81"/>
      <c r="R97" s="38" t="s">
        <v>48</v>
      </c>
      <c r="S97" s="38" t="s">
        <v>48</v>
      </c>
      <c r="T97" s="39" t="s">
        <v>0</v>
      </c>
      <c r="U97" s="57">
        <v>0</v>
      </c>
      <c r="V97" s="54">
        <f t="shared" si="5"/>
        <v>0</v>
      </c>
      <c r="W97" s="40" t="str">
        <f>IFERROR(IF(V97=0,"",ROUNDUP(V97/H97,0)*0.01196),"")</f>
        <v/>
      </c>
      <c r="X97" s="66" t="s">
        <v>48</v>
      </c>
      <c r="Y97" s="67" t="s">
        <v>48</v>
      </c>
    </row>
    <row r="98" spans="1:25" ht="16.5" customHeight="1" x14ac:dyDescent="0.25">
      <c r="A98" s="61" t="s">
        <v>222</v>
      </c>
      <c r="B98" s="61" t="s">
        <v>223</v>
      </c>
      <c r="C98" s="35">
        <v>4301030963</v>
      </c>
      <c r="D98" s="78">
        <v>4607091382426</v>
      </c>
      <c r="E98" s="78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7" t="s">
        <v>77</v>
      </c>
      <c r="L98" s="36">
        <v>40</v>
      </c>
      <c r="M98" s="79" t="s">
        <v>224</v>
      </c>
      <c r="N98" s="80"/>
      <c r="O98" s="80"/>
      <c r="P98" s="80"/>
      <c r="Q98" s="81"/>
      <c r="R98" s="38" t="s">
        <v>48</v>
      </c>
      <c r="S98" s="38" t="s">
        <v>48</v>
      </c>
      <c r="T98" s="39" t="s">
        <v>0</v>
      </c>
      <c r="U98" s="57">
        <v>0</v>
      </c>
      <c r="V98" s="54">
        <f t="shared" si="5"/>
        <v>0</v>
      </c>
      <c r="W98" s="40" t="str">
        <f>IFERROR(IF(V98=0,"",ROUNDUP(V98/H98,0)*0.02175),"")</f>
        <v/>
      </c>
      <c r="X98" s="66" t="s">
        <v>48</v>
      </c>
      <c r="Y98" s="67" t="s">
        <v>48</v>
      </c>
    </row>
    <row r="99" spans="1:25" ht="27" customHeight="1" x14ac:dyDescent="0.25">
      <c r="A99" s="61" t="s">
        <v>225</v>
      </c>
      <c r="B99" s="61" t="s">
        <v>226</v>
      </c>
      <c r="C99" s="35">
        <v>4301030962</v>
      </c>
      <c r="D99" s="78">
        <v>4607091386547</v>
      </c>
      <c r="E99" s="78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7" t="s">
        <v>77</v>
      </c>
      <c r="L99" s="36">
        <v>40</v>
      </c>
      <c r="M99" s="79" t="s">
        <v>227</v>
      </c>
      <c r="N99" s="80"/>
      <c r="O99" s="80"/>
      <c r="P99" s="80"/>
      <c r="Q99" s="81"/>
      <c r="R99" s="38" t="s">
        <v>48</v>
      </c>
      <c r="S99" s="38" t="s">
        <v>48</v>
      </c>
      <c r="T99" s="39" t="s">
        <v>0</v>
      </c>
      <c r="U99" s="57">
        <v>0</v>
      </c>
      <c r="V99" s="54">
        <f t="shared" si="5"/>
        <v>0</v>
      </c>
      <c r="W99" s="40" t="str">
        <f>IFERROR(IF(V99=0,"",ROUNDUP(V99/H99,0)*0.00502),"")</f>
        <v/>
      </c>
      <c r="X99" s="66" t="s">
        <v>48</v>
      </c>
      <c r="Y99" s="67" t="s">
        <v>48</v>
      </c>
    </row>
    <row r="100" spans="1:25" ht="27" customHeight="1" x14ac:dyDescent="0.25">
      <c r="A100" s="61" t="s">
        <v>228</v>
      </c>
      <c r="B100" s="61" t="s">
        <v>229</v>
      </c>
      <c r="C100" s="35">
        <v>4301031077</v>
      </c>
      <c r="D100" s="78">
        <v>4607091384703</v>
      </c>
      <c r="E100" s="78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7" t="s">
        <v>77</v>
      </c>
      <c r="L100" s="36">
        <v>45</v>
      </c>
      <c r="M100" s="79" t="s">
        <v>230</v>
      </c>
      <c r="N100" s="80"/>
      <c r="O100" s="80"/>
      <c r="P100" s="80"/>
      <c r="Q100" s="81"/>
      <c r="R100" s="38" t="s">
        <v>48</v>
      </c>
      <c r="S100" s="38" t="s">
        <v>48</v>
      </c>
      <c r="T100" s="39" t="s">
        <v>0</v>
      </c>
      <c r="U100" s="57">
        <v>0</v>
      </c>
      <c r="V100" s="54">
        <f t="shared" si="5"/>
        <v>0</v>
      </c>
      <c r="W100" s="40" t="str">
        <f>IFERROR(IF(V100=0,"",ROUNDUP(V100/H100,0)*0.00502),"")</f>
        <v/>
      </c>
      <c r="X100" s="66" t="s">
        <v>48</v>
      </c>
      <c r="Y100" s="67" t="s">
        <v>48</v>
      </c>
    </row>
    <row r="101" spans="1:25" ht="27" customHeight="1" x14ac:dyDescent="0.25">
      <c r="A101" s="61" t="s">
        <v>231</v>
      </c>
      <c r="B101" s="61" t="s">
        <v>232</v>
      </c>
      <c r="C101" s="35">
        <v>4301031079</v>
      </c>
      <c r="D101" s="78">
        <v>4607091384734</v>
      </c>
      <c r="E101" s="78"/>
      <c r="F101" s="60">
        <v>0.35</v>
      </c>
      <c r="G101" s="36">
        <v>6</v>
      </c>
      <c r="H101" s="60">
        <v>2.1</v>
      </c>
      <c r="I101" s="60">
        <v>2.2000000000000002</v>
      </c>
      <c r="J101" s="36">
        <v>234</v>
      </c>
      <c r="K101" s="37" t="s">
        <v>77</v>
      </c>
      <c r="L101" s="36">
        <v>45</v>
      </c>
      <c r="M101" s="79" t="s">
        <v>233</v>
      </c>
      <c r="N101" s="80"/>
      <c r="O101" s="80"/>
      <c r="P101" s="80"/>
      <c r="Q101" s="81"/>
      <c r="R101" s="38" t="s">
        <v>48</v>
      </c>
      <c r="S101" s="38" t="s">
        <v>48</v>
      </c>
      <c r="T101" s="39" t="s">
        <v>0</v>
      </c>
      <c r="U101" s="57">
        <v>0</v>
      </c>
      <c r="V101" s="54">
        <f t="shared" si="5"/>
        <v>0</v>
      </c>
      <c r="W101" s="40" t="str">
        <f>IFERROR(IF(V101=0,"",ROUNDUP(V101/H101,0)*0.00502),"")</f>
        <v/>
      </c>
      <c r="X101" s="66" t="s">
        <v>48</v>
      </c>
      <c r="Y101" s="67" t="s">
        <v>48</v>
      </c>
    </row>
    <row r="102" spans="1:25" ht="27" customHeight="1" x14ac:dyDescent="0.25">
      <c r="A102" s="61" t="s">
        <v>234</v>
      </c>
      <c r="B102" s="61" t="s">
        <v>235</v>
      </c>
      <c r="C102" s="35">
        <v>4301030964</v>
      </c>
      <c r="D102" s="78">
        <v>4607091382464</v>
      </c>
      <c r="E102" s="78"/>
      <c r="F102" s="60">
        <v>0.35</v>
      </c>
      <c r="G102" s="36">
        <v>8</v>
      </c>
      <c r="H102" s="60">
        <v>2.8</v>
      </c>
      <c r="I102" s="60">
        <v>2.964</v>
      </c>
      <c r="J102" s="36">
        <v>234</v>
      </c>
      <c r="K102" s="37" t="s">
        <v>77</v>
      </c>
      <c r="L102" s="36">
        <v>40</v>
      </c>
      <c r="M102" s="79" t="s">
        <v>236</v>
      </c>
      <c r="N102" s="80"/>
      <c r="O102" s="80"/>
      <c r="P102" s="80"/>
      <c r="Q102" s="81"/>
      <c r="R102" s="38" t="s">
        <v>48</v>
      </c>
      <c r="S102" s="38" t="s">
        <v>48</v>
      </c>
      <c r="T102" s="39" t="s">
        <v>0</v>
      </c>
      <c r="U102" s="57">
        <v>0</v>
      </c>
      <c r="V102" s="54">
        <f t="shared" si="5"/>
        <v>0</v>
      </c>
      <c r="W102" s="40" t="str">
        <f>IFERROR(IF(V102=0,"",ROUNDUP(V102/H102,0)*0.00502),"")</f>
        <v/>
      </c>
      <c r="X102" s="66" t="s">
        <v>48</v>
      </c>
      <c r="Y102" s="67" t="s">
        <v>48</v>
      </c>
    </row>
    <row r="103" spans="1:25" x14ac:dyDescent="0.2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85"/>
      <c r="M103" s="82" t="s">
        <v>43</v>
      </c>
      <c r="N103" s="83"/>
      <c r="O103" s="83"/>
      <c r="P103" s="83"/>
      <c r="Q103" s="83"/>
      <c r="R103" s="83"/>
      <c r="S103" s="84"/>
      <c r="T103" s="41" t="s">
        <v>42</v>
      </c>
      <c r="U103" s="42">
        <f>IFERROR(U94/H94,"0")+IFERROR(U95/H95,"0")+IFERROR(U96/H96,"0")+IFERROR(U97/H97,"0")+IFERROR(U98/H98,"0")+IFERROR(U99/H99,"0")+IFERROR(U100/H100,"0")+IFERROR(U101/H101,"0")+IFERROR(U102/H102,"0")</f>
        <v>2.8888888888888888</v>
      </c>
      <c r="V103" s="42">
        <f>IFERROR(V94/H94,"0")+IFERROR(V95/H95,"0")+IFERROR(V96/H96,"0")+IFERROR(V97/H97,"0")+IFERROR(V98/H98,"0")+IFERROR(V99/H99,"0")+IFERROR(V100/H100,"0")+IFERROR(V101/H101,"0")+IFERROR(V102/H102,"0")</f>
        <v>3</v>
      </c>
      <c r="W103" s="42">
        <f>IFERROR(IF(W94="",0,W94),"0")+IFERROR(IF(W95="",0,W95),"0")+IFERROR(IF(W96="",0,W96),"0")+IFERROR(IF(W97="",0,W97),"0")+IFERROR(IF(W98="",0,W98),"0")+IFERROR(IF(W99="",0,W99),"0")+IFERROR(IF(W100="",0,W100),"0")+IFERROR(IF(W101="",0,W101),"0")+IFERROR(IF(W102="",0,W102),"0")</f>
        <v>6.5250000000000002E-2</v>
      </c>
      <c r="X103" s="65"/>
      <c r="Y103" s="65"/>
    </row>
    <row r="104" spans="1:25" x14ac:dyDescent="0.2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85"/>
      <c r="M104" s="82" t="s">
        <v>43</v>
      </c>
      <c r="N104" s="83"/>
      <c r="O104" s="83"/>
      <c r="P104" s="83"/>
      <c r="Q104" s="83"/>
      <c r="R104" s="83"/>
      <c r="S104" s="84"/>
      <c r="T104" s="41" t="s">
        <v>0</v>
      </c>
      <c r="U104" s="42">
        <f>IFERROR(SUM(U94:U102),"0")</f>
        <v>26</v>
      </c>
      <c r="V104" s="42">
        <f>IFERROR(SUM(V94:V102),"0")</f>
        <v>27</v>
      </c>
      <c r="W104" s="41"/>
      <c r="X104" s="65"/>
      <c r="Y104" s="65"/>
    </row>
    <row r="105" spans="1:25" ht="14.25" customHeight="1" x14ac:dyDescent="0.25">
      <c r="A105" s="77" t="s">
        <v>78</v>
      </c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64"/>
      <c r="Y105" s="64"/>
    </row>
    <row r="106" spans="1:25" ht="27" customHeight="1" x14ac:dyDescent="0.25">
      <c r="A106" s="61" t="s">
        <v>237</v>
      </c>
      <c r="B106" s="61" t="s">
        <v>238</v>
      </c>
      <c r="C106" s="35">
        <v>4301051437</v>
      </c>
      <c r="D106" s="78">
        <v>4607091386967</v>
      </c>
      <c r="E106" s="78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7" t="s">
        <v>157</v>
      </c>
      <c r="L106" s="36">
        <v>45</v>
      </c>
      <c r="M106" s="79" t="s">
        <v>239</v>
      </c>
      <c r="N106" s="80"/>
      <c r="O106" s="80"/>
      <c r="P106" s="80"/>
      <c r="Q106" s="81"/>
      <c r="R106" s="38" t="s">
        <v>48</v>
      </c>
      <c r="S106" s="38" t="s">
        <v>48</v>
      </c>
      <c r="T106" s="39" t="s">
        <v>0</v>
      </c>
      <c r="U106" s="57">
        <v>32</v>
      </c>
      <c r="V106" s="54">
        <f t="shared" ref="V106:V113" si="6">IFERROR(IF(U106="",0,CEILING((U106/$H106),1)*$H106),"")</f>
        <v>32.4</v>
      </c>
      <c r="W106" s="40">
        <f>IFERROR(IF(V106=0,"",ROUNDUP(V106/H106,0)*0.02175),"")</f>
        <v>8.6999999999999994E-2</v>
      </c>
      <c r="X106" s="66" t="s">
        <v>48</v>
      </c>
      <c r="Y106" s="67" t="s">
        <v>48</v>
      </c>
    </row>
    <row r="107" spans="1:25" ht="16.5" customHeight="1" x14ac:dyDescent="0.25">
      <c r="A107" s="61" t="s">
        <v>240</v>
      </c>
      <c r="B107" s="61" t="s">
        <v>241</v>
      </c>
      <c r="C107" s="35">
        <v>4301051311</v>
      </c>
      <c r="D107" s="78">
        <v>4607091385304</v>
      </c>
      <c r="E107" s="78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7" t="s">
        <v>77</v>
      </c>
      <c r="L107" s="36">
        <v>40</v>
      </c>
      <c r="M107" s="79" t="s">
        <v>242</v>
      </c>
      <c r="N107" s="80"/>
      <c r="O107" s="80"/>
      <c r="P107" s="80"/>
      <c r="Q107" s="81"/>
      <c r="R107" s="38" t="s">
        <v>48</v>
      </c>
      <c r="S107" s="38" t="s">
        <v>48</v>
      </c>
      <c r="T107" s="39" t="s">
        <v>0</v>
      </c>
      <c r="U107" s="57">
        <v>8</v>
      </c>
      <c r="V107" s="54">
        <f t="shared" si="6"/>
        <v>8.1</v>
      </c>
      <c r="W107" s="40">
        <f>IFERROR(IF(V107=0,"",ROUNDUP(V107/H107,0)*0.02175),"")</f>
        <v>2.1749999999999999E-2</v>
      </c>
      <c r="X107" s="66" t="s">
        <v>48</v>
      </c>
      <c r="Y107" s="67" t="s">
        <v>48</v>
      </c>
    </row>
    <row r="108" spans="1:25" ht="16.5" customHeight="1" x14ac:dyDescent="0.25">
      <c r="A108" s="61" t="s">
        <v>243</v>
      </c>
      <c r="B108" s="61" t="s">
        <v>244</v>
      </c>
      <c r="C108" s="35">
        <v>4301051306</v>
      </c>
      <c r="D108" s="78">
        <v>4607091386264</v>
      </c>
      <c r="E108" s="78"/>
      <c r="F108" s="60">
        <v>0.5</v>
      </c>
      <c r="G108" s="36">
        <v>6</v>
      </c>
      <c r="H108" s="60">
        <v>3</v>
      </c>
      <c r="I108" s="60">
        <v>3.278</v>
      </c>
      <c r="J108" s="36">
        <v>156</v>
      </c>
      <c r="K108" s="37" t="s">
        <v>77</v>
      </c>
      <c r="L108" s="36">
        <v>31</v>
      </c>
      <c r="M108" s="79" t="s">
        <v>245</v>
      </c>
      <c r="N108" s="80"/>
      <c r="O108" s="80"/>
      <c r="P108" s="80"/>
      <c r="Q108" s="81"/>
      <c r="R108" s="38" t="s">
        <v>48</v>
      </c>
      <c r="S108" s="38" t="s">
        <v>48</v>
      </c>
      <c r="T108" s="39" t="s">
        <v>0</v>
      </c>
      <c r="U108" s="57">
        <v>30</v>
      </c>
      <c r="V108" s="54">
        <f t="shared" si="6"/>
        <v>30</v>
      </c>
      <c r="W108" s="40">
        <f>IFERROR(IF(V108=0,"",ROUNDUP(V108/H108,0)*0.00753),"")</f>
        <v>7.5300000000000006E-2</v>
      </c>
      <c r="X108" s="66" t="s">
        <v>48</v>
      </c>
      <c r="Y108" s="67" t="s">
        <v>48</v>
      </c>
    </row>
    <row r="109" spans="1:25" ht="27" customHeight="1" x14ac:dyDescent="0.25">
      <c r="A109" s="61" t="s">
        <v>246</v>
      </c>
      <c r="B109" s="61" t="s">
        <v>247</v>
      </c>
      <c r="C109" s="35">
        <v>4301051436</v>
      </c>
      <c r="D109" s="78">
        <v>4607091385731</v>
      </c>
      <c r="E109" s="78"/>
      <c r="F109" s="60">
        <v>0.45</v>
      </c>
      <c r="G109" s="36">
        <v>6</v>
      </c>
      <c r="H109" s="60">
        <v>2.7</v>
      </c>
      <c r="I109" s="60">
        <v>2.972</v>
      </c>
      <c r="J109" s="36">
        <v>156</v>
      </c>
      <c r="K109" s="37" t="s">
        <v>157</v>
      </c>
      <c r="L109" s="36">
        <v>45</v>
      </c>
      <c r="M109" s="79" t="s">
        <v>248</v>
      </c>
      <c r="N109" s="80"/>
      <c r="O109" s="80"/>
      <c r="P109" s="80"/>
      <c r="Q109" s="81"/>
      <c r="R109" s="38" t="s">
        <v>48</v>
      </c>
      <c r="S109" s="38" t="s">
        <v>48</v>
      </c>
      <c r="T109" s="39" t="s">
        <v>0</v>
      </c>
      <c r="U109" s="57">
        <v>225</v>
      </c>
      <c r="V109" s="54">
        <f t="shared" si="6"/>
        <v>226.8</v>
      </c>
      <c r="W109" s="40">
        <f>IFERROR(IF(V109=0,"",ROUNDUP(V109/H109,0)*0.00753),"")</f>
        <v>0.63251999999999997</v>
      </c>
      <c r="X109" s="66" t="s">
        <v>48</v>
      </c>
      <c r="Y109" s="67" t="s">
        <v>48</v>
      </c>
    </row>
    <row r="110" spans="1:25" ht="27" customHeight="1" x14ac:dyDescent="0.25">
      <c r="A110" s="61" t="s">
        <v>246</v>
      </c>
      <c r="B110" s="61" t="s">
        <v>249</v>
      </c>
      <c r="C110" s="35">
        <v>4301051121</v>
      </c>
      <c r="D110" s="78">
        <v>4607091385731</v>
      </c>
      <c r="E110" s="78"/>
      <c r="F110" s="60">
        <v>0.45</v>
      </c>
      <c r="G110" s="36">
        <v>6</v>
      </c>
      <c r="H110" s="60">
        <v>2.7</v>
      </c>
      <c r="I110" s="60">
        <v>2.972</v>
      </c>
      <c r="J110" s="36">
        <v>156</v>
      </c>
      <c r="K110" s="37" t="s">
        <v>157</v>
      </c>
      <c r="L110" s="36">
        <v>40</v>
      </c>
      <c r="M110" s="79" t="s">
        <v>248</v>
      </c>
      <c r="N110" s="80"/>
      <c r="O110" s="80"/>
      <c r="P110" s="80"/>
      <c r="Q110" s="81"/>
      <c r="R110" s="38" t="s">
        <v>48</v>
      </c>
      <c r="S110" s="38" t="s">
        <v>48</v>
      </c>
      <c r="T110" s="39" t="s">
        <v>0</v>
      </c>
      <c r="U110" s="57">
        <v>0</v>
      </c>
      <c r="V110" s="54">
        <f t="shared" si="6"/>
        <v>0</v>
      </c>
      <c r="W110" s="40" t="str">
        <f>IFERROR(IF(V110=0,"",ROUNDUP(V110/H110,0)*0.00753),"")</f>
        <v/>
      </c>
      <c r="X110" s="66" t="s">
        <v>48</v>
      </c>
      <c r="Y110" s="67" t="s">
        <v>48</v>
      </c>
    </row>
    <row r="111" spans="1:25" ht="27" customHeight="1" x14ac:dyDescent="0.25">
      <c r="A111" s="61" t="s">
        <v>250</v>
      </c>
      <c r="B111" s="61" t="s">
        <v>251</v>
      </c>
      <c r="C111" s="35">
        <v>4301051439</v>
      </c>
      <c r="D111" s="78">
        <v>4680115880214</v>
      </c>
      <c r="E111" s="78"/>
      <c r="F111" s="60">
        <v>0.45</v>
      </c>
      <c r="G111" s="36">
        <v>6</v>
      </c>
      <c r="H111" s="60">
        <v>2.7</v>
      </c>
      <c r="I111" s="60">
        <v>2.988</v>
      </c>
      <c r="J111" s="36">
        <v>120</v>
      </c>
      <c r="K111" s="37" t="s">
        <v>157</v>
      </c>
      <c r="L111" s="36">
        <v>45</v>
      </c>
      <c r="M111" s="79" t="s">
        <v>252</v>
      </c>
      <c r="N111" s="80"/>
      <c r="O111" s="80"/>
      <c r="P111" s="80"/>
      <c r="Q111" s="81"/>
      <c r="R111" s="38" t="s">
        <v>48</v>
      </c>
      <c r="S111" s="38" t="s">
        <v>48</v>
      </c>
      <c r="T111" s="39" t="s">
        <v>0</v>
      </c>
      <c r="U111" s="57">
        <v>0</v>
      </c>
      <c r="V111" s="54">
        <f t="shared" si="6"/>
        <v>0</v>
      </c>
      <c r="W111" s="40" t="str">
        <f>IFERROR(IF(V111=0,"",ROUNDUP(V111/H111,0)*0.00937),"")</f>
        <v/>
      </c>
      <c r="X111" s="66" t="s">
        <v>48</v>
      </c>
      <c r="Y111" s="67" t="s">
        <v>48</v>
      </c>
    </row>
    <row r="112" spans="1:25" ht="27" customHeight="1" x14ac:dyDescent="0.25">
      <c r="A112" s="61" t="s">
        <v>253</v>
      </c>
      <c r="B112" s="61" t="s">
        <v>254</v>
      </c>
      <c r="C112" s="35">
        <v>4301051438</v>
      </c>
      <c r="D112" s="78">
        <v>4680115880894</v>
      </c>
      <c r="E112" s="78"/>
      <c r="F112" s="60">
        <v>0.33</v>
      </c>
      <c r="G112" s="36">
        <v>6</v>
      </c>
      <c r="H112" s="60">
        <v>1.98</v>
      </c>
      <c r="I112" s="60">
        <v>2.258</v>
      </c>
      <c r="J112" s="36">
        <v>156</v>
      </c>
      <c r="K112" s="37" t="s">
        <v>157</v>
      </c>
      <c r="L112" s="36">
        <v>45</v>
      </c>
      <c r="M112" s="79" t="s">
        <v>255</v>
      </c>
      <c r="N112" s="80"/>
      <c r="O112" s="80"/>
      <c r="P112" s="80"/>
      <c r="Q112" s="81"/>
      <c r="R112" s="38" t="s">
        <v>48</v>
      </c>
      <c r="S112" s="38" t="s">
        <v>48</v>
      </c>
      <c r="T112" s="39" t="s">
        <v>0</v>
      </c>
      <c r="U112" s="57">
        <v>0</v>
      </c>
      <c r="V112" s="54">
        <f t="shared" si="6"/>
        <v>0</v>
      </c>
      <c r="W112" s="40" t="str">
        <f>IFERROR(IF(V112=0,"",ROUNDUP(V112/H112,0)*0.00753),"")</f>
        <v/>
      </c>
      <c r="X112" s="66" t="s">
        <v>48</v>
      </c>
      <c r="Y112" s="67" t="s">
        <v>48</v>
      </c>
    </row>
    <row r="113" spans="1:25" ht="27" customHeight="1" x14ac:dyDescent="0.25">
      <c r="A113" s="61" t="s">
        <v>256</v>
      </c>
      <c r="B113" s="61" t="s">
        <v>257</v>
      </c>
      <c r="C113" s="35">
        <v>4301051313</v>
      </c>
      <c r="D113" s="78">
        <v>4607091385427</v>
      </c>
      <c r="E113" s="78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7" t="s">
        <v>77</v>
      </c>
      <c r="L113" s="36">
        <v>40</v>
      </c>
      <c r="M113" s="79" t="s">
        <v>258</v>
      </c>
      <c r="N113" s="80"/>
      <c r="O113" s="80"/>
      <c r="P113" s="80"/>
      <c r="Q113" s="81"/>
      <c r="R113" s="38" t="s">
        <v>48</v>
      </c>
      <c r="S113" s="38" t="s">
        <v>48</v>
      </c>
      <c r="T113" s="39" t="s">
        <v>0</v>
      </c>
      <c r="U113" s="57">
        <v>36</v>
      </c>
      <c r="V113" s="54">
        <f t="shared" si="6"/>
        <v>36</v>
      </c>
      <c r="W113" s="40">
        <f>IFERROR(IF(V113=0,"",ROUNDUP(V113/H113,0)*0.00753),"")</f>
        <v>9.0359999999999996E-2</v>
      </c>
      <c r="X113" s="66" t="s">
        <v>48</v>
      </c>
      <c r="Y113" s="67" t="s">
        <v>48</v>
      </c>
    </row>
    <row r="114" spans="1:25" x14ac:dyDescent="0.2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85"/>
      <c r="M114" s="82" t="s">
        <v>43</v>
      </c>
      <c r="N114" s="83"/>
      <c r="O114" s="83"/>
      <c r="P114" s="83"/>
      <c r="Q114" s="83"/>
      <c r="R114" s="83"/>
      <c r="S114" s="84"/>
      <c r="T114" s="41" t="s">
        <v>42</v>
      </c>
      <c r="U114" s="42">
        <f>IFERROR(U106/H106,"0")+IFERROR(U107/H107,"0")+IFERROR(U108/H108,"0")+IFERROR(U109/H109,"0")+IFERROR(U110/H110,"0")+IFERROR(U111/H111,"0")+IFERROR(U112/H112,"0")+IFERROR(U113/H113,"0")</f>
        <v>110.27160493827159</v>
      </c>
      <c r="V114" s="42">
        <f>IFERROR(V106/H106,"0")+IFERROR(V107/H107,"0")+IFERROR(V108/H108,"0")+IFERROR(V109/H109,"0")+IFERROR(V110/H110,"0")+IFERROR(V111/H111,"0")+IFERROR(V112/H112,"0")+IFERROR(V113/H113,"0")</f>
        <v>111</v>
      </c>
      <c r="W114" s="42">
        <f>IFERROR(IF(W106="",0,W106),"0")+IFERROR(IF(W107="",0,W107),"0")+IFERROR(IF(W108="",0,W108),"0")+IFERROR(IF(W109="",0,W109),"0")+IFERROR(IF(W110="",0,W110),"0")+IFERROR(IF(W111="",0,W111),"0")+IFERROR(IF(W112="",0,W112),"0")+IFERROR(IF(W113="",0,W113),"0")</f>
        <v>0.90693000000000001</v>
      </c>
      <c r="X114" s="65"/>
      <c r="Y114" s="65"/>
    </row>
    <row r="115" spans="1:25" x14ac:dyDescent="0.2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85"/>
      <c r="M115" s="82" t="s">
        <v>43</v>
      </c>
      <c r="N115" s="83"/>
      <c r="O115" s="83"/>
      <c r="P115" s="83"/>
      <c r="Q115" s="83"/>
      <c r="R115" s="83"/>
      <c r="S115" s="84"/>
      <c r="T115" s="41" t="s">
        <v>0</v>
      </c>
      <c r="U115" s="42">
        <f>IFERROR(SUM(U106:U113),"0")</f>
        <v>331</v>
      </c>
      <c r="V115" s="42">
        <f>IFERROR(SUM(V106:V113),"0")</f>
        <v>333.3</v>
      </c>
      <c r="W115" s="41"/>
      <c r="X115" s="65"/>
      <c r="Y115" s="65"/>
    </row>
    <row r="116" spans="1:25" ht="14.25" customHeight="1" x14ac:dyDescent="0.25">
      <c r="A116" s="77" t="s">
        <v>259</v>
      </c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64"/>
      <c r="Y116" s="64"/>
    </row>
    <row r="117" spans="1:25" ht="27" customHeight="1" x14ac:dyDescent="0.25">
      <c r="A117" s="61" t="s">
        <v>260</v>
      </c>
      <c r="B117" s="61" t="s">
        <v>261</v>
      </c>
      <c r="C117" s="35">
        <v>4301060296</v>
      </c>
      <c r="D117" s="78">
        <v>4607091383065</v>
      </c>
      <c r="E117" s="78"/>
      <c r="F117" s="60">
        <v>0.83</v>
      </c>
      <c r="G117" s="36">
        <v>4</v>
      </c>
      <c r="H117" s="60">
        <v>3.32</v>
      </c>
      <c r="I117" s="60">
        <v>3.5819999999999999</v>
      </c>
      <c r="J117" s="36">
        <v>120</v>
      </c>
      <c r="K117" s="37" t="s">
        <v>77</v>
      </c>
      <c r="L117" s="36">
        <v>30</v>
      </c>
      <c r="M117" s="79" t="s">
        <v>262</v>
      </c>
      <c r="N117" s="80"/>
      <c r="O117" s="80"/>
      <c r="P117" s="80"/>
      <c r="Q117" s="81"/>
      <c r="R117" s="38" t="s">
        <v>48</v>
      </c>
      <c r="S117" s="38" t="s">
        <v>48</v>
      </c>
      <c r="T117" s="39" t="s">
        <v>0</v>
      </c>
      <c r="U117" s="57">
        <v>0</v>
      </c>
      <c r="V117" s="54">
        <f>IFERROR(IF(U117="",0,CEILING((U117/$H117),1)*$H117),"")</f>
        <v>0</v>
      </c>
      <c r="W117" s="40" t="str">
        <f>IFERROR(IF(V117=0,"",ROUNDUP(V117/H117,0)*0.00937),"")</f>
        <v/>
      </c>
      <c r="X117" s="66" t="s">
        <v>48</v>
      </c>
      <c r="Y117" s="67" t="s">
        <v>48</v>
      </c>
    </row>
    <row r="118" spans="1:25" ht="27" customHeight="1" x14ac:dyDescent="0.25">
      <c r="A118" s="61" t="s">
        <v>263</v>
      </c>
      <c r="B118" s="61" t="s">
        <v>264</v>
      </c>
      <c r="C118" s="35">
        <v>4301060282</v>
      </c>
      <c r="D118" s="78">
        <v>4607091380699</v>
      </c>
      <c r="E118" s="78"/>
      <c r="F118" s="60">
        <v>1.3</v>
      </c>
      <c r="G118" s="36">
        <v>6</v>
      </c>
      <c r="H118" s="60">
        <v>7.8</v>
      </c>
      <c r="I118" s="60">
        <v>8.3640000000000008</v>
      </c>
      <c r="J118" s="36">
        <v>56</v>
      </c>
      <c r="K118" s="37" t="s">
        <v>77</v>
      </c>
      <c r="L118" s="36">
        <v>30</v>
      </c>
      <c r="M118" s="79" t="s">
        <v>265</v>
      </c>
      <c r="N118" s="80"/>
      <c r="O118" s="80"/>
      <c r="P118" s="80"/>
      <c r="Q118" s="81"/>
      <c r="R118" s="38" t="s">
        <v>48</v>
      </c>
      <c r="S118" s="38" t="s">
        <v>48</v>
      </c>
      <c r="T118" s="39" t="s">
        <v>0</v>
      </c>
      <c r="U118" s="57">
        <v>0</v>
      </c>
      <c r="V118" s="54">
        <f>IFERROR(IF(U118="",0,CEILING((U118/$H118),1)*$H118),"")</f>
        <v>0</v>
      </c>
      <c r="W118" s="40" t="str">
        <f>IFERROR(IF(V118=0,"",ROUNDUP(V118/H118,0)*0.02175),"")</f>
        <v/>
      </c>
      <c r="X118" s="66" t="s">
        <v>48</v>
      </c>
      <c r="Y118" s="67" t="s">
        <v>48</v>
      </c>
    </row>
    <row r="119" spans="1:25" ht="16.5" customHeight="1" x14ac:dyDescent="0.25">
      <c r="A119" s="61" t="s">
        <v>266</v>
      </c>
      <c r="B119" s="61" t="s">
        <v>267</v>
      </c>
      <c r="C119" s="35">
        <v>4301060309</v>
      </c>
      <c r="D119" s="78">
        <v>4680115880238</v>
      </c>
      <c r="E119" s="78"/>
      <c r="F119" s="60">
        <v>0.33</v>
      </c>
      <c r="G119" s="36">
        <v>6</v>
      </c>
      <c r="H119" s="60">
        <v>1.98</v>
      </c>
      <c r="I119" s="60">
        <v>2.258</v>
      </c>
      <c r="J119" s="36">
        <v>156</v>
      </c>
      <c r="K119" s="37" t="s">
        <v>77</v>
      </c>
      <c r="L119" s="36">
        <v>40</v>
      </c>
      <c r="M119" s="79" t="s">
        <v>268</v>
      </c>
      <c r="N119" s="80"/>
      <c r="O119" s="80"/>
      <c r="P119" s="80"/>
      <c r="Q119" s="81"/>
      <c r="R119" s="38" t="s">
        <v>48</v>
      </c>
      <c r="S119" s="38" t="s">
        <v>48</v>
      </c>
      <c r="T119" s="39" t="s">
        <v>0</v>
      </c>
      <c r="U119" s="57">
        <v>0</v>
      </c>
      <c r="V119" s="54">
        <f>IFERROR(IF(U119="",0,CEILING((U119/$H119),1)*$H119),"")</f>
        <v>0</v>
      </c>
      <c r="W119" s="40" t="str">
        <f>IFERROR(IF(V119=0,"",ROUNDUP(V119/H119,0)*0.00753),"")</f>
        <v/>
      </c>
      <c r="X119" s="66" t="s">
        <v>48</v>
      </c>
      <c r="Y119" s="67" t="s">
        <v>48</v>
      </c>
    </row>
    <row r="120" spans="1:25" ht="27" customHeight="1" x14ac:dyDescent="0.25">
      <c r="A120" s="61" t="s">
        <v>269</v>
      </c>
      <c r="B120" s="61" t="s">
        <v>270</v>
      </c>
      <c r="C120" s="35">
        <v>4301060304</v>
      </c>
      <c r="D120" s="78">
        <v>4607091385922</v>
      </c>
      <c r="E120" s="78"/>
      <c r="F120" s="60">
        <v>0.47</v>
      </c>
      <c r="G120" s="36">
        <v>6</v>
      </c>
      <c r="H120" s="60">
        <v>2.82</v>
      </c>
      <c r="I120" s="60">
        <v>3.0979999999999999</v>
      </c>
      <c r="J120" s="36">
        <v>156</v>
      </c>
      <c r="K120" s="37" t="s">
        <v>77</v>
      </c>
      <c r="L120" s="36">
        <v>30</v>
      </c>
      <c r="M120" s="79" t="s">
        <v>271</v>
      </c>
      <c r="N120" s="80"/>
      <c r="O120" s="80"/>
      <c r="P120" s="80"/>
      <c r="Q120" s="81"/>
      <c r="R120" s="38" t="s">
        <v>48</v>
      </c>
      <c r="S120" s="38" t="s">
        <v>48</v>
      </c>
      <c r="T120" s="39" t="s">
        <v>0</v>
      </c>
      <c r="U120" s="57">
        <v>0</v>
      </c>
      <c r="V120" s="54">
        <f>IFERROR(IF(U120="",0,CEILING((U120/$H120),1)*$H120),"")</f>
        <v>0</v>
      </c>
      <c r="W120" s="40" t="str">
        <f>IFERROR(IF(V120=0,"",ROUNDUP(V120/H120,0)*0.00753),"")</f>
        <v/>
      </c>
      <c r="X120" s="66" t="s">
        <v>48</v>
      </c>
      <c r="Y120" s="67" t="s">
        <v>48</v>
      </c>
    </row>
    <row r="121" spans="1:25" x14ac:dyDescent="0.2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85"/>
      <c r="M121" s="82" t="s">
        <v>43</v>
      </c>
      <c r="N121" s="83"/>
      <c r="O121" s="83"/>
      <c r="P121" s="83"/>
      <c r="Q121" s="83"/>
      <c r="R121" s="83"/>
      <c r="S121" s="84"/>
      <c r="T121" s="41" t="s">
        <v>42</v>
      </c>
      <c r="U121" s="42">
        <f>IFERROR(U117/H117,"0")+IFERROR(U118/H118,"0")+IFERROR(U119/H119,"0")+IFERROR(U120/H120,"0")</f>
        <v>0</v>
      </c>
      <c r="V121" s="42">
        <f>IFERROR(V117/H117,"0")+IFERROR(V118/H118,"0")+IFERROR(V119/H119,"0")+IFERROR(V120/H120,"0")</f>
        <v>0</v>
      </c>
      <c r="W121" s="42">
        <f>IFERROR(IF(W117="",0,W117),"0")+IFERROR(IF(W118="",0,W118),"0")+IFERROR(IF(W119="",0,W119),"0")+IFERROR(IF(W120="",0,W120),"0")</f>
        <v>0</v>
      </c>
      <c r="X121" s="65"/>
      <c r="Y121" s="65"/>
    </row>
    <row r="122" spans="1:25" x14ac:dyDescent="0.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85"/>
      <c r="M122" s="82" t="s">
        <v>43</v>
      </c>
      <c r="N122" s="83"/>
      <c r="O122" s="83"/>
      <c r="P122" s="83"/>
      <c r="Q122" s="83"/>
      <c r="R122" s="83"/>
      <c r="S122" s="84"/>
      <c r="T122" s="41" t="s">
        <v>0</v>
      </c>
      <c r="U122" s="42">
        <f>IFERROR(SUM(U117:U120),"0")</f>
        <v>0</v>
      </c>
      <c r="V122" s="42">
        <f>IFERROR(SUM(V117:V120),"0")</f>
        <v>0</v>
      </c>
      <c r="W122" s="41"/>
      <c r="X122" s="65"/>
      <c r="Y122" s="65"/>
    </row>
    <row r="123" spans="1:25" ht="16.5" customHeight="1" x14ac:dyDescent="0.25">
      <c r="A123" s="87" t="s">
        <v>272</v>
      </c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63"/>
      <c r="Y123" s="63"/>
    </row>
    <row r="124" spans="1:25" ht="14.25" customHeight="1" x14ac:dyDescent="0.25">
      <c r="A124" s="77" t="s">
        <v>78</v>
      </c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64"/>
      <c r="Y124" s="64"/>
    </row>
    <row r="125" spans="1:25" ht="27" customHeight="1" x14ac:dyDescent="0.25">
      <c r="A125" s="61" t="s">
        <v>273</v>
      </c>
      <c r="B125" s="61" t="s">
        <v>274</v>
      </c>
      <c r="C125" s="35">
        <v>4301051360</v>
      </c>
      <c r="D125" s="78">
        <v>4607091385168</v>
      </c>
      <c r="E125" s="78"/>
      <c r="F125" s="60">
        <v>1.35</v>
      </c>
      <c r="G125" s="36">
        <v>6</v>
      </c>
      <c r="H125" s="60">
        <v>8.1</v>
      </c>
      <c r="I125" s="60">
        <v>8.6579999999999995</v>
      </c>
      <c r="J125" s="36">
        <v>56</v>
      </c>
      <c r="K125" s="37" t="s">
        <v>157</v>
      </c>
      <c r="L125" s="36">
        <v>45</v>
      </c>
      <c r="M125" s="79" t="s">
        <v>275</v>
      </c>
      <c r="N125" s="80"/>
      <c r="O125" s="80"/>
      <c r="P125" s="80"/>
      <c r="Q125" s="81"/>
      <c r="R125" s="38" t="s">
        <v>48</v>
      </c>
      <c r="S125" s="38" t="s">
        <v>48</v>
      </c>
      <c r="T125" s="39" t="s">
        <v>0</v>
      </c>
      <c r="U125" s="57">
        <v>15</v>
      </c>
      <c r="V125" s="54">
        <f>IFERROR(IF(U125="",0,CEILING((U125/$H125),1)*$H125),"")</f>
        <v>16.2</v>
      </c>
      <c r="W125" s="40">
        <f>IFERROR(IF(V125=0,"",ROUNDUP(V125/H125,0)*0.02175),"")</f>
        <v>4.3499999999999997E-2</v>
      </c>
      <c r="X125" s="66" t="s">
        <v>48</v>
      </c>
      <c r="Y125" s="67" t="s">
        <v>48</v>
      </c>
    </row>
    <row r="126" spans="1:25" ht="16.5" customHeight="1" x14ac:dyDescent="0.25">
      <c r="A126" s="61" t="s">
        <v>276</v>
      </c>
      <c r="B126" s="61" t="s">
        <v>277</v>
      </c>
      <c r="C126" s="35">
        <v>4301051362</v>
      </c>
      <c r="D126" s="78">
        <v>4607091383256</v>
      </c>
      <c r="E126" s="78"/>
      <c r="F126" s="60">
        <v>0.33</v>
      </c>
      <c r="G126" s="36">
        <v>6</v>
      </c>
      <c r="H126" s="60">
        <v>1.98</v>
      </c>
      <c r="I126" s="60">
        <v>2.246</v>
      </c>
      <c r="J126" s="36">
        <v>156</v>
      </c>
      <c r="K126" s="37" t="s">
        <v>157</v>
      </c>
      <c r="L126" s="36">
        <v>45</v>
      </c>
      <c r="M126" s="79" t="s">
        <v>278</v>
      </c>
      <c r="N126" s="80"/>
      <c r="O126" s="80"/>
      <c r="P126" s="80"/>
      <c r="Q126" s="81"/>
      <c r="R126" s="38" t="s">
        <v>48</v>
      </c>
      <c r="S126" s="38" t="s">
        <v>48</v>
      </c>
      <c r="T126" s="39" t="s">
        <v>0</v>
      </c>
      <c r="U126" s="57">
        <v>0</v>
      </c>
      <c r="V126" s="54">
        <f>IFERROR(IF(U126="",0,CEILING((U126/$H126),1)*$H126),"")</f>
        <v>0</v>
      </c>
      <c r="W126" s="40" t="str">
        <f>IFERROR(IF(V126=0,"",ROUNDUP(V126/H126,0)*0.00753),"")</f>
        <v/>
      </c>
      <c r="X126" s="66" t="s">
        <v>48</v>
      </c>
      <c r="Y126" s="67" t="s">
        <v>48</v>
      </c>
    </row>
    <row r="127" spans="1:25" ht="16.5" customHeight="1" x14ac:dyDescent="0.25">
      <c r="A127" s="61" t="s">
        <v>279</v>
      </c>
      <c r="B127" s="61" t="s">
        <v>280</v>
      </c>
      <c r="C127" s="35">
        <v>4301051358</v>
      </c>
      <c r="D127" s="78">
        <v>4607091385748</v>
      </c>
      <c r="E127" s="78"/>
      <c r="F127" s="60">
        <v>0.45</v>
      </c>
      <c r="G127" s="36">
        <v>6</v>
      </c>
      <c r="H127" s="60">
        <v>2.7</v>
      </c>
      <c r="I127" s="60">
        <v>2.972</v>
      </c>
      <c r="J127" s="36">
        <v>156</v>
      </c>
      <c r="K127" s="37" t="s">
        <v>157</v>
      </c>
      <c r="L127" s="36">
        <v>45</v>
      </c>
      <c r="M127" s="79" t="s">
        <v>281</v>
      </c>
      <c r="N127" s="80"/>
      <c r="O127" s="80"/>
      <c r="P127" s="80"/>
      <c r="Q127" s="81"/>
      <c r="R127" s="38" t="s">
        <v>48</v>
      </c>
      <c r="S127" s="38" t="s">
        <v>48</v>
      </c>
      <c r="T127" s="39" t="s">
        <v>0</v>
      </c>
      <c r="U127" s="57">
        <v>225</v>
      </c>
      <c r="V127" s="54">
        <f>IFERROR(IF(U127="",0,CEILING((U127/$H127),1)*$H127),"")</f>
        <v>226.8</v>
      </c>
      <c r="W127" s="40">
        <f>IFERROR(IF(V127=0,"",ROUNDUP(V127/H127,0)*0.00753),"")</f>
        <v>0.63251999999999997</v>
      </c>
      <c r="X127" s="66" t="s">
        <v>48</v>
      </c>
      <c r="Y127" s="67" t="s">
        <v>48</v>
      </c>
    </row>
    <row r="128" spans="1:25" ht="16.5" customHeight="1" x14ac:dyDescent="0.25">
      <c r="A128" s="61" t="s">
        <v>282</v>
      </c>
      <c r="B128" s="61" t="s">
        <v>283</v>
      </c>
      <c r="C128" s="35">
        <v>4301051364</v>
      </c>
      <c r="D128" s="78">
        <v>4607091384581</v>
      </c>
      <c r="E128" s="78"/>
      <c r="F128" s="60">
        <v>0.67</v>
      </c>
      <c r="G128" s="36">
        <v>4</v>
      </c>
      <c r="H128" s="60">
        <v>2.68</v>
      </c>
      <c r="I128" s="60">
        <v>2.9420000000000002</v>
      </c>
      <c r="J128" s="36">
        <v>120</v>
      </c>
      <c r="K128" s="37" t="s">
        <v>157</v>
      </c>
      <c r="L128" s="36">
        <v>45</v>
      </c>
      <c r="M128" s="79" t="s">
        <v>284</v>
      </c>
      <c r="N128" s="80"/>
      <c r="O128" s="80"/>
      <c r="P128" s="80"/>
      <c r="Q128" s="81"/>
      <c r="R128" s="38" t="s">
        <v>48</v>
      </c>
      <c r="S128" s="38" t="s">
        <v>48</v>
      </c>
      <c r="T128" s="39" t="s">
        <v>0</v>
      </c>
      <c r="U128" s="57">
        <v>0</v>
      </c>
      <c r="V128" s="54">
        <f>IFERROR(IF(U128="",0,CEILING((U128/$H128),1)*$H128),"")</f>
        <v>0</v>
      </c>
      <c r="W128" s="40" t="str">
        <f>IFERROR(IF(V128=0,"",ROUNDUP(V128/H128,0)*0.00937),"")</f>
        <v/>
      </c>
      <c r="X128" s="66" t="s">
        <v>48</v>
      </c>
      <c r="Y128" s="67" t="s">
        <v>48</v>
      </c>
    </row>
    <row r="129" spans="1:25" x14ac:dyDescent="0.2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85"/>
      <c r="M129" s="82" t="s">
        <v>43</v>
      </c>
      <c r="N129" s="83"/>
      <c r="O129" s="83"/>
      <c r="P129" s="83"/>
      <c r="Q129" s="83"/>
      <c r="R129" s="83"/>
      <c r="S129" s="84"/>
      <c r="T129" s="41" t="s">
        <v>42</v>
      </c>
      <c r="U129" s="42">
        <f>IFERROR(U125/H125,"0")+IFERROR(U126/H126,"0")+IFERROR(U127/H127,"0")+IFERROR(U128/H128,"0")</f>
        <v>85.185185185185176</v>
      </c>
      <c r="V129" s="42">
        <f>IFERROR(V125/H125,"0")+IFERROR(V126/H126,"0")+IFERROR(V127/H127,"0")+IFERROR(V128/H128,"0")</f>
        <v>86</v>
      </c>
      <c r="W129" s="42">
        <f>IFERROR(IF(W125="",0,W125),"0")+IFERROR(IF(W126="",0,W126),"0")+IFERROR(IF(W127="",0,W127),"0")+IFERROR(IF(W128="",0,W128),"0")</f>
        <v>0.67601999999999995</v>
      </c>
      <c r="X129" s="65"/>
      <c r="Y129" s="65"/>
    </row>
    <row r="130" spans="1:25" x14ac:dyDescent="0.2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85"/>
      <c r="M130" s="82" t="s">
        <v>43</v>
      </c>
      <c r="N130" s="83"/>
      <c r="O130" s="83"/>
      <c r="P130" s="83"/>
      <c r="Q130" s="83"/>
      <c r="R130" s="83"/>
      <c r="S130" s="84"/>
      <c r="T130" s="41" t="s">
        <v>0</v>
      </c>
      <c r="U130" s="42">
        <f>IFERROR(SUM(U125:U128),"0")</f>
        <v>240</v>
      </c>
      <c r="V130" s="42">
        <f>IFERROR(SUM(V125:V128),"0")</f>
        <v>243</v>
      </c>
      <c r="W130" s="41"/>
      <c r="X130" s="65"/>
      <c r="Y130" s="65"/>
    </row>
    <row r="131" spans="1:25" ht="27.75" customHeight="1" x14ac:dyDescent="0.2">
      <c r="A131" s="86" t="s">
        <v>285</v>
      </c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53"/>
      <c r="Y131" s="53"/>
    </row>
    <row r="132" spans="1:25" ht="16.5" customHeight="1" x14ac:dyDescent="0.25">
      <c r="A132" s="87" t="s">
        <v>286</v>
      </c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63"/>
      <c r="Y132" s="63"/>
    </row>
    <row r="133" spans="1:25" ht="14.25" customHeight="1" x14ac:dyDescent="0.25">
      <c r="A133" s="77" t="s">
        <v>126</v>
      </c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64"/>
      <c r="Y133" s="64"/>
    </row>
    <row r="134" spans="1:25" ht="27" customHeight="1" x14ac:dyDescent="0.25">
      <c r="A134" s="61" t="s">
        <v>287</v>
      </c>
      <c r="B134" s="61" t="s">
        <v>288</v>
      </c>
      <c r="C134" s="35">
        <v>4301011223</v>
      </c>
      <c r="D134" s="78">
        <v>4607091383423</v>
      </c>
      <c r="E134" s="78"/>
      <c r="F134" s="60">
        <v>1.35</v>
      </c>
      <c r="G134" s="36">
        <v>8</v>
      </c>
      <c r="H134" s="60">
        <v>10.8</v>
      </c>
      <c r="I134" s="60">
        <v>11.375999999999999</v>
      </c>
      <c r="J134" s="36">
        <v>56</v>
      </c>
      <c r="K134" s="37" t="s">
        <v>157</v>
      </c>
      <c r="L134" s="36">
        <v>35</v>
      </c>
      <c r="M134" s="79" t="s">
        <v>289</v>
      </c>
      <c r="N134" s="80"/>
      <c r="O134" s="80"/>
      <c r="P134" s="80"/>
      <c r="Q134" s="81"/>
      <c r="R134" s="38" t="s">
        <v>48</v>
      </c>
      <c r="S134" s="38" t="s">
        <v>48</v>
      </c>
      <c r="T134" s="39" t="s">
        <v>0</v>
      </c>
      <c r="U134" s="57">
        <v>0</v>
      </c>
      <c r="V134" s="54">
        <f>IFERROR(IF(U134="",0,CEILING((U134/$H134),1)*$H134),"")</f>
        <v>0</v>
      </c>
      <c r="W134" s="40" t="str">
        <f>IFERROR(IF(V134=0,"",ROUNDUP(V134/H134,0)*0.02175),"")</f>
        <v/>
      </c>
      <c r="X134" s="66" t="s">
        <v>48</v>
      </c>
      <c r="Y134" s="67" t="s">
        <v>48</v>
      </c>
    </row>
    <row r="135" spans="1:25" ht="27" customHeight="1" x14ac:dyDescent="0.25">
      <c r="A135" s="61" t="s">
        <v>290</v>
      </c>
      <c r="B135" s="61" t="s">
        <v>291</v>
      </c>
      <c r="C135" s="35">
        <v>4301011338</v>
      </c>
      <c r="D135" s="78">
        <v>4607091381405</v>
      </c>
      <c r="E135" s="78"/>
      <c r="F135" s="60">
        <v>1.35</v>
      </c>
      <c r="G135" s="36">
        <v>8</v>
      </c>
      <c r="H135" s="60">
        <v>10.8</v>
      </c>
      <c r="I135" s="60">
        <v>11.375999999999999</v>
      </c>
      <c r="J135" s="36">
        <v>56</v>
      </c>
      <c r="K135" s="37" t="s">
        <v>77</v>
      </c>
      <c r="L135" s="36">
        <v>35</v>
      </c>
      <c r="M135" s="79" t="s">
        <v>292</v>
      </c>
      <c r="N135" s="80"/>
      <c r="O135" s="80"/>
      <c r="P135" s="80"/>
      <c r="Q135" s="81"/>
      <c r="R135" s="38" t="s">
        <v>48</v>
      </c>
      <c r="S135" s="38" t="s">
        <v>48</v>
      </c>
      <c r="T135" s="39" t="s">
        <v>0</v>
      </c>
      <c r="U135" s="57">
        <v>0</v>
      </c>
      <c r="V135" s="54">
        <f>IFERROR(IF(U135="",0,CEILING((U135/$H135),1)*$H135),"")</f>
        <v>0</v>
      </c>
      <c r="W135" s="40" t="str">
        <f>IFERROR(IF(V135=0,"",ROUNDUP(V135/H135,0)*0.02175),"")</f>
        <v/>
      </c>
      <c r="X135" s="66" t="s">
        <v>48</v>
      </c>
      <c r="Y135" s="67" t="s">
        <v>48</v>
      </c>
    </row>
    <row r="136" spans="1:25" ht="27" customHeight="1" x14ac:dyDescent="0.25">
      <c r="A136" s="61" t="s">
        <v>293</v>
      </c>
      <c r="B136" s="61" t="s">
        <v>294</v>
      </c>
      <c r="C136" s="35">
        <v>4301011333</v>
      </c>
      <c r="D136" s="78">
        <v>4607091386516</v>
      </c>
      <c r="E136" s="78"/>
      <c r="F136" s="60">
        <v>1.4</v>
      </c>
      <c r="G136" s="36">
        <v>8</v>
      </c>
      <c r="H136" s="60">
        <v>11.2</v>
      </c>
      <c r="I136" s="60">
        <v>11.776</v>
      </c>
      <c r="J136" s="36">
        <v>56</v>
      </c>
      <c r="K136" s="37" t="s">
        <v>77</v>
      </c>
      <c r="L136" s="36">
        <v>30</v>
      </c>
      <c r="M136" s="79" t="s">
        <v>295</v>
      </c>
      <c r="N136" s="80"/>
      <c r="O136" s="80"/>
      <c r="P136" s="80"/>
      <c r="Q136" s="81"/>
      <c r="R136" s="38" t="s">
        <v>48</v>
      </c>
      <c r="S136" s="38" t="s">
        <v>48</v>
      </c>
      <c r="T136" s="39" t="s">
        <v>0</v>
      </c>
      <c r="U136" s="57">
        <v>0</v>
      </c>
      <c r="V136" s="54">
        <f>IFERROR(IF(U136="",0,CEILING((U136/$H136),1)*$H136),"")</f>
        <v>0</v>
      </c>
      <c r="W136" s="40" t="str">
        <f>IFERROR(IF(V136=0,"",ROUNDUP(V136/H136,0)*0.02175),"")</f>
        <v/>
      </c>
      <c r="X136" s="66" t="s">
        <v>48</v>
      </c>
      <c r="Y136" s="67" t="s">
        <v>48</v>
      </c>
    </row>
    <row r="137" spans="1:25" x14ac:dyDescent="0.2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85"/>
      <c r="M137" s="82" t="s">
        <v>43</v>
      </c>
      <c r="N137" s="83"/>
      <c r="O137" s="83"/>
      <c r="P137" s="83"/>
      <c r="Q137" s="83"/>
      <c r="R137" s="83"/>
      <c r="S137" s="84"/>
      <c r="T137" s="41" t="s">
        <v>42</v>
      </c>
      <c r="U137" s="42">
        <f>IFERROR(U134/H134,"0")+IFERROR(U135/H135,"0")+IFERROR(U136/H136,"0")</f>
        <v>0</v>
      </c>
      <c r="V137" s="42">
        <f>IFERROR(V134/H134,"0")+IFERROR(V135/H135,"0")+IFERROR(V136/H136,"0")</f>
        <v>0</v>
      </c>
      <c r="W137" s="42">
        <f>IFERROR(IF(W134="",0,W134),"0")+IFERROR(IF(W135="",0,W135),"0")+IFERROR(IF(W136="",0,W136),"0")</f>
        <v>0</v>
      </c>
      <c r="X137" s="65"/>
      <c r="Y137" s="65"/>
    </row>
    <row r="138" spans="1:25" x14ac:dyDescent="0.2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85"/>
      <c r="M138" s="82" t="s">
        <v>43</v>
      </c>
      <c r="N138" s="83"/>
      <c r="O138" s="83"/>
      <c r="P138" s="83"/>
      <c r="Q138" s="83"/>
      <c r="R138" s="83"/>
      <c r="S138" s="84"/>
      <c r="T138" s="41" t="s">
        <v>0</v>
      </c>
      <c r="U138" s="42">
        <f>IFERROR(SUM(U134:U136),"0")</f>
        <v>0</v>
      </c>
      <c r="V138" s="42">
        <f>IFERROR(SUM(V134:V136),"0")</f>
        <v>0</v>
      </c>
      <c r="W138" s="41"/>
      <c r="X138" s="65"/>
      <c r="Y138" s="65"/>
    </row>
    <row r="139" spans="1:25" ht="16.5" customHeight="1" x14ac:dyDescent="0.25">
      <c r="A139" s="87" t="s">
        <v>296</v>
      </c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63"/>
      <c r="Y139" s="63"/>
    </row>
    <row r="140" spans="1:25" ht="14.25" customHeight="1" x14ac:dyDescent="0.25">
      <c r="A140" s="77" t="s">
        <v>126</v>
      </c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64"/>
      <c r="Y140" s="64"/>
    </row>
    <row r="141" spans="1:25" ht="27" customHeight="1" x14ac:dyDescent="0.25">
      <c r="A141" s="61" t="s">
        <v>297</v>
      </c>
      <c r="B141" s="61" t="s">
        <v>298</v>
      </c>
      <c r="C141" s="35">
        <v>4301011346</v>
      </c>
      <c r="D141" s="78">
        <v>4607091387445</v>
      </c>
      <c r="E141" s="78"/>
      <c r="F141" s="60">
        <v>0.9</v>
      </c>
      <c r="G141" s="36">
        <v>10</v>
      </c>
      <c r="H141" s="60">
        <v>9</v>
      </c>
      <c r="I141" s="60">
        <v>9.6300000000000008</v>
      </c>
      <c r="J141" s="36">
        <v>56</v>
      </c>
      <c r="K141" s="37" t="s">
        <v>121</v>
      </c>
      <c r="L141" s="36">
        <v>31</v>
      </c>
      <c r="M141" s="79" t="s">
        <v>299</v>
      </c>
      <c r="N141" s="80"/>
      <c r="O141" s="80"/>
      <c r="P141" s="80"/>
      <c r="Q141" s="81"/>
      <c r="R141" s="38" t="s">
        <v>48</v>
      </c>
      <c r="S141" s="38" t="s">
        <v>48</v>
      </c>
      <c r="T141" s="39" t="s">
        <v>0</v>
      </c>
      <c r="U141" s="57">
        <v>0</v>
      </c>
      <c r="V141" s="54">
        <f t="shared" ref="V141:V154" si="7">IFERROR(IF(U141="",0,CEILING((U141/$H141),1)*$H141),"")</f>
        <v>0</v>
      </c>
      <c r="W141" s="40" t="str">
        <f>IFERROR(IF(V141=0,"",ROUNDUP(V141/H141,0)*0.02175),"")</f>
        <v/>
      </c>
      <c r="X141" s="66" t="s">
        <v>48</v>
      </c>
      <c r="Y141" s="67" t="s">
        <v>48</v>
      </c>
    </row>
    <row r="142" spans="1:25" ht="27" customHeight="1" x14ac:dyDescent="0.25">
      <c r="A142" s="61" t="s">
        <v>300</v>
      </c>
      <c r="B142" s="61" t="s">
        <v>301</v>
      </c>
      <c r="C142" s="35">
        <v>4301011120</v>
      </c>
      <c r="D142" s="78">
        <v>4607091386004</v>
      </c>
      <c r="E142" s="78"/>
      <c r="F142" s="60">
        <v>1.35</v>
      </c>
      <c r="G142" s="36">
        <v>8</v>
      </c>
      <c r="H142" s="60">
        <v>10.8</v>
      </c>
      <c r="I142" s="60">
        <v>11.28</v>
      </c>
      <c r="J142" s="36">
        <v>48</v>
      </c>
      <c r="K142" s="37" t="s">
        <v>143</v>
      </c>
      <c r="L142" s="36">
        <v>55</v>
      </c>
      <c r="M142" s="79" t="s">
        <v>302</v>
      </c>
      <c r="N142" s="80"/>
      <c r="O142" s="80"/>
      <c r="P142" s="80"/>
      <c r="Q142" s="81"/>
      <c r="R142" s="38" t="s">
        <v>48</v>
      </c>
      <c r="S142" s="38" t="s">
        <v>48</v>
      </c>
      <c r="T142" s="39" t="s">
        <v>0</v>
      </c>
      <c r="U142" s="57">
        <v>0</v>
      </c>
      <c r="V142" s="54">
        <f t="shared" si="7"/>
        <v>0</v>
      </c>
      <c r="W142" s="40" t="str">
        <f>IFERROR(IF(V142=0,"",ROUNDUP(V142/H142,0)*0.02039),"")</f>
        <v/>
      </c>
      <c r="X142" s="66" t="s">
        <v>48</v>
      </c>
      <c r="Y142" s="67" t="s">
        <v>48</v>
      </c>
    </row>
    <row r="143" spans="1:25" ht="27" customHeight="1" x14ac:dyDescent="0.25">
      <c r="A143" s="61" t="s">
        <v>300</v>
      </c>
      <c r="B143" s="61" t="s">
        <v>303</v>
      </c>
      <c r="C143" s="35">
        <v>4301011308</v>
      </c>
      <c r="D143" s="78">
        <v>4607091386004</v>
      </c>
      <c r="E143" s="78"/>
      <c r="F143" s="60">
        <v>1.35</v>
      </c>
      <c r="G143" s="36">
        <v>8</v>
      </c>
      <c r="H143" s="60">
        <v>10.8</v>
      </c>
      <c r="I143" s="60">
        <v>11.28</v>
      </c>
      <c r="J143" s="36">
        <v>56</v>
      </c>
      <c r="K143" s="37" t="s">
        <v>121</v>
      </c>
      <c r="L143" s="36">
        <v>55</v>
      </c>
      <c r="M143" s="79" t="s">
        <v>302</v>
      </c>
      <c r="N143" s="80"/>
      <c r="O143" s="80"/>
      <c r="P143" s="80"/>
      <c r="Q143" s="81"/>
      <c r="R143" s="38" t="s">
        <v>48</v>
      </c>
      <c r="S143" s="38" t="s">
        <v>48</v>
      </c>
      <c r="T143" s="39" t="s">
        <v>0</v>
      </c>
      <c r="U143" s="57">
        <v>0</v>
      </c>
      <c r="V143" s="54">
        <f t="shared" si="7"/>
        <v>0</v>
      </c>
      <c r="W143" s="40" t="str">
        <f>IFERROR(IF(V143=0,"",ROUNDUP(V143/H143,0)*0.02175),"")</f>
        <v/>
      </c>
      <c r="X143" s="66" t="s">
        <v>48</v>
      </c>
      <c r="Y143" s="67" t="s">
        <v>48</v>
      </c>
    </row>
    <row r="144" spans="1:25" ht="27" customHeight="1" x14ac:dyDescent="0.25">
      <c r="A144" s="61" t="s">
        <v>304</v>
      </c>
      <c r="B144" s="61" t="s">
        <v>305</v>
      </c>
      <c r="C144" s="35">
        <v>4301011347</v>
      </c>
      <c r="D144" s="78">
        <v>4607091386073</v>
      </c>
      <c r="E144" s="78"/>
      <c r="F144" s="60">
        <v>0.9</v>
      </c>
      <c r="G144" s="36">
        <v>10</v>
      </c>
      <c r="H144" s="60">
        <v>9</v>
      </c>
      <c r="I144" s="60">
        <v>9.6300000000000008</v>
      </c>
      <c r="J144" s="36">
        <v>56</v>
      </c>
      <c r="K144" s="37" t="s">
        <v>121</v>
      </c>
      <c r="L144" s="36">
        <v>31</v>
      </c>
      <c r="M144" s="79" t="s">
        <v>306</v>
      </c>
      <c r="N144" s="80"/>
      <c r="O144" s="80"/>
      <c r="P144" s="80"/>
      <c r="Q144" s="81"/>
      <c r="R144" s="38" t="s">
        <v>48</v>
      </c>
      <c r="S144" s="38" t="s">
        <v>48</v>
      </c>
      <c r="T144" s="39" t="s">
        <v>0</v>
      </c>
      <c r="U144" s="57">
        <v>0</v>
      </c>
      <c r="V144" s="54">
        <f t="shared" si="7"/>
        <v>0</v>
      </c>
      <c r="W144" s="40" t="str">
        <f>IFERROR(IF(V144=0,"",ROUNDUP(V144/H144,0)*0.02175),"")</f>
        <v/>
      </c>
      <c r="X144" s="66" t="s">
        <v>48</v>
      </c>
      <c r="Y144" s="67" t="s">
        <v>48</v>
      </c>
    </row>
    <row r="145" spans="1:25" ht="27" customHeight="1" x14ac:dyDescent="0.25">
      <c r="A145" s="61" t="s">
        <v>307</v>
      </c>
      <c r="B145" s="61" t="s">
        <v>308</v>
      </c>
      <c r="C145" s="35">
        <v>4301010928</v>
      </c>
      <c r="D145" s="78">
        <v>4607091387322</v>
      </c>
      <c r="E145" s="78"/>
      <c r="F145" s="60">
        <v>1.35</v>
      </c>
      <c r="G145" s="36">
        <v>8</v>
      </c>
      <c r="H145" s="60">
        <v>10.8</v>
      </c>
      <c r="I145" s="60">
        <v>11.28</v>
      </c>
      <c r="J145" s="36">
        <v>56</v>
      </c>
      <c r="K145" s="37" t="s">
        <v>121</v>
      </c>
      <c r="L145" s="36">
        <v>55</v>
      </c>
      <c r="M145" s="79" t="s">
        <v>309</v>
      </c>
      <c r="N145" s="80"/>
      <c r="O145" s="80"/>
      <c r="P145" s="80"/>
      <c r="Q145" s="81"/>
      <c r="R145" s="38" t="s">
        <v>48</v>
      </c>
      <c r="S145" s="38" t="s">
        <v>48</v>
      </c>
      <c r="T145" s="39" t="s">
        <v>0</v>
      </c>
      <c r="U145" s="57">
        <v>0</v>
      </c>
      <c r="V145" s="54">
        <f t="shared" si="7"/>
        <v>0</v>
      </c>
      <c r="W145" s="40" t="str">
        <f>IFERROR(IF(V145=0,"",ROUNDUP(V145/H145,0)*0.02175),"")</f>
        <v/>
      </c>
      <c r="X145" s="66" t="s">
        <v>48</v>
      </c>
      <c r="Y145" s="67" t="s">
        <v>48</v>
      </c>
    </row>
    <row r="146" spans="1:25" ht="27" customHeight="1" x14ac:dyDescent="0.25">
      <c r="A146" s="61" t="s">
        <v>307</v>
      </c>
      <c r="B146" s="61" t="s">
        <v>310</v>
      </c>
      <c r="C146" s="35">
        <v>4301011395</v>
      </c>
      <c r="D146" s="78">
        <v>4607091387322</v>
      </c>
      <c r="E146" s="78"/>
      <c r="F146" s="60">
        <v>1.35</v>
      </c>
      <c r="G146" s="36">
        <v>8</v>
      </c>
      <c r="H146" s="60">
        <v>10.8</v>
      </c>
      <c r="I146" s="60">
        <v>11.28</v>
      </c>
      <c r="J146" s="36">
        <v>48</v>
      </c>
      <c r="K146" s="37" t="s">
        <v>143</v>
      </c>
      <c r="L146" s="36">
        <v>55</v>
      </c>
      <c r="M146" s="79" t="s">
        <v>309</v>
      </c>
      <c r="N146" s="80"/>
      <c r="O146" s="80"/>
      <c r="P146" s="80"/>
      <c r="Q146" s="81"/>
      <c r="R146" s="38" t="s">
        <v>48</v>
      </c>
      <c r="S146" s="38" t="s">
        <v>48</v>
      </c>
      <c r="T146" s="39" t="s">
        <v>0</v>
      </c>
      <c r="U146" s="57">
        <v>0</v>
      </c>
      <c r="V146" s="54">
        <f t="shared" si="7"/>
        <v>0</v>
      </c>
      <c r="W146" s="40" t="str">
        <f>IFERROR(IF(V146=0,"",ROUNDUP(V146/H146,0)*0.02039),"")</f>
        <v/>
      </c>
      <c r="X146" s="66" t="s">
        <v>48</v>
      </c>
      <c r="Y146" s="67" t="s">
        <v>48</v>
      </c>
    </row>
    <row r="147" spans="1:25" ht="27" customHeight="1" x14ac:dyDescent="0.25">
      <c r="A147" s="61" t="s">
        <v>311</v>
      </c>
      <c r="B147" s="61" t="s">
        <v>312</v>
      </c>
      <c r="C147" s="35">
        <v>4301011311</v>
      </c>
      <c r="D147" s="78">
        <v>4607091387377</v>
      </c>
      <c r="E147" s="78"/>
      <c r="F147" s="60">
        <v>1.35</v>
      </c>
      <c r="G147" s="36">
        <v>8</v>
      </c>
      <c r="H147" s="60">
        <v>10.8</v>
      </c>
      <c r="I147" s="60">
        <v>11.28</v>
      </c>
      <c r="J147" s="36">
        <v>56</v>
      </c>
      <c r="K147" s="37" t="s">
        <v>121</v>
      </c>
      <c r="L147" s="36">
        <v>55</v>
      </c>
      <c r="M147" s="79" t="s">
        <v>313</v>
      </c>
      <c r="N147" s="80"/>
      <c r="O147" s="80"/>
      <c r="P147" s="80"/>
      <c r="Q147" s="81"/>
      <c r="R147" s="38" t="s">
        <v>48</v>
      </c>
      <c r="S147" s="38" t="s">
        <v>48</v>
      </c>
      <c r="T147" s="39" t="s">
        <v>0</v>
      </c>
      <c r="U147" s="57">
        <v>0</v>
      </c>
      <c r="V147" s="54">
        <f t="shared" si="7"/>
        <v>0</v>
      </c>
      <c r="W147" s="40" t="str">
        <f>IFERROR(IF(V147=0,"",ROUNDUP(V147/H147,0)*0.02175),"")</f>
        <v/>
      </c>
      <c r="X147" s="66" t="s">
        <v>48</v>
      </c>
      <c r="Y147" s="67" t="s">
        <v>48</v>
      </c>
    </row>
    <row r="148" spans="1:25" ht="27" customHeight="1" x14ac:dyDescent="0.25">
      <c r="A148" s="61" t="s">
        <v>314</v>
      </c>
      <c r="B148" s="61" t="s">
        <v>315</v>
      </c>
      <c r="C148" s="35">
        <v>4301010945</v>
      </c>
      <c r="D148" s="78">
        <v>4607091387353</v>
      </c>
      <c r="E148" s="78"/>
      <c r="F148" s="60">
        <v>1.35</v>
      </c>
      <c r="G148" s="36">
        <v>8</v>
      </c>
      <c r="H148" s="60">
        <v>10.8</v>
      </c>
      <c r="I148" s="60">
        <v>11.28</v>
      </c>
      <c r="J148" s="36">
        <v>56</v>
      </c>
      <c r="K148" s="37" t="s">
        <v>121</v>
      </c>
      <c r="L148" s="36">
        <v>55</v>
      </c>
      <c r="M148" s="79" t="s">
        <v>316</v>
      </c>
      <c r="N148" s="80"/>
      <c r="O148" s="80"/>
      <c r="P148" s="80"/>
      <c r="Q148" s="81"/>
      <c r="R148" s="38" t="s">
        <v>48</v>
      </c>
      <c r="S148" s="38" t="s">
        <v>48</v>
      </c>
      <c r="T148" s="39" t="s">
        <v>0</v>
      </c>
      <c r="U148" s="57">
        <v>0</v>
      </c>
      <c r="V148" s="54">
        <f t="shared" si="7"/>
        <v>0</v>
      </c>
      <c r="W148" s="40" t="str">
        <f>IFERROR(IF(V148=0,"",ROUNDUP(V148/H148,0)*0.02175),"")</f>
        <v/>
      </c>
      <c r="X148" s="66" t="s">
        <v>48</v>
      </c>
      <c r="Y148" s="67" t="s">
        <v>48</v>
      </c>
    </row>
    <row r="149" spans="1:25" ht="27" customHeight="1" x14ac:dyDescent="0.25">
      <c r="A149" s="61" t="s">
        <v>317</v>
      </c>
      <c r="B149" s="61" t="s">
        <v>318</v>
      </c>
      <c r="C149" s="35">
        <v>4301011328</v>
      </c>
      <c r="D149" s="78">
        <v>4607091386011</v>
      </c>
      <c r="E149" s="78"/>
      <c r="F149" s="60">
        <v>0.5</v>
      </c>
      <c r="G149" s="36">
        <v>10</v>
      </c>
      <c r="H149" s="60">
        <v>5</v>
      </c>
      <c r="I149" s="60">
        <v>5.21</v>
      </c>
      <c r="J149" s="36">
        <v>120</v>
      </c>
      <c r="K149" s="37" t="s">
        <v>77</v>
      </c>
      <c r="L149" s="36">
        <v>55</v>
      </c>
      <c r="M149" s="79" t="s">
        <v>319</v>
      </c>
      <c r="N149" s="80"/>
      <c r="O149" s="80"/>
      <c r="P149" s="80"/>
      <c r="Q149" s="81"/>
      <c r="R149" s="38" t="s">
        <v>48</v>
      </c>
      <c r="S149" s="38" t="s">
        <v>48</v>
      </c>
      <c r="T149" s="39" t="s">
        <v>0</v>
      </c>
      <c r="U149" s="57">
        <v>15</v>
      </c>
      <c r="V149" s="54">
        <f t="shared" si="7"/>
        <v>15</v>
      </c>
      <c r="W149" s="40">
        <f>IFERROR(IF(V149=0,"",ROUNDUP(V149/H149,0)*0.00937),"")</f>
        <v>2.811E-2</v>
      </c>
      <c r="X149" s="66" t="s">
        <v>48</v>
      </c>
      <c r="Y149" s="67" t="s">
        <v>48</v>
      </c>
    </row>
    <row r="150" spans="1:25" ht="27" customHeight="1" x14ac:dyDescent="0.25">
      <c r="A150" s="61" t="s">
        <v>320</v>
      </c>
      <c r="B150" s="61" t="s">
        <v>321</v>
      </c>
      <c r="C150" s="35">
        <v>4301011329</v>
      </c>
      <c r="D150" s="78">
        <v>4607091387308</v>
      </c>
      <c r="E150" s="78"/>
      <c r="F150" s="60">
        <v>0.5</v>
      </c>
      <c r="G150" s="36">
        <v>10</v>
      </c>
      <c r="H150" s="60">
        <v>5</v>
      </c>
      <c r="I150" s="60">
        <v>5.21</v>
      </c>
      <c r="J150" s="36">
        <v>120</v>
      </c>
      <c r="K150" s="37" t="s">
        <v>77</v>
      </c>
      <c r="L150" s="36">
        <v>55</v>
      </c>
      <c r="M150" s="79" t="s">
        <v>322</v>
      </c>
      <c r="N150" s="80"/>
      <c r="O150" s="80"/>
      <c r="P150" s="80"/>
      <c r="Q150" s="81"/>
      <c r="R150" s="38" t="s">
        <v>48</v>
      </c>
      <c r="S150" s="38" t="s">
        <v>48</v>
      </c>
      <c r="T150" s="39" t="s">
        <v>0</v>
      </c>
      <c r="U150" s="57">
        <v>0</v>
      </c>
      <c r="V150" s="54">
        <f t="shared" si="7"/>
        <v>0</v>
      </c>
      <c r="W150" s="40" t="str">
        <f>IFERROR(IF(V150=0,"",ROUNDUP(V150/H150,0)*0.00937),"")</f>
        <v/>
      </c>
      <c r="X150" s="66" t="s">
        <v>48</v>
      </c>
      <c r="Y150" s="67" t="s">
        <v>48</v>
      </c>
    </row>
    <row r="151" spans="1:25" ht="27" customHeight="1" x14ac:dyDescent="0.25">
      <c r="A151" s="61" t="s">
        <v>323</v>
      </c>
      <c r="B151" s="61" t="s">
        <v>324</v>
      </c>
      <c r="C151" s="35">
        <v>4301011049</v>
      </c>
      <c r="D151" s="78">
        <v>4607091387339</v>
      </c>
      <c r="E151" s="78"/>
      <c r="F151" s="60">
        <v>0.5</v>
      </c>
      <c r="G151" s="36">
        <v>10</v>
      </c>
      <c r="H151" s="60">
        <v>5</v>
      </c>
      <c r="I151" s="60">
        <v>5.24</v>
      </c>
      <c r="J151" s="36">
        <v>120</v>
      </c>
      <c r="K151" s="37" t="s">
        <v>121</v>
      </c>
      <c r="L151" s="36">
        <v>55</v>
      </c>
      <c r="M151" s="79" t="s">
        <v>325</v>
      </c>
      <c r="N151" s="80"/>
      <c r="O151" s="80"/>
      <c r="P151" s="80"/>
      <c r="Q151" s="81"/>
      <c r="R151" s="38" t="s">
        <v>48</v>
      </c>
      <c r="S151" s="38" t="s">
        <v>48</v>
      </c>
      <c r="T151" s="39" t="s">
        <v>0</v>
      </c>
      <c r="U151" s="57">
        <v>10</v>
      </c>
      <c r="V151" s="54">
        <f t="shared" si="7"/>
        <v>10</v>
      </c>
      <c r="W151" s="40">
        <f>IFERROR(IF(V151=0,"",ROUNDUP(V151/H151,0)*0.00937),"")</f>
        <v>1.874E-2</v>
      </c>
      <c r="X151" s="66" t="s">
        <v>48</v>
      </c>
      <c r="Y151" s="67" t="s">
        <v>48</v>
      </c>
    </row>
    <row r="152" spans="1:25" ht="27" customHeight="1" x14ac:dyDescent="0.25">
      <c r="A152" s="61" t="s">
        <v>326</v>
      </c>
      <c r="B152" s="61" t="s">
        <v>327</v>
      </c>
      <c r="C152" s="35">
        <v>4301011454</v>
      </c>
      <c r="D152" s="78">
        <v>4680115881396</v>
      </c>
      <c r="E152" s="78"/>
      <c r="F152" s="60">
        <v>0.45</v>
      </c>
      <c r="G152" s="36">
        <v>6</v>
      </c>
      <c r="H152" s="60">
        <v>2.7</v>
      </c>
      <c r="I152" s="60">
        <v>2.9</v>
      </c>
      <c r="J152" s="36">
        <v>156</v>
      </c>
      <c r="K152" s="37" t="s">
        <v>77</v>
      </c>
      <c r="L152" s="36">
        <v>55</v>
      </c>
      <c r="M152" s="79" t="s">
        <v>328</v>
      </c>
      <c r="N152" s="80"/>
      <c r="O152" s="80"/>
      <c r="P152" s="80"/>
      <c r="Q152" s="81"/>
      <c r="R152" s="38" t="s">
        <v>48</v>
      </c>
      <c r="S152" s="38" t="s">
        <v>48</v>
      </c>
      <c r="T152" s="39" t="s">
        <v>0</v>
      </c>
      <c r="U152" s="57">
        <v>0</v>
      </c>
      <c r="V152" s="54">
        <f t="shared" si="7"/>
        <v>0</v>
      </c>
      <c r="W152" s="40" t="str">
        <f>IFERROR(IF(V152=0,"",ROUNDUP(V152/H152,0)*0.00753),"")</f>
        <v/>
      </c>
      <c r="X152" s="66" t="s">
        <v>48</v>
      </c>
      <c r="Y152" s="67" t="s">
        <v>48</v>
      </c>
    </row>
    <row r="153" spans="1:25" ht="27" customHeight="1" x14ac:dyDescent="0.25">
      <c r="A153" s="61" t="s">
        <v>329</v>
      </c>
      <c r="B153" s="61" t="s">
        <v>330</v>
      </c>
      <c r="C153" s="35">
        <v>4301010944</v>
      </c>
      <c r="D153" s="78">
        <v>4607091387346</v>
      </c>
      <c r="E153" s="78"/>
      <c r="F153" s="60">
        <v>0.4</v>
      </c>
      <c r="G153" s="36">
        <v>10</v>
      </c>
      <c r="H153" s="60">
        <v>4</v>
      </c>
      <c r="I153" s="60">
        <v>4.24</v>
      </c>
      <c r="J153" s="36">
        <v>120</v>
      </c>
      <c r="K153" s="37" t="s">
        <v>121</v>
      </c>
      <c r="L153" s="36">
        <v>55</v>
      </c>
      <c r="M153" s="79" t="s">
        <v>331</v>
      </c>
      <c r="N153" s="80"/>
      <c r="O153" s="80"/>
      <c r="P153" s="80"/>
      <c r="Q153" s="81"/>
      <c r="R153" s="38" t="s">
        <v>48</v>
      </c>
      <c r="S153" s="38" t="s">
        <v>48</v>
      </c>
      <c r="T153" s="39" t="s">
        <v>0</v>
      </c>
      <c r="U153" s="57">
        <v>0</v>
      </c>
      <c r="V153" s="54">
        <f t="shared" si="7"/>
        <v>0</v>
      </c>
      <c r="W153" s="40" t="str">
        <f>IFERROR(IF(V153=0,"",ROUNDUP(V153/H153,0)*0.00937),"")</f>
        <v/>
      </c>
      <c r="X153" s="66" t="s">
        <v>48</v>
      </c>
      <c r="Y153" s="67" t="s">
        <v>48</v>
      </c>
    </row>
    <row r="154" spans="1:25" ht="27" customHeight="1" x14ac:dyDescent="0.25">
      <c r="A154" s="61" t="s">
        <v>332</v>
      </c>
      <c r="B154" s="61" t="s">
        <v>333</v>
      </c>
      <c r="C154" s="35">
        <v>4301011353</v>
      </c>
      <c r="D154" s="78">
        <v>4607091389807</v>
      </c>
      <c r="E154" s="78"/>
      <c r="F154" s="60">
        <v>0.4</v>
      </c>
      <c r="G154" s="36">
        <v>10</v>
      </c>
      <c r="H154" s="60">
        <v>4</v>
      </c>
      <c r="I154" s="60">
        <v>4.24</v>
      </c>
      <c r="J154" s="36">
        <v>120</v>
      </c>
      <c r="K154" s="37" t="s">
        <v>121</v>
      </c>
      <c r="L154" s="36">
        <v>55</v>
      </c>
      <c r="M154" s="79" t="s">
        <v>334</v>
      </c>
      <c r="N154" s="80"/>
      <c r="O154" s="80"/>
      <c r="P154" s="80"/>
      <c r="Q154" s="81"/>
      <c r="R154" s="38" t="s">
        <v>48</v>
      </c>
      <c r="S154" s="38" t="s">
        <v>48</v>
      </c>
      <c r="T154" s="39" t="s">
        <v>0</v>
      </c>
      <c r="U154" s="57">
        <v>0</v>
      </c>
      <c r="V154" s="54">
        <f t="shared" si="7"/>
        <v>0</v>
      </c>
      <c r="W154" s="40" t="str">
        <f>IFERROR(IF(V154=0,"",ROUNDUP(V154/H154,0)*0.00937),"")</f>
        <v/>
      </c>
      <c r="X154" s="66" t="s">
        <v>48</v>
      </c>
      <c r="Y154" s="67" t="s">
        <v>48</v>
      </c>
    </row>
    <row r="155" spans="1:25" x14ac:dyDescent="0.2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85"/>
      <c r="M155" s="82" t="s">
        <v>43</v>
      </c>
      <c r="N155" s="83"/>
      <c r="O155" s="83"/>
      <c r="P155" s="83"/>
      <c r="Q155" s="83"/>
      <c r="R155" s="83"/>
      <c r="S155" s="84"/>
      <c r="T155" s="41" t="s">
        <v>42</v>
      </c>
      <c r="U155" s="42">
        <f>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5</v>
      </c>
      <c r="V155" s="42">
        <f>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5</v>
      </c>
      <c r="W155" s="42">
        <f>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4.6850000000000003E-2</v>
      </c>
      <c r="X155" s="65"/>
      <c r="Y155" s="65"/>
    </row>
    <row r="156" spans="1:25" x14ac:dyDescent="0.2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85"/>
      <c r="M156" s="82" t="s">
        <v>43</v>
      </c>
      <c r="N156" s="83"/>
      <c r="O156" s="83"/>
      <c r="P156" s="83"/>
      <c r="Q156" s="83"/>
      <c r="R156" s="83"/>
      <c r="S156" s="84"/>
      <c r="T156" s="41" t="s">
        <v>0</v>
      </c>
      <c r="U156" s="42">
        <f>IFERROR(SUM(U141:U154),"0")</f>
        <v>25</v>
      </c>
      <c r="V156" s="42">
        <f>IFERROR(SUM(V141:V154),"0")</f>
        <v>25</v>
      </c>
      <c r="W156" s="41"/>
      <c r="X156" s="65"/>
      <c r="Y156" s="65"/>
    </row>
    <row r="157" spans="1:25" ht="14.25" customHeight="1" x14ac:dyDescent="0.25">
      <c r="A157" s="77" t="s">
        <v>117</v>
      </c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64"/>
      <c r="Y157" s="64"/>
    </row>
    <row r="158" spans="1:25" ht="16.5" customHeight="1" x14ac:dyDescent="0.25">
      <c r="A158" s="61" t="s">
        <v>335</v>
      </c>
      <c r="B158" s="61" t="s">
        <v>336</v>
      </c>
      <c r="C158" s="35">
        <v>4301020220</v>
      </c>
      <c r="D158" s="78">
        <v>4680115880764</v>
      </c>
      <c r="E158" s="78"/>
      <c r="F158" s="60">
        <v>0.35</v>
      </c>
      <c r="G158" s="36">
        <v>6</v>
      </c>
      <c r="H158" s="60">
        <v>2.1</v>
      </c>
      <c r="I158" s="60">
        <v>2.2999999999999998</v>
      </c>
      <c r="J158" s="36">
        <v>156</v>
      </c>
      <c r="K158" s="37" t="s">
        <v>121</v>
      </c>
      <c r="L158" s="36">
        <v>50</v>
      </c>
      <c r="M158" s="79" t="s">
        <v>337</v>
      </c>
      <c r="N158" s="80"/>
      <c r="O158" s="80"/>
      <c r="P158" s="80"/>
      <c r="Q158" s="81"/>
      <c r="R158" s="38" t="s">
        <v>48</v>
      </c>
      <c r="S158" s="38" t="s">
        <v>48</v>
      </c>
      <c r="T158" s="39" t="s">
        <v>0</v>
      </c>
      <c r="U158" s="57">
        <v>0</v>
      </c>
      <c r="V158" s="54">
        <f>IFERROR(IF(U158="",0,CEILING((U158/$H158),1)*$H158),"")</f>
        <v>0</v>
      </c>
      <c r="W158" s="40" t="str">
        <f>IFERROR(IF(V158=0,"",ROUNDUP(V158/H158,0)*0.00753),"")</f>
        <v/>
      </c>
      <c r="X158" s="66" t="s">
        <v>48</v>
      </c>
      <c r="Y158" s="67" t="s">
        <v>48</v>
      </c>
    </row>
    <row r="159" spans="1:25" x14ac:dyDescent="0.2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85"/>
      <c r="M159" s="82" t="s">
        <v>43</v>
      </c>
      <c r="N159" s="83"/>
      <c r="O159" s="83"/>
      <c r="P159" s="83"/>
      <c r="Q159" s="83"/>
      <c r="R159" s="83"/>
      <c r="S159" s="84"/>
      <c r="T159" s="41" t="s">
        <v>42</v>
      </c>
      <c r="U159" s="42">
        <f>IFERROR(U158/H158,"0")</f>
        <v>0</v>
      </c>
      <c r="V159" s="42">
        <f>IFERROR(V158/H158,"0")</f>
        <v>0</v>
      </c>
      <c r="W159" s="42">
        <f>IFERROR(IF(W158="",0,W158),"0")</f>
        <v>0</v>
      </c>
      <c r="X159" s="65"/>
      <c r="Y159" s="65"/>
    </row>
    <row r="160" spans="1:25" x14ac:dyDescent="0.2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85"/>
      <c r="M160" s="82" t="s">
        <v>43</v>
      </c>
      <c r="N160" s="83"/>
      <c r="O160" s="83"/>
      <c r="P160" s="83"/>
      <c r="Q160" s="83"/>
      <c r="R160" s="83"/>
      <c r="S160" s="84"/>
      <c r="T160" s="41" t="s">
        <v>0</v>
      </c>
      <c r="U160" s="42">
        <f>IFERROR(SUM(U158:U158),"0")</f>
        <v>0</v>
      </c>
      <c r="V160" s="42">
        <f>IFERROR(SUM(V158:V158),"0")</f>
        <v>0</v>
      </c>
      <c r="W160" s="41"/>
      <c r="X160" s="65"/>
      <c r="Y160" s="65"/>
    </row>
    <row r="161" spans="1:25" ht="14.25" customHeight="1" x14ac:dyDescent="0.25">
      <c r="A161" s="77" t="s">
        <v>73</v>
      </c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64"/>
      <c r="Y161" s="64"/>
    </row>
    <row r="162" spans="1:25" ht="27" customHeight="1" x14ac:dyDescent="0.25">
      <c r="A162" s="61" t="s">
        <v>338</v>
      </c>
      <c r="B162" s="61" t="s">
        <v>339</v>
      </c>
      <c r="C162" s="35">
        <v>4301030878</v>
      </c>
      <c r="D162" s="78">
        <v>4607091387193</v>
      </c>
      <c r="E162" s="78"/>
      <c r="F162" s="60">
        <v>0.7</v>
      </c>
      <c r="G162" s="36">
        <v>6</v>
      </c>
      <c r="H162" s="60">
        <v>4.2</v>
      </c>
      <c r="I162" s="60">
        <v>4.46</v>
      </c>
      <c r="J162" s="36">
        <v>156</v>
      </c>
      <c r="K162" s="37" t="s">
        <v>77</v>
      </c>
      <c r="L162" s="36">
        <v>35</v>
      </c>
      <c r="M162" s="79" t="s">
        <v>340</v>
      </c>
      <c r="N162" s="80"/>
      <c r="O162" s="80"/>
      <c r="P162" s="80"/>
      <c r="Q162" s="81"/>
      <c r="R162" s="38" t="s">
        <v>48</v>
      </c>
      <c r="S162" s="38" t="s">
        <v>48</v>
      </c>
      <c r="T162" s="39" t="s">
        <v>0</v>
      </c>
      <c r="U162" s="57">
        <v>15</v>
      </c>
      <c r="V162" s="54">
        <f t="shared" ref="V162:V173" si="8">IFERROR(IF(U162="",0,CEILING((U162/$H162),1)*$H162),"")</f>
        <v>16.8</v>
      </c>
      <c r="W162" s="40">
        <f>IFERROR(IF(V162=0,"",ROUNDUP(V162/H162,0)*0.00753),"")</f>
        <v>3.0120000000000001E-2</v>
      </c>
      <c r="X162" s="66" t="s">
        <v>48</v>
      </c>
      <c r="Y162" s="67" t="s">
        <v>48</v>
      </c>
    </row>
    <row r="163" spans="1:25" ht="27" customHeight="1" x14ac:dyDescent="0.25">
      <c r="A163" s="61" t="s">
        <v>341</v>
      </c>
      <c r="B163" s="61" t="s">
        <v>342</v>
      </c>
      <c r="C163" s="35">
        <v>4301031153</v>
      </c>
      <c r="D163" s="78">
        <v>4607091387230</v>
      </c>
      <c r="E163" s="78"/>
      <c r="F163" s="60">
        <v>0.7</v>
      </c>
      <c r="G163" s="36">
        <v>6</v>
      </c>
      <c r="H163" s="60">
        <v>4.2</v>
      </c>
      <c r="I163" s="60">
        <v>4.46</v>
      </c>
      <c r="J163" s="36">
        <v>156</v>
      </c>
      <c r="K163" s="37" t="s">
        <v>77</v>
      </c>
      <c r="L163" s="36">
        <v>40</v>
      </c>
      <c r="M163" s="79" t="s">
        <v>343</v>
      </c>
      <c r="N163" s="80"/>
      <c r="O163" s="80"/>
      <c r="P163" s="80"/>
      <c r="Q163" s="81"/>
      <c r="R163" s="38" t="s">
        <v>48</v>
      </c>
      <c r="S163" s="38" t="s">
        <v>48</v>
      </c>
      <c r="T163" s="39" t="s">
        <v>0</v>
      </c>
      <c r="U163" s="57">
        <v>0</v>
      </c>
      <c r="V163" s="54">
        <f t="shared" si="8"/>
        <v>0</v>
      </c>
      <c r="W163" s="40" t="str">
        <f>IFERROR(IF(V163=0,"",ROUNDUP(V163/H163,0)*0.00753),"")</f>
        <v/>
      </c>
      <c r="X163" s="66" t="s">
        <v>48</v>
      </c>
      <c r="Y163" s="67" t="s">
        <v>48</v>
      </c>
    </row>
    <row r="164" spans="1:25" ht="27" customHeight="1" x14ac:dyDescent="0.25">
      <c r="A164" s="61" t="s">
        <v>344</v>
      </c>
      <c r="B164" s="61" t="s">
        <v>345</v>
      </c>
      <c r="C164" s="35">
        <v>4301031191</v>
      </c>
      <c r="D164" s="78">
        <v>4680115880993</v>
      </c>
      <c r="E164" s="78"/>
      <c r="F164" s="60">
        <v>0.7</v>
      </c>
      <c r="G164" s="36">
        <v>6</v>
      </c>
      <c r="H164" s="60">
        <v>4.2</v>
      </c>
      <c r="I164" s="60">
        <v>4.46</v>
      </c>
      <c r="J164" s="36">
        <v>156</v>
      </c>
      <c r="K164" s="37" t="s">
        <v>77</v>
      </c>
      <c r="L164" s="36">
        <v>40</v>
      </c>
      <c r="M164" s="79" t="s">
        <v>346</v>
      </c>
      <c r="N164" s="80"/>
      <c r="O164" s="80"/>
      <c r="P164" s="80"/>
      <c r="Q164" s="81"/>
      <c r="R164" s="38" t="s">
        <v>48</v>
      </c>
      <c r="S164" s="38" t="s">
        <v>48</v>
      </c>
      <c r="T164" s="39" t="s">
        <v>0</v>
      </c>
      <c r="U164" s="57">
        <v>0</v>
      </c>
      <c r="V164" s="54">
        <f t="shared" si="8"/>
        <v>0</v>
      </c>
      <c r="W164" s="40" t="str">
        <f>IFERROR(IF(V164=0,"",ROUNDUP(V164/H164,0)*0.00753),"")</f>
        <v/>
      </c>
      <c r="X164" s="66" t="s">
        <v>48</v>
      </c>
      <c r="Y164" s="67" t="s">
        <v>48</v>
      </c>
    </row>
    <row r="165" spans="1:25" ht="27" customHeight="1" x14ac:dyDescent="0.25">
      <c r="A165" s="61" t="s">
        <v>347</v>
      </c>
      <c r="B165" s="61" t="s">
        <v>348</v>
      </c>
      <c r="C165" s="35">
        <v>4301031204</v>
      </c>
      <c r="D165" s="78">
        <v>4680115881761</v>
      </c>
      <c r="E165" s="78"/>
      <c r="F165" s="60">
        <v>0.7</v>
      </c>
      <c r="G165" s="36">
        <v>6</v>
      </c>
      <c r="H165" s="60">
        <v>4.2</v>
      </c>
      <c r="I165" s="60">
        <v>4.46</v>
      </c>
      <c r="J165" s="36">
        <v>156</v>
      </c>
      <c r="K165" s="37" t="s">
        <v>77</v>
      </c>
      <c r="L165" s="36">
        <v>40</v>
      </c>
      <c r="M165" s="79" t="s">
        <v>349</v>
      </c>
      <c r="N165" s="80"/>
      <c r="O165" s="80"/>
      <c r="P165" s="80"/>
      <c r="Q165" s="81"/>
      <c r="R165" s="38" t="s">
        <v>48</v>
      </c>
      <c r="S165" s="38" t="s">
        <v>48</v>
      </c>
      <c r="T165" s="39" t="s">
        <v>0</v>
      </c>
      <c r="U165" s="57">
        <v>0</v>
      </c>
      <c r="V165" s="54">
        <f t="shared" si="8"/>
        <v>0</v>
      </c>
      <c r="W165" s="40" t="str">
        <f>IFERROR(IF(V165=0,"",ROUNDUP(V165/H165,0)*0.00753),"")</f>
        <v/>
      </c>
      <c r="X165" s="66" t="s">
        <v>48</v>
      </c>
      <c r="Y165" s="67" t="s">
        <v>48</v>
      </c>
    </row>
    <row r="166" spans="1:25" ht="27" customHeight="1" x14ac:dyDescent="0.25">
      <c r="A166" s="61" t="s">
        <v>350</v>
      </c>
      <c r="B166" s="61" t="s">
        <v>351</v>
      </c>
      <c r="C166" s="35">
        <v>4301031201</v>
      </c>
      <c r="D166" s="78">
        <v>4680115881563</v>
      </c>
      <c r="E166" s="78"/>
      <c r="F166" s="60">
        <v>0.7</v>
      </c>
      <c r="G166" s="36">
        <v>6</v>
      </c>
      <c r="H166" s="60">
        <v>4.2</v>
      </c>
      <c r="I166" s="60">
        <v>4.4000000000000004</v>
      </c>
      <c r="J166" s="36">
        <v>156</v>
      </c>
      <c r="K166" s="37" t="s">
        <v>77</v>
      </c>
      <c r="L166" s="36">
        <v>40</v>
      </c>
      <c r="M166" s="79" t="s">
        <v>352</v>
      </c>
      <c r="N166" s="80"/>
      <c r="O166" s="80"/>
      <c r="P166" s="80"/>
      <c r="Q166" s="81"/>
      <c r="R166" s="38" t="s">
        <v>48</v>
      </c>
      <c r="S166" s="38" t="s">
        <v>48</v>
      </c>
      <c r="T166" s="39" t="s">
        <v>0</v>
      </c>
      <c r="U166" s="57">
        <v>0</v>
      </c>
      <c r="V166" s="54">
        <f t="shared" si="8"/>
        <v>0</v>
      </c>
      <c r="W166" s="40" t="str">
        <f>IFERROR(IF(V166=0,"",ROUNDUP(V166/H166,0)*0.00753),"")</f>
        <v/>
      </c>
      <c r="X166" s="66" t="s">
        <v>48</v>
      </c>
      <c r="Y166" s="67" t="s">
        <v>48</v>
      </c>
    </row>
    <row r="167" spans="1:25" ht="27" customHeight="1" x14ac:dyDescent="0.25">
      <c r="A167" s="61" t="s">
        <v>353</v>
      </c>
      <c r="B167" s="61" t="s">
        <v>354</v>
      </c>
      <c r="C167" s="35">
        <v>4301031152</v>
      </c>
      <c r="D167" s="78">
        <v>4607091387285</v>
      </c>
      <c r="E167" s="78"/>
      <c r="F167" s="60">
        <v>0.35</v>
      </c>
      <c r="G167" s="36">
        <v>6</v>
      </c>
      <c r="H167" s="60">
        <v>2.1</v>
      </c>
      <c r="I167" s="60">
        <v>2.23</v>
      </c>
      <c r="J167" s="36">
        <v>234</v>
      </c>
      <c r="K167" s="37" t="s">
        <v>77</v>
      </c>
      <c r="L167" s="36">
        <v>40</v>
      </c>
      <c r="M167" s="79" t="s">
        <v>355</v>
      </c>
      <c r="N167" s="80"/>
      <c r="O167" s="80"/>
      <c r="P167" s="80"/>
      <c r="Q167" s="81"/>
      <c r="R167" s="38" t="s">
        <v>48</v>
      </c>
      <c r="S167" s="38" t="s">
        <v>48</v>
      </c>
      <c r="T167" s="39" t="s">
        <v>0</v>
      </c>
      <c r="U167" s="57">
        <v>52.5</v>
      </c>
      <c r="V167" s="54">
        <f t="shared" si="8"/>
        <v>52.5</v>
      </c>
      <c r="W167" s="40">
        <f>IFERROR(IF(V167=0,"",ROUNDUP(V167/H167,0)*0.00502),"")</f>
        <v>0.1255</v>
      </c>
      <c r="X167" s="66" t="s">
        <v>48</v>
      </c>
      <c r="Y167" s="67" t="s">
        <v>48</v>
      </c>
    </row>
    <row r="168" spans="1:25" ht="27" customHeight="1" x14ac:dyDescent="0.25">
      <c r="A168" s="61" t="s">
        <v>356</v>
      </c>
      <c r="B168" s="61" t="s">
        <v>357</v>
      </c>
      <c r="C168" s="35">
        <v>4301031199</v>
      </c>
      <c r="D168" s="78">
        <v>4680115880986</v>
      </c>
      <c r="E168" s="78"/>
      <c r="F168" s="60">
        <v>0.35</v>
      </c>
      <c r="G168" s="36">
        <v>6</v>
      </c>
      <c r="H168" s="60">
        <v>2.1</v>
      </c>
      <c r="I168" s="60">
        <v>2.23</v>
      </c>
      <c r="J168" s="36">
        <v>234</v>
      </c>
      <c r="K168" s="37" t="s">
        <v>77</v>
      </c>
      <c r="L168" s="36">
        <v>40</v>
      </c>
      <c r="M168" s="79" t="s">
        <v>358</v>
      </c>
      <c r="N168" s="80"/>
      <c r="O168" s="80"/>
      <c r="P168" s="80"/>
      <c r="Q168" s="81"/>
      <c r="R168" s="38" t="s">
        <v>48</v>
      </c>
      <c r="S168" s="38" t="s">
        <v>48</v>
      </c>
      <c r="T168" s="39" t="s">
        <v>0</v>
      </c>
      <c r="U168" s="57">
        <v>31.5</v>
      </c>
      <c r="V168" s="54">
        <f t="shared" si="8"/>
        <v>31.5</v>
      </c>
      <c r="W168" s="40">
        <f>IFERROR(IF(V168=0,"",ROUNDUP(V168/H168,0)*0.00502),"")</f>
        <v>7.5300000000000006E-2</v>
      </c>
      <c r="X168" s="66" t="s">
        <v>48</v>
      </c>
      <c r="Y168" s="67" t="s">
        <v>48</v>
      </c>
    </row>
    <row r="169" spans="1:25" ht="27" customHeight="1" x14ac:dyDescent="0.25">
      <c r="A169" s="61" t="s">
        <v>359</v>
      </c>
      <c r="B169" s="61" t="s">
        <v>360</v>
      </c>
      <c r="C169" s="35">
        <v>4301031190</v>
      </c>
      <c r="D169" s="78">
        <v>4680115880207</v>
      </c>
      <c r="E169" s="78"/>
      <c r="F169" s="60">
        <v>0.4</v>
      </c>
      <c r="G169" s="36">
        <v>6</v>
      </c>
      <c r="H169" s="60">
        <v>2.4</v>
      </c>
      <c r="I169" s="60">
        <v>2.63</v>
      </c>
      <c r="J169" s="36">
        <v>156</v>
      </c>
      <c r="K169" s="37" t="s">
        <v>77</v>
      </c>
      <c r="L169" s="36">
        <v>40</v>
      </c>
      <c r="M169" s="79" t="s">
        <v>361</v>
      </c>
      <c r="N169" s="80"/>
      <c r="O169" s="80"/>
      <c r="P169" s="80"/>
      <c r="Q169" s="81"/>
      <c r="R169" s="38" t="s">
        <v>48</v>
      </c>
      <c r="S169" s="38" t="s">
        <v>48</v>
      </c>
      <c r="T169" s="39" t="s">
        <v>0</v>
      </c>
      <c r="U169" s="57">
        <v>0</v>
      </c>
      <c r="V169" s="54">
        <f t="shared" si="8"/>
        <v>0</v>
      </c>
      <c r="W169" s="40" t="str">
        <f>IFERROR(IF(V169=0,"",ROUNDUP(V169/H169,0)*0.00753),"")</f>
        <v/>
      </c>
      <c r="X169" s="66" t="s">
        <v>48</v>
      </c>
      <c r="Y169" s="67" t="s">
        <v>48</v>
      </c>
    </row>
    <row r="170" spans="1:25" ht="27" customHeight="1" x14ac:dyDescent="0.25">
      <c r="A170" s="61" t="s">
        <v>362</v>
      </c>
      <c r="B170" s="61" t="s">
        <v>363</v>
      </c>
      <c r="C170" s="35">
        <v>4301031158</v>
      </c>
      <c r="D170" s="78">
        <v>4680115880191</v>
      </c>
      <c r="E170" s="78"/>
      <c r="F170" s="60">
        <v>0.4</v>
      </c>
      <c r="G170" s="36">
        <v>6</v>
      </c>
      <c r="H170" s="60">
        <v>2.4</v>
      </c>
      <c r="I170" s="60">
        <v>2.5</v>
      </c>
      <c r="J170" s="36">
        <v>234</v>
      </c>
      <c r="K170" s="37" t="s">
        <v>77</v>
      </c>
      <c r="L170" s="36">
        <v>40</v>
      </c>
      <c r="M170" s="79" t="s">
        <v>364</v>
      </c>
      <c r="N170" s="80"/>
      <c r="O170" s="80"/>
      <c r="P170" s="80"/>
      <c r="Q170" s="81"/>
      <c r="R170" s="38" t="s">
        <v>48</v>
      </c>
      <c r="S170" s="38" t="s">
        <v>48</v>
      </c>
      <c r="T170" s="39" t="s">
        <v>0</v>
      </c>
      <c r="U170" s="57">
        <v>0</v>
      </c>
      <c r="V170" s="54">
        <f t="shared" si="8"/>
        <v>0</v>
      </c>
      <c r="W170" s="40" t="str">
        <f>IFERROR(IF(V170=0,"",ROUNDUP(V170/H170,0)*0.00502),"")</f>
        <v/>
      </c>
      <c r="X170" s="66" t="s">
        <v>48</v>
      </c>
      <c r="Y170" s="67" t="s">
        <v>48</v>
      </c>
    </row>
    <row r="171" spans="1:25" ht="27" customHeight="1" x14ac:dyDescent="0.25">
      <c r="A171" s="61" t="s">
        <v>365</v>
      </c>
      <c r="B171" s="61" t="s">
        <v>366</v>
      </c>
      <c r="C171" s="35">
        <v>4301031151</v>
      </c>
      <c r="D171" s="78">
        <v>4607091389845</v>
      </c>
      <c r="E171" s="78"/>
      <c r="F171" s="60">
        <v>0.35</v>
      </c>
      <c r="G171" s="36">
        <v>6</v>
      </c>
      <c r="H171" s="60">
        <v>2.1</v>
      </c>
      <c r="I171" s="60">
        <v>2.2000000000000002</v>
      </c>
      <c r="J171" s="36">
        <v>234</v>
      </c>
      <c r="K171" s="37" t="s">
        <v>77</v>
      </c>
      <c r="L171" s="36">
        <v>40</v>
      </c>
      <c r="M171" s="79" t="s">
        <v>367</v>
      </c>
      <c r="N171" s="80"/>
      <c r="O171" s="80"/>
      <c r="P171" s="80"/>
      <c r="Q171" s="81"/>
      <c r="R171" s="38" t="s">
        <v>48</v>
      </c>
      <c r="S171" s="38" t="s">
        <v>48</v>
      </c>
      <c r="T171" s="39" t="s">
        <v>0</v>
      </c>
      <c r="U171" s="57">
        <v>31.5</v>
      </c>
      <c r="V171" s="54">
        <f t="shared" si="8"/>
        <v>31.5</v>
      </c>
      <c r="W171" s="40">
        <f>IFERROR(IF(V171=0,"",ROUNDUP(V171/H171,0)*0.00502),"")</f>
        <v>7.5300000000000006E-2</v>
      </c>
      <c r="X171" s="66" t="s">
        <v>48</v>
      </c>
      <c r="Y171" s="67" t="s">
        <v>48</v>
      </c>
    </row>
    <row r="172" spans="1:25" ht="27" customHeight="1" x14ac:dyDescent="0.25">
      <c r="A172" s="61" t="s">
        <v>368</v>
      </c>
      <c r="B172" s="61" t="s">
        <v>369</v>
      </c>
      <c r="C172" s="35">
        <v>4301031205</v>
      </c>
      <c r="D172" s="78">
        <v>4680115881785</v>
      </c>
      <c r="E172" s="78"/>
      <c r="F172" s="60">
        <v>0.35</v>
      </c>
      <c r="G172" s="36">
        <v>6</v>
      </c>
      <c r="H172" s="60">
        <v>2.1</v>
      </c>
      <c r="I172" s="60">
        <v>2.23</v>
      </c>
      <c r="J172" s="36">
        <v>234</v>
      </c>
      <c r="K172" s="37" t="s">
        <v>77</v>
      </c>
      <c r="L172" s="36">
        <v>40</v>
      </c>
      <c r="M172" s="79" t="s">
        <v>370</v>
      </c>
      <c r="N172" s="80"/>
      <c r="O172" s="80"/>
      <c r="P172" s="80"/>
      <c r="Q172" s="81"/>
      <c r="R172" s="38" t="s">
        <v>48</v>
      </c>
      <c r="S172" s="38" t="s">
        <v>48</v>
      </c>
      <c r="T172" s="39" t="s">
        <v>0</v>
      </c>
      <c r="U172" s="57">
        <v>0</v>
      </c>
      <c r="V172" s="54">
        <f t="shared" si="8"/>
        <v>0</v>
      </c>
      <c r="W172" s="40" t="str">
        <f>IFERROR(IF(V172=0,"",ROUNDUP(V172/H172,0)*0.00502),"")</f>
        <v/>
      </c>
      <c r="X172" s="66" t="s">
        <v>48</v>
      </c>
      <c r="Y172" s="67" t="s">
        <v>48</v>
      </c>
    </row>
    <row r="173" spans="1:25" ht="27" customHeight="1" x14ac:dyDescent="0.25">
      <c r="A173" s="61" t="s">
        <v>371</v>
      </c>
      <c r="B173" s="61" t="s">
        <v>372</v>
      </c>
      <c r="C173" s="35">
        <v>4301031202</v>
      </c>
      <c r="D173" s="78">
        <v>4680115881679</v>
      </c>
      <c r="E173" s="78"/>
      <c r="F173" s="60">
        <v>0.35</v>
      </c>
      <c r="G173" s="36">
        <v>6</v>
      </c>
      <c r="H173" s="60">
        <v>2.1</v>
      </c>
      <c r="I173" s="60">
        <v>2.2000000000000002</v>
      </c>
      <c r="J173" s="36">
        <v>234</v>
      </c>
      <c r="K173" s="37" t="s">
        <v>77</v>
      </c>
      <c r="L173" s="36">
        <v>40</v>
      </c>
      <c r="M173" s="79" t="s">
        <v>373</v>
      </c>
      <c r="N173" s="80"/>
      <c r="O173" s="80"/>
      <c r="P173" s="80"/>
      <c r="Q173" s="81"/>
      <c r="R173" s="38" t="s">
        <v>48</v>
      </c>
      <c r="S173" s="38" t="s">
        <v>48</v>
      </c>
      <c r="T173" s="39" t="s">
        <v>0</v>
      </c>
      <c r="U173" s="57">
        <v>0</v>
      </c>
      <c r="V173" s="54">
        <f t="shared" si="8"/>
        <v>0</v>
      </c>
      <c r="W173" s="40" t="str">
        <f>IFERROR(IF(V173=0,"",ROUNDUP(V173/H173,0)*0.00502),"")</f>
        <v/>
      </c>
      <c r="X173" s="66" t="s">
        <v>48</v>
      </c>
      <c r="Y173" s="67" t="s">
        <v>48</v>
      </c>
    </row>
    <row r="174" spans="1:25" x14ac:dyDescent="0.2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85"/>
      <c r="M174" s="82" t="s">
        <v>43</v>
      </c>
      <c r="N174" s="83"/>
      <c r="O174" s="83"/>
      <c r="P174" s="83"/>
      <c r="Q174" s="83"/>
      <c r="R174" s="83"/>
      <c r="S174" s="84"/>
      <c r="T174" s="41" t="s">
        <v>42</v>
      </c>
      <c r="U174" s="42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</f>
        <v>58.571428571428569</v>
      </c>
      <c r="V174" s="42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</f>
        <v>59</v>
      </c>
      <c r="W174" s="42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</f>
        <v>0.30622000000000005</v>
      </c>
      <c r="X174" s="65"/>
      <c r="Y174" s="65"/>
    </row>
    <row r="175" spans="1:25" x14ac:dyDescent="0.2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85"/>
      <c r="M175" s="82" t="s">
        <v>43</v>
      </c>
      <c r="N175" s="83"/>
      <c r="O175" s="83"/>
      <c r="P175" s="83"/>
      <c r="Q175" s="83"/>
      <c r="R175" s="83"/>
      <c r="S175" s="84"/>
      <c r="T175" s="41" t="s">
        <v>0</v>
      </c>
      <c r="U175" s="42">
        <f>IFERROR(SUM(U162:U173),"0")</f>
        <v>130.5</v>
      </c>
      <c r="V175" s="42">
        <f>IFERROR(SUM(V162:V173),"0")</f>
        <v>132.30000000000001</v>
      </c>
      <c r="W175" s="41"/>
      <c r="X175" s="65"/>
      <c r="Y175" s="65"/>
    </row>
    <row r="176" spans="1:25" ht="14.25" customHeight="1" x14ac:dyDescent="0.25">
      <c r="A176" s="77" t="s">
        <v>78</v>
      </c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64"/>
      <c r="Y176" s="64"/>
    </row>
    <row r="177" spans="1:25" ht="27" customHeight="1" x14ac:dyDescent="0.25">
      <c r="A177" s="61" t="s">
        <v>374</v>
      </c>
      <c r="B177" s="61" t="s">
        <v>375</v>
      </c>
      <c r="C177" s="35">
        <v>4301051409</v>
      </c>
      <c r="D177" s="78">
        <v>4680115881556</v>
      </c>
      <c r="E177" s="78"/>
      <c r="F177" s="60">
        <v>1</v>
      </c>
      <c r="G177" s="36">
        <v>4</v>
      </c>
      <c r="H177" s="60">
        <v>4</v>
      </c>
      <c r="I177" s="60">
        <v>4.4080000000000004</v>
      </c>
      <c r="J177" s="36">
        <v>104</v>
      </c>
      <c r="K177" s="37" t="s">
        <v>157</v>
      </c>
      <c r="L177" s="36">
        <v>45</v>
      </c>
      <c r="M177" s="79" t="s">
        <v>376</v>
      </c>
      <c r="N177" s="80"/>
      <c r="O177" s="80"/>
      <c r="P177" s="80"/>
      <c r="Q177" s="81"/>
      <c r="R177" s="38" t="s">
        <v>48</v>
      </c>
      <c r="S177" s="38" t="s">
        <v>48</v>
      </c>
      <c r="T177" s="39" t="s">
        <v>0</v>
      </c>
      <c r="U177" s="57">
        <v>0</v>
      </c>
      <c r="V177" s="54">
        <f t="shared" ref="V177:V194" si="9">IFERROR(IF(U177="",0,CEILING((U177/$H177),1)*$H177),"")</f>
        <v>0</v>
      </c>
      <c r="W177" s="40" t="str">
        <f>IFERROR(IF(V177=0,"",ROUNDUP(V177/H177,0)*0.01196),"")</f>
        <v/>
      </c>
      <c r="X177" s="66" t="s">
        <v>48</v>
      </c>
      <c r="Y177" s="67" t="s">
        <v>48</v>
      </c>
    </row>
    <row r="178" spans="1:25" ht="16.5" customHeight="1" x14ac:dyDescent="0.25">
      <c r="A178" s="61" t="s">
        <v>377</v>
      </c>
      <c r="B178" s="61" t="s">
        <v>378</v>
      </c>
      <c r="C178" s="35">
        <v>4301051101</v>
      </c>
      <c r="D178" s="78">
        <v>4607091387766</v>
      </c>
      <c r="E178" s="78"/>
      <c r="F178" s="60">
        <v>1.35</v>
      </c>
      <c r="G178" s="36">
        <v>6</v>
      </c>
      <c r="H178" s="60">
        <v>8.1</v>
      </c>
      <c r="I178" s="60">
        <v>8.6579999999999995</v>
      </c>
      <c r="J178" s="36">
        <v>56</v>
      </c>
      <c r="K178" s="37" t="s">
        <v>77</v>
      </c>
      <c r="L178" s="36">
        <v>40</v>
      </c>
      <c r="M178" s="79" t="s">
        <v>379</v>
      </c>
      <c r="N178" s="80"/>
      <c r="O178" s="80"/>
      <c r="P178" s="80"/>
      <c r="Q178" s="81"/>
      <c r="R178" s="38" t="s">
        <v>48</v>
      </c>
      <c r="S178" s="38" t="s">
        <v>48</v>
      </c>
      <c r="T178" s="39" t="s">
        <v>0</v>
      </c>
      <c r="U178" s="57">
        <v>300</v>
      </c>
      <c r="V178" s="54">
        <f t="shared" si="9"/>
        <v>307.8</v>
      </c>
      <c r="W178" s="40">
        <f>IFERROR(IF(V178=0,"",ROUNDUP(V178/H178,0)*0.02175),"")</f>
        <v>0.8264999999999999</v>
      </c>
      <c r="X178" s="66" t="s">
        <v>48</v>
      </c>
      <c r="Y178" s="67" t="s">
        <v>48</v>
      </c>
    </row>
    <row r="179" spans="1:25" ht="27" customHeight="1" x14ac:dyDescent="0.25">
      <c r="A179" s="61" t="s">
        <v>380</v>
      </c>
      <c r="B179" s="61" t="s">
        <v>381</v>
      </c>
      <c r="C179" s="35">
        <v>4301051116</v>
      </c>
      <c r="D179" s="78">
        <v>4607091387957</v>
      </c>
      <c r="E179" s="78"/>
      <c r="F179" s="60">
        <v>1.3</v>
      </c>
      <c r="G179" s="36">
        <v>6</v>
      </c>
      <c r="H179" s="60">
        <v>7.8</v>
      </c>
      <c r="I179" s="60">
        <v>8.3640000000000008</v>
      </c>
      <c r="J179" s="36">
        <v>56</v>
      </c>
      <c r="K179" s="37" t="s">
        <v>77</v>
      </c>
      <c r="L179" s="36">
        <v>40</v>
      </c>
      <c r="M179" s="79" t="s">
        <v>382</v>
      </c>
      <c r="N179" s="80"/>
      <c r="O179" s="80"/>
      <c r="P179" s="80"/>
      <c r="Q179" s="81"/>
      <c r="R179" s="38" t="s">
        <v>48</v>
      </c>
      <c r="S179" s="38" t="s">
        <v>48</v>
      </c>
      <c r="T179" s="39" t="s">
        <v>0</v>
      </c>
      <c r="U179" s="57">
        <v>0</v>
      </c>
      <c r="V179" s="54">
        <f t="shared" si="9"/>
        <v>0</v>
      </c>
      <c r="W179" s="40" t="str">
        <f>IFERROR(IF(V179=0,"",ROUNDUP(V179/H179,0)*0.02175),"")</f>
        <v/>
      </c>
      <c r="X179" s="66" t="s">
        <v>48</v>
      </c>
      <c r="Y179" s="67" t="s">
        <v>48</v>
      </c>
    </row>
    <row r="180" spans="1:25" ht="27" customHeight="1" x14ac:dyDescent="0.25">
      <c r="A180" s="61" t="s">
        <v>383</v>
      </c>
      <c r="B180" s="61" t="s">
        <v>384</v>
      </c>
      <c r="C180" s="35">
        <v>4301051115</v>
      </c>
      <c r="D180" s="78">
        <v>4607091387964</v>
      </c>
      <c r="E180" s="78"/>
      <c r="F180" s="60">
        <v>1.35</v>
      </c>
      <c r="G180" s="36">
        <v>6</v>
      </c>
      <c r="H180" s="60">
        <v>8.1</v>
      </c>
      <c r="I180" s="60">
        <v>8.6460000000000008</v>
      </c>
      <c r="J180" s="36">
        <v>56</v>
      </c>
      <c r="K180" s="37" t="s">
        <v>77</v>
      </c>
      <c r="L180" s="36">
        <v>40</v>
      </c>
      <c r="M180" s="79" t="s">
        <v>385</v>
      </c>
      <c r="N180" s="80"/>
      <c r="O180" s="80"/>
      <c r="P180" s="80"/>
      <c r="Q180" s="81"/>
      <c r="R180" s="38" t="s">
        <v>48</v>
      </c>
      <c r="S180" s="38" t="s">
        <v>48</v>
      </c>
      <c r="T180" s="39" t="s">
        <v>0</v>
      </c>
      <c r="U180" s="57">
        <v>0</v>
      </c>
      <c r="V180" s="54">
        <f t="shared" si="9"/>
        <v>0</v>
      </c>
      <c r="W180" s="40" t="str">
        <f>IFERROR(IF(V180=0,"",ROUNDUP(V180/H180,0)*0.02175),"")</f>
        <v/>
      </c>
      <c r="X180" s="66" t="s">
        <v>48</v>
      </c>
      <c r="Y180" s="67" t="s">
        <v>48</v>
      </c>
    </row>
    <row r="181" spans="1:25" ht="16.5" customHeight="1" x14ac:dyDescent="0.25">
      <c r="A181" s="61" t="s">
        <v>386</v>
      </c>
      <c r="B181" s="61" t="s">
        <v>387</v>
      </c>
      <c r="C181" s="35">
        <v>4301051370</v>
      </c>
      <c r="D181" s="78">
        <v>4680115880573</v>
      </c>
      <c r="E181" s="78"/>
      <c r="F181" s="60">
        <v>1.3</v>
      </c>
      <c r="G181" s="36">
        <v>6</v>
      </c>
      <c r="H181" s="60">
        <v>7.8</v>
      </c>
      <c r="I181" s="60">
        <v>8.3640000000000008</v>
      </c>
      <c r="J181" s="36">
        <v>56</v>
      </c>
      <c r="K181" s="37" t="s">
        <v>157</v>
      </c>
      <c r="L181" s="36">
        <v>40</v>
      </c>
      <c r="M181" s="79" t="s">
        <v>388</v>
      </c>
      <c r="N181" s="80"/>
      <c r="O181" s="80"/>
      <c r="P181" s="80"/>
      <c r="Q181" s="81"/>
      <c r="R181" s="38" t="s">
        <v>48</v>
      </c>
      <c r="S181" s="38" t="s">
        <v>48</v>
      </c>
      <c r="T181" s="39" t="s">
        <v>0</v>
      </c>
      <c r="U181" s="57">
        <v>0</v>
      </c>
      <c r="V181" s="54">
        <f t="shared" si="9"/>
        <v>0</v>
      </c>
      <c r="W181" s="40" t="str">
        <f>IFERROR(IF(V181=0,"",ROUNDUP(V181/H181,0)*0.02175),"")</f>
        <v/>
      </c>
      <c r="X181" s="66" t="s">
        <v>48</v>
      </c>
      <c r="Y181" s="67" t="s">
        <v>48</v>
      </c>
    </row>
    <row r="182" spans="1:25" ht="27" customHeight="1" x14ac:dyDescent="0.25">
      <c r="A182" s="61" t="s">
        <v>389</v>
      </c>
      <c r="B182" s="61" t="s">
        <v>390</v>
      </c>
      <c r="C182" s="35">
        <v>4301051433</v>
      </c>
      <c r="D182" s="78">
        <v>4680115881587</v>
      </c>
      <c r="E182" s="78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7" t="s">
        <v>77</v>
      </c>
      <c r="L182" s="36">
        <v>35</v>
      </c>
      <c r="M182" s="79" t="s">
        <v>391</v>
      </c>
      <c r="N182" s="80"/>
      <c r="O182" s="80"/>
      <c r="P182" s="80"/>
      <c r="Q182" s="81"/>
      <c r="R182" s="38" t="s">
        <v>48</v>
      </c>
      <c r="S182" s="38" t="s">
        <v>48</v>
      </c>
      <c r="T182" s="39" t="s">
        <v>0</v>
      </c>
      <c r="U182" s="57">
        <v>0</v>
      </c>
      <c r="V182" s="54">
        <f t="shared" si="9"/>
        <v>0</v>
      </c>
      <c r="W182" s="40" t="str">
        <f>IFERROR(IF(V182=0,"",ROUNDUP(V182/H182,0)*0.01196),"")</f>
        <v/>
      </c>
      <c r="X182" s="66" t="s">
        <v>48</v>
      </c>
      <c r="Y182" s="67" t="s">
        <v>48</v>
      </c>
    </row>
    <row r="183" spans="1:25" ht="16.5" customHeight="1" x14ac:dyDescent="0.25">
      <c r="A183" s="61" t="s">
        <v>392</v>
      </c>
      <c r="B183" s="61" t="s">
        <v>393</v>
      </c>
      <c r="C183" s="35">
        <v>4301051380</v>
      </c>
      <c r="D183" s="78">
        <v>4680115880962</v>
      </c>
      <c r="E183" s="78"/>
      <c r="F183" s="60">
        <v>1.3</v>
      </c>
      <c r="G183" s="36">
        <v>6</v>
      </c>
      <c r="H183" s="60">
        <v>7.8</v>
      </c>
      <c r="I183" s="60">
        <v>8.3640000000000008</v>
      </c>
      <c r="J183" s="36">
        <v>56</v>
      </c>
      <c r="K183" s="37" t="s">
        <v>77</v>
      </c>
      <c r="L183" s="36">
        <v>40</v>
      </c>
      <c r="M183" s="79" t="s">
        <v>394</v>
      </c>
      <c r="N183" s="80"/>
      <c r="O183" s="80"/>
      <c r="P183" s="80"/>
      <c r="Q183" s="81"/>
      <c r="R183" s="38" t="s">
        <v>48</v>
      </c>
      <c r="S183" s="38" t="s">
        <v>48</v>
      </c>
      <c r="T183" s="39" t="s">
        <v>0</v>
      </c>
      <c r="U183" s="57">
        <v>0</v>
      </c>
      <c r="V183" s="54">
        <f t="shared" si="9"/>
        <v>0</v>
      </c>
      <c r="W183" s="40" t="str">
        <f>IFERROR(IF(V183=0,"",ROUNDUP(V183/H183,0)*0.02175),"")</f>
        <v/>
      </c>
      <c r="X183" s="66" t="s">
        <v>48</v>
      </c>
      <c r="Y183" s="67" t="s">
        <v>48</v>
      </c>
    </row>
    <row r="184" spans="1:25" ht="27" customHeight="1" x14ac:dyDescent="0.25">
      <c r="A184" s="61" t="s">
        <v>395</v>
      </c>
      <c r="B184" s="61" t="s">
        <v>396</v>
      </c>
      <c r="C184" s="35">
        <v>4301051377</v>
      </c>
      <c r="D184" s="78">
        <v>4680115881228</v>
      </c>
      <c r="E184" s="78"/>
      <c r="F184" s="60">
        <v>0.4</v>
      </c>
      <c r="G184" s="36">
        <v>6</v>
      </c>
      <c r="H184" s="60">
        <v>2.4</v>
      </c>
      <c r="I184" s="60">
        <v>2.6</v>
      </c>
      <c r="J184" s="36">
        <v>156</v>
      </c>
      <c r="K184" s="37" t="s">
        <v>77</v>
      </c>
      <c r="L184" s="36">
        <v>35</v>
      </c>
      <c r="M184" s="79" t="s">
        <v>397</v>
      </c>
      <c r="N184" s="80"/>
      <c r="O184" s="80"/>
      <c r="P184" s="80"/>
      <c r="Q184" s="81"/>
      <c r="R184" s="38" t="s">
        <v>48</v>
      </c>
      <c r="S184" s="38" t="s">
        <v>48</v>
      </c>
      <c r="T184" s="39" t="s">
        <v>0</v>
      </c>
      <c r="U184" s="57">
        <v>120</v>
      </c>
      <c r="V184" s="54">
        <f t="shared" si="9"/>
        <v>120</v>
      </c>
      <c r="W184" s="40">
        <f>IFERROR(IF(V184=0,"",ROUNDUP(V184/H184,0)*0.00753),"")</f>
        <v>0.3765</v>
      </c>
      <c r="X184" s="66" t="s">
        <v>48</v>
      </c>
      <c r="Y184" s="67" t="s">
        <v>48</v>
      </c>
    </row>
    <row r="185" spans="1:25" ht="27" customHeight="1" x14ac:dyDescent="0.25">
      <c r="A185" s="61" t="s">
        <v>398</v>
      </c>
      <c r="B185" s="61" t="s">
        <v>399</v>
      </c>
      <c r="C185" s="35">
        <v>4301051432</v>
      </c>
      <c r="D185" s="78">
        <v>4680115881037</v>
      </c>
      <c r="E185" s="78"/>
      <c r="F185" s="60">
        <v>0.84</v>
      </c>
      <c r="G185" s="36">
        <v>4</v>
      </c>
      <c r="H185" s="60">
        <v>3.36</v>
      </c>
      <c r="I185" s="60">
        <v>3.6179999999999999</v>
      </c>
      <c r="J185" s="36">
        <v>120</v>
      </c>
      <c r="K185" s="37" t="s">
        <v>77</v>
      </c>
      <c r="L185" s="36">
        <v>35</v>
      </c>
      <c r="M185" s="79" t="s">
        <v>400</v>
      </c>
      <c r="N185" s="80"/>
      <c r="O185" s="80"/>
      <c r="P185" s="80"/>
      <c r="Q185" s="81"/>
      <c r="R185" s="38" t="s">
        <v>48</v>
      </c>
      <c r="S185" s="38" t="s">
        <v>48</v>
      </c>
      <c r="T185" s="39" t="s">
        <v>0</v>
      </c>
      <c r="U185" s="57">
        <v>0</v>
      </c>
      <c r="V185" s="54">
        <f t="shared" si="9"/>
        <v>0</v>
      </c>
      <c r="W185" s="40" t="str">
        <f>IFERROR(IF(V185=0,"",ROUNDUP(V185/H185,0)*0.00937),"")</f>
        <v/>
      </c>
      <c r="X185" s="66" t="s">
        <v>48</v>
      </c>
      <c r="Y185" s="67" t="s">
        <v>48</v>
      </c>
    </row>
    <row r="186" spans="1:25" ht="27" customHeight="1" x14ac:dyDescent="0.25">
      <c r="A186" s="61" t="s">
        <v>401</v>
      </c>
      <c r="B186" s="61" t="s">
        <v>402</v>
      </c>
      <c r="C186" s="35">
        <v>4301051384</v>
      </c>
      <c r="D186" s="78">
        <v>4680115881211</v>
      </c>
      <c r="E186" s="78"/>
      <c r="F186" s="60">
        <v>0.4</v>
      </c>
      <c r="G186" s="36">
        <v>6</v>
      </c>
      <c r="H186" s="60">
        <v>2.4</v>
      </c>
      <c r="I186" s="60">
        <v>2.6</v>
      </c>
      <c r="J186" s="36">
        <v>156</v>
      </c>
      <c r="K186" s="37" t="s">
        <v>77</v>
      </c>
      <c r="L186" s="36">
        <v>45</v>
      </c>
      <c r="M186" s="79" t="s">
        <v>403</v>
      </c>
      <c r="N186" s="80"/>
      <c r="O186" s="80"/>
      <c r="P186" s="80"/>
      <c r="Q186" s="81"/>
      <c r="R186" s="38" t="s">
        <v>48</v>
      </c>
      <c r="S186" s="38" t="s">
        <v>48</v>
      </c>
      <c r="T186" s="39" t="s">
        <v>0</v>
      </c>
      <c r="U186" s="57">
        <v>150</v>
      </c>
      <c r="V186" s="54">
        <f t="shared" si="9"/>
        <v>151.19999999999999</v>
      </c>
      <c r="W186" s="40">
        <f>IFERROR(IF(V186=0,"",ROUNDUP(V186/H186,0)*0.00753),"")</f>
        <v>0.47439000000000003</v>
      </c>
      <c r="X186" s="66" t="s">
        <v>48</v>
      </c>
      <c r="Y186" s="67" t="s">
        <v>48</v>
      </c>
    </row>
    <row r="187" spans="1:25" ht="27" customHeight="1" x14ac:dyDescent="0.25">
      <c r="A187" s="61" t="s">
        <v>404</v>
      </c>
      <c r="B187" s="61" t="s">
        <v>405</v>
      </c>
      <c r="C187" s="35">
        <v>4301051378</v>
      </c>
      <c r="D187" s="78">
        <v>4680115881020</v>
      </c>
      <c r="E187" s="78"/>
      <c r="F187" s="60">
        <v>0.84</v>
      </c>
      <c r="G187" s="36">
        <v>4</v>
      </c>
      <c r="H187" s="60">
        <v>3.36</v>
      </c>
      <c r="I187" s="60">
        <v>3.57</v>
      </c>
      <c r="J187" s="36">
        <v>120</v>
      </c>
      <c r="K187" s="37" t="s">
        <v>77</v>
      </c>
      <c r="L187" s="36">
        <v>45</v>
      </c>
      <c r="M187" s="79" t="s">
        <v>406</v>
      </c>
      <c r="N187" s="80"/>
      <c r="O187" s="80"/>
      <c r="P187" s="80"/>
      <c r="Q187" s="81"/>
      <c r="R187" s="38" t="s">
        <v>48</v>
      </c>
      <c r="S187" s="38" t="s">
        <v>48</v>
      </c>
      <c r="T187" s="39" t="s">
        <v>0</v>
      </c>
      <c r="U187" s="57">
        <v>0</v>
      </c>
      <c r="V187" s="54">
        <f t="shared" si="9"/>
        <v>0</v>
      </c>
      <c r="W187" s="40" t="str">
        <f>IFERROR(IF(V187=0,"",ROUNDUP(V187/H187,0)*0.00937),"")</f>
        <v/>
      </c>
      <c r="X187" s="66" t="s">
        <v>48</v>
      </c>
      <c r="Y187" s="67" t="s">
        <v>48</v>
      </c>
    </row>
    <row r="188" spans="1:25" ht="16.5" customHeight="1" x14ac:dyDescent="0.25">
      <c r="A188" s="61" t="s">
        <v>407</v>
      </c>
      <c r="B188" s="61" t="s">
        <v>408</v>
      </c>
      <c r="C188" s="35">
        <v>4301051134</v>
      </c>
      <c r="D188" s="78">
        <v>4607091381672</v>
      </c>
      <c r="E188" s="78"/>
      <c r="F188" s="60">
        <v>0.6</v>
      </c>
      <c r="G188" s="36">
        <v>6</v>
      </c>
      <c r="H188" s="60">
        <v>3.6</v>
      </c>
      <c r="I188" s="60">
        <v>3.8759999999999999</v>
      </c>
      <c r="J188" s="36">
        <v>120</v>
      </c>
      <c r="K188" s="37" t="s">
        <v>77</v>
      </c>
      <c r="L188" s="36">
        <v>40</v>
      </c>
      <c r="M188" s="79" t="s">
        <v>409</v>
      </c>
      <c r="N188" s="80"/>
      <c r="O188" s="80"/>
      <c r="P188" s="80"/>
      <c r="Q188" s="81"/>
      <c r="R188" s="38" t="s">
        <v>48</v>
      </c>
      <c r="S188" s="38" t="s">
        <v>48</v>
      </c>
      <c r="T188" s="39" t="s">
        <v>0</v>
      </c>
      <c r="U188" s="57">
        <v>150</v>
      </c>
      <c r="V188" s="54">
        <f t="shared" si="9"/>
        <v>151.20000000000002</v>
      </c>
      <c r="W188" s="40">
        <f>IFERROR(IF(V188=0,"",ROUNDUP(V188/H188,0)*0.00937),"")</f>
        <v>0.39354</v>
      </c>
      <c r="X188" s="66" t="s">
        <v>48</v>
      </c>
      <c r="Y188" s="67" t="s">
        <v>48</v>
      </c>
    </row>
    <row r="189" spans="1:25" ht="27" customHeight="1" x14ac:dyDescent="0.25">
      <c r="A189" s="61" t="s">
        <v>410</v>
      </c>
      <c r="B189" s="61" t="s">
        <v>411</v>
      </c>
      <c r="C189" s="35">
        <v>4301051130</v>
      </c>
      <c r="D189" s="78">
        <v>4607091387537</v>
      </c>
      <c r="E189" s="78"/>
      <c r="F189" s="60">
        <v>0.45</v>
      </c>
      <c r="G189" s="36">
        <v>6</v>
      </c>
      <c r="H189" s="60">
        <v>2.7</v>
      </c>
      <c r="I189" s="60">
        <v>2.99</v>
      </c>
      <c r="J189" s="36">
        <v>156</v>
      </c>
      <c r="K189" s="37" t="s">
        <v>77</v>
      </c>
      <c r="L189" s="36">
        <v>40</v>
      </c>
      <c r="M189" s="79" t="s">
        <v>412</v>
      </c>
      <c r="N189" s="80"/>
      <c r="O189" s="80"/>
      <c r="P189" s="80"/>
      <c r="Q189" s="81"/>
      <c r="R189" s="38" t="s">
        <v>48</v>
      </c>
      <c r="S189" s="38" t="s">
        <v>48</v>
      </c>
      <c r="T189" s="39" t="s">
        <v>0</v>
      </c>
      <c r="U189" s="57">
        <v>0</v>
      </c>
      <c r="V189" s="54">
        <f t="shared" si="9"/>
        <v>0</v>
      </c>
      <c r="W189" s="40" t="str">
        <f t="shared" ref="W189:W194" si="10">IFERROR(IF(V189=0,"",ROUNDUP(V189/H189,0)*0.00753),"")</f>
        <v/>
      </c>
      <c r="X189" s="66" t="s">
        <v>48</v>
      </c>
      <c r="Y189" s="67" t="s">
        <v>48</v>
      </c>
    </row>
    <row r="190" spans="1:25" ht="27" customHeight="1" x14ac:dyDescent="0.25">
      <c r="A190" s="61" t="s">
        <v>413</v>
      </c>
      <c r="B190" s="61" t="s">
        <v>414</v>
      </c>
      <c r="C190" s="35">
        <v>4301051132</v>
      </c>
      <c r="D190" s="78">
        <v>4607091387513</v>
      </c>
      <c r="E190" s="78"/>
      <c r="F190" s="60">
        <v>0.45</v>
      </c>
      <c r="G190" s="36">
        <v>6</v>
      </c>
      <c r="H190" s="60">
        <v>2.7</v>
      </c>
      <c r="I190" s="60">
        <v>2.9780000000000002</v>
      </c>
      <c r="J190" s="36">
        <v>156</v>
      </c>
      <c r="K190" s="37" t="s">
        <v>77</v>
      </c>
      <c r="L190" s="36">
        <v>40</v>
      </c>
      <c r="M190" s="79" t="s">
        <v>415</v>
      </c>
      <c r="N190" s="80"/>
      <c r="O190" s="80"/>
      <c r="P190" s="80"/>
      <c r="Q190" s="81"/>
      <c r="R190" s="38" t="s">
        <v>48</v>
      </c>
      <c r="S190" s="38" t="s">
        <v>48</v>
      </c>
      <c r="T190" s="39" t="s">
        <v>0</v>
      </c>
      <c r="U190" s="57">
        <v>0</v>
      </c>
      <c r="V190" s="54">
        <f t="shared" si="9"/>
        <v>0</v>
      </c>
      <c r="W190" s="40" t="str">
        <f t="shared" si="10"/>
        <v/>
      </c>
      <c r="X190" s="66" t="s">
        <v>48</v>
      </c>
      <c r="Y190" s="67" t="s">
        <v>48</v>
      </c>
    </row>
    <row r="191" spans="1:25" ht="27" customHeight="1" x14ac:dyDescent="0.25">
      <c r="A191" s="61" t="s">
        <v>416</v>
      </c>
      <c r="B191" s="61" t="s">
        <v>417</v>
      </c>
      <c r="C191" s="35">
        <v>4301051371</v>
      </c>
      <c r="D191" s="78">
        <v>4680115880092</v>
      </c>
      <c r="E191" s="78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7" t="s">
        <v>157</v>
      </c>
      <c r="L191" s="36">
        <v>40</v>
      </c>
      <c r="M191" s="79" t="s">
        <v>418</v>
      </c>
      <c r="N191" s="80"/>
      <c r="O191" s="80"/>
      <c r="P191" s="80"/>
      <c r="Q191" s="81"/>
      <c r="R191" s="38" t="s">
        <v>48</v>
      </c>
      <c r="S191" s="38" t="s">
        <v>48</v>
      </c>
      <c r="T191" s="39" t="s">
        <v>0</v>
      </c>
      <c r="U191" s="57">
        <v>90</v>
      </c>
      <c r="V191" s="54">
        <f t="shared" si="9"/>
        <v>91.2</v>
      </c>
      <c r="W191" s="40">
        <f t="shared" si="10"/>
        <v>0.28614000000000001</v>
      </c>
      <c r="X191" s="66" t="s">
        <v>48</v>
      </c>
      <c r="Y191" s="67" t="s">
        <v>48</v>
      </c>
    </row>
    <row r="192" spans="1:25" ht="27" customHeight="1" x14ac:dyDescent="0.25">
      <c r="A192" s="61" t="s">
        <v>419</v>
      </c>
      <c r="B192" s="61" t="s">
        <v>420</v>
      </c>
      <c r="C192" s="35">
        <v>4301051372</v>
      </c>
      <c r="D192" s="78">
        <v>4680115880221</v>
      </c>
      <c r="E192" s="78"/>
      <c r="F192" s="60">
        <v>0.4</v>
      </c>
      <c r="G192" s="36">
        <v>6</v>
      </c>
      <c r="H192" s="60">
        <v>2.4</v>
      </c>
      <c r="I192" s="60">
        <v>2.6720000000000002</v>
      </c>
      <c r="J192" s="36">
        <v>156</v>
      </c>
      <c r="K192" s="37" t="s">
        <v>157</v>
      </c>
      <c r="L192" s="36">
        <v>40</v>
      </c>
      <c r="M192" s="79" t="s">
        <v>421</v>
      </c>
      <c r="N192" s="80"/>
      <c r="O192" s="80"/>
      <c r="P192" s="80"/>
      <c r="Q192" s="81"/>
      <c r="R192" s="38" t="s">
        <v>48</v>
      </c>
      <c r="S192" s="38" t="s">
        <v>48</v>
      </c>
      <c r="T192" s="39" t="s">
        <v>0</v>
      </c>
      <c r="U192" s="57">
        <v>96</v>
      </c>
      <c r="V192" s="54">
        <f t="shared" si="9"/>
        <v>96</v>
      </c>
      <c r="W192" s="40">
        <f t="shared" si="10"/>
        <v>0.30120000000000002</v>
      </c>
      <c r="X192" s="66" t="s">
        <v>48</v>
      </c>
      <c r="Y192" s="67" t="s">
        <v>48</v>
      </c>
    </row>
    <row r="193" spans="1:25" ht="16.5" customHeight="1" x14ac:dyDescent="0.25">
      <c r="A193" s="61" t="s">
        <v>422</v>
      </c>
      <c r="B193" s="61" t="s">
        <v>423</v>
      </c>
      <c r="C193" s="35">
        <v>4301051326</v>
      </c>
      <c r="D193" s="78">
        <v>4680115880504</v>
      </c>
      <c r="E193" s="78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7" t="s">
        <v>77</v>
      </c>
      <c r="L193" s="36">
        <v>40</v>
      </c>
      <c r="M193" s="79" t="s">
        <v>424</v>
      </c>
      <c r="N193" s="80"/>
      <c r="O193" s="80"/>
      <c r="P193" s="80"/>
      <c r="Q193" s="81"/>
      <c r="R193" s="38" t="s">
        <v>48</v>
      </c>
      <c r="S193" s="38" t="s">
        <v>48</v>
      </c>
      <c r="T193" s="39" t="s">
        <v>0</v>
      </c>
      <c r="U193" s="57">
        <v>0</v>
      </c>
      <c r="V193" s="54">
        <f t="shared" si="9"/>
        <v>0</v>
      </c>
      <c r="W193" s="40" t="str">
        <f t="shared" si="10"/>
        <v/>
      </c>
      <c r="X193" s="66" t="s">
        <v>48</v>
      </c>
      <c r="Y193" s="67" t="s">
        <v>48</v>
      </c>
    </row>
    <row r="194" spans="1:25" ht="27" customHeight="1" x14ac:dyDescent="0.25">
      <c r="A194" s="61" t="s">
        <v>425</v>
      </c>
      <c r="B194" s="61" t="s">
        <v>426</v>
      </c>
      <c r="C194" s="35">
        <v>4301051277</v>
      </c>
      <c r="D194" s="78">
        <v>4680115880511</v>
      </c>
      <c r="E194" s="78"/>
      <c r="F194" s="60">
        <v>0.33</v>
      </c>
      <c r="G194" s="36">
        <v>6</v>
      </c>
      <c r="H194" s="60">
        <v>1.98</v>
      </c>
      <c r="I194" s="60">
        <v>2.1800000000000002</v>
      </c>
      <c r="J194" s="36">
        <v>156</v>
      </c>
      <c r="K194" s="37" t="s">
        <v>157</v>
      </c>
      <c r="L194" s="36">
        <v>40</v>
      </c>
      <c r="M194" s="79" t="s">
        <v>427</v>
      </c>
      <c r="N194" s="80"/>
      <c r="O194" s="80"/>
      <c r="P194" s="80"/>
      <c r="Q194" s="81"/>
      <c r="R194" s="38" t="s">
        <v>48</v>
      </c>
      <c r="S194" s="38" t="s">
        <v>48</v>
      </c>
      <c r="T194" s="39" t="s">
        <v>0</v>
      </c>
      <c r="U194" s="57">
        <v>0</v>
      </c>
      <c r="V194" s="54">
        <f t="shared" si="9"/>
        <v>0</v>
      </c>
      <c r="W194" s="40" t="str">
        <f t="shared" si="10"/>
        <v/>
      </c>
      <c r="X194" s="66" t="s">
        <v>48</v>
      </c>
      <c r="Y194" s="67" t="s">
        <v>48</v>
      </c>
    </row>
    <row r="195" spans="1:25" x14ac:dyDescent="0.2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85"/>
      <c r="M195" s="82" t="s">
        <v>43</v>
      </c>
      <c r="N195" s="83"/>
      <c r="O195" s="83"/>
      <c r="P195" s="83"/>
      <c r="Q195" s="83"/>
      <c r="R195" s="83"/>
      <c r="S195" s="84"/>
      <c r="T195" s="41" t="s">
        <v>42</v>
      </c>
      <c r="U195" s="42">
        <f>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</f>
        <v>268.7037037037037</v>
      </c>
      <c r="V195" s="42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271</v>
      </c>
      <c r="W195" s="42">
        <f>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</f>
        <v>2.6582699999999999</v>
      </c>
      <c r="X195" s="65"/>
      <c r="Y195" s="65"/>
    </row>
    <row r="196" spans="1:25" x14ac:dyDescent="0.2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85"/>
      <c r="M196" s="82" t="s">
        <v>43</v>
      </c>
      <c r="N196" s="83"/>
      <c r="O196" s="83"/>
      <c r="P196" s="83"/>
      <c r="Q196" s="83"/>
      <c r="R196" s="83"/>
      <c r="S196" s="84"/>
      <c r="T196" s="41" t="s">
        <v>0</v>
      </c>
      <c r="U196" s="42">
        <f>IFERROR(SUM(U177:U194),"0")</f>
        <v>906</v>
      </c>
      <c r="V196" s="42">
        <f>IFERROR(SUM(V177:V194),"0")</f>
        <v>917.40000000000009</v>
      </c>
      <c r="W196" s="41"/>
      <c r="X196" s="65"/>
      <c r="Y196" s="65"/>
    </row>
    <row r="197" spans="1:25" ht="14.25" customHeight="1" x14ac:dyDescent="0.25">
      <c r="A197" s="77" t="s">
        <v>259</v>
      </c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64"/>
      <c r="Y197" s="64"/>
    </row>
    <row r="198" spans="1:25" ht="16.5" customHeight="1" x14ac:dyDescent="0.25">
      <c r="A198" s="61" t="s">
        <v>428</v>
      </c>
      <c r="B198" s="61" t="s">
        <v>429</v>
      </c>
      <c r="C198" s="35">
        <v>4301060310</v>
      </c>
      <c r="D198" s="78">
        <v>4607091380880</v>
      </c>
      <c r="E198" s="78"/>
      <c r="F198" s="60">
        <v>1.4</v>
      </c>
      <c r="G198" s="36">
        <v>6</v>
      </c>
      <c r="H198" s="60">
        <v>8.4</v>
      </c>
      <c r="I198" s="60">
        <v>8.9640000000000004</v>
      </c>
      <c r="J198" s="36">
        <v>56</v>
      </c>
      <c r="K198" s="37" t="s">
        <v>77</v>
      </c>
      <c r="L198" s="36">
        <v>30</v>
      </c>
      <c r="M198" s="79" t="s">
        <v>430</v>
      </c>
      <c r="N198" s="80"/>
      <c r="O198" s="80"/>
      <c r="P198" s="80"/>
      <c r="Q198" s="81"/>
      <c r="R198" s="38" t="s">
        <v>48</v>
      </c>
      <c r="S198" s="38" t="s">
        <v>48</v>
      </c>
      <c r="T198" s="39" t="s">
        <v>0</v>
      </c>
      <c r="U198" s="57">
        <v>40</v>
      </c>
      <c r="V198" s="54">
        <f t="shared" ref="V198:V203" si="11">IFERROR(IF(U198="",0,CEILING((U198/$H198),1)*$H198),"")</f>
        <v>42</v>
      </c>
      <c r="W198" s="40">
        <f>IFERROR(IF(V198=0,"",ROUNDUP(V198/H198,0)*0.02175),"")</f>
        <v>0.10874999999999999</v>
      </c>
      <c r="X198" s="66" t="s">
        <v>48</v>
      </c>
      <c r="Y198" s="67" t="s">
        <v>48</v>
      </c>
    </row>
    <row r="199" spans="1:25" ht="27" customHeight="1" x14ac:dyDescent="0.25">
      <c r="A199" s="61" t="s">
        <v>431</v>
      </c>
      <c r="B199" s="61" t="s">
        <v>432</v>
      </c>
      <c r="C199" s="35">
        <v>4301060308</v>
      </c>
      <c r="D199" s="78">
        <v>4607091384482</v>
      </c>
      <c r="E199" s="78"/>
      <c r="F199" s="60">
        <v>1.3</v>
      </c>
      <c r="G199" s="36">
        <v>6</v>
      </c>
      <c r="H199" s="60">
        <v>7.8</v>
      </c>
      <c r="I199" s="60">
        <v>8.3640000000000008</v>
      </c>
      <c r="J199" s="36">
        <v>56</v>
      </c>
      <c r="K199" s="37" t="s">
        <v>77</v>
      </c>
      <c r="L199" s="36">
        <v>30</v>
      </c>
      <c r="M199" s="79" t="s">
        <v>433</v>
      </c>
      <c r="N199" s="80"/>
      <c r="O199" s="80"/>
      <c r="P199" s="80"/>
      <c r="Q199" s="81"/>
      <c r="R199" s="38" t="s">
        <v>48</v>
      </c>
      <c r="S199" s="38" t="s">
        <v>48</v>
      </c>
      <c r="T199" s="39" t="s">
        <v>0</v>
      </c>
      <c r="U199" s="57">
        <v>24</v>
      </c>
      <c r="V199" s="54">
        <f t="shared" si="11"/>
        <v>31.2</v>
      </c>
      <c r="W199" s="40">
        <f>IFERROR(IF(V199=0,"",ROUNDUP(V199/H199,0)*0.02175),"")</f>
        <v>8.6999999999999994E-2</v>
      </c>
      <c r="X199" s="66" t="s">
        <v>48</v>
      </c>
      <c r="Y199" s="67" t="s">
        <v>48</v>
      </c>
    </row>
    <row r="200" spans="1:25" ht="16.5" customHeight="1" x14ac:dyDescent="0.25">
      <c r="A200" s="61" t="s">
        <v>434</v>
      </c>
      <c r="B200" s="61" t="s">
        <v>435</v>
      </c>
      <c r="C200" s="35">
        <v>4301060325</v>
      </c>
      <c r="D200" s="78">
        <v>4607091380897</v>
      </c>
      <c r="E200" s="78"/>
      <c r="F200" s="60">
        <v>1.4</v>
      </c>
      <c r="G200" s="36">
        <v>6</v>
      </c>
      <c r="H200" s="60">
        <v>8.4</v>
      </c>
      <c r="I200" s="60">
        <v>8.9640000000000004</v>
      </c>
      <c r="J200" s="36">
        <v>56</v>
      </c>
      <c r="K200" s="37" t="s">
        <v>77</v>
      </c>
      <c r="L200" s="36">
        <v>30</v>
      </c>
      <c r="M200" s="79" t="s">
        <v>436</v>
      </c>
      <c r="N200" s="80"/>
      <c r="O200" s="80"/>
      <c r="P200" s="80"/>
      <c r="Q200" s="81"/>
      <c r="R200" s="38" t="s">
        <v>48</v>
      </c>
      <c r="S200" s="38" t="s">
        <v>48</v>
      </c>
      <c r="T200" s="39" t="s">
        <v>0</v>
      </c>
      <c r="U200" s="57">
        <v>0</v>
      </c>
      <c r="V200" s="54">
        <f t="shared" si="11"/>
        <v>0</v>
      </c>
      <c r="W200" s="40" t="str">
        <f>IFERROR(IF(V200=0,"",ROUNDUP(V200/H200,0)*0.02175),"")</f>
        <v/>
      </c>
      <c r="X200" s="66" t="s">
        <v>48</v>
      </c>
      <c r="Y200" s="67" t="s">
        <v>48</v>
      </c>
    </row>
    <row r="201" spans="1:25" ht="16.5" customHeight="1" x14ac:dyDescent="0.25">
      <c r="A201" s="61" t="s">
        <v>437</v>
      </c>
      <c r="B201" s="61" t="s">
        <v>438</v>
      </c>
      <c r="C201" s="35">
        <v>4301060338</v>
      </c>
      <c r="D201" s="78">
        <v>4680115880801</v>
      </c>
      <c r="E201" s="78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7" t="s">
        <v>77</v>
      </c>
      <c r="L201" s="36">
        <v>40</v>
      </c>
      <c r="M201" s="79" t="s">
        <v>439</v>
      </c>
      <c r="N201" s="80"/>
      <c r="O201" s="80"/>
      <c r="P201" s="80"/>
      <c r="Q201" s="81"/>
      <c r="R201" s="38" t="s">
        <v>48</v>
      </c>
      <c r="S201" s="38" t="s">
        <v>48</v>
      </c>
      <c r="T201" s="39" t="s">
        <v>0</v>
      </c>
      <c r="U201" s="57">
        <v>0</v>
      </c>
      <c r="V201" s="54">
        <f t="shared" si="11"/>
        <v>0</v>
      </c>
      <c r="W201" s="40" t="str">
        <f>IFERROR(IF(V201=0,"",ROUNDUP(V201/H201,0)*0.00753),"")</f>
        <v/>
      </c>
      <c r="X201" s="66" t="s">
        <v>48</v>
      </c>
      <c r="Y201" s="67" t="s">
        <v>48</v>
      </c>
    </row>
    <row r="202" spans="1:25" ht="27" customHeight="1" x14ac:dyDescent="0.25">
      <c r="A202" s="61" t="s">
        <v>440</v>
      </c>
      <c r="B202" s="61" t="s">
        <v>441</v>
      </c>
      <c r="C202" s="35">
        <v>4301060339</v>
      </c>
      <c r="D202" s="78">
        <v>4680115880818</v>
      </c>
      <c r="E202" s="78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7" t="s">
        <v>77</v>
      </c>
      <c r="L202" s="36">
        <v>40</v>
      </c>
      <c r="M202" s="79" t="s">
        <v>442</v>
      </c>
      <c r="N202" s="80"/>
      <c r="O202" s="80"/>
      <c r="P202" s="80"/>
      <c r="Q202" s="81"/>
      <c r="R202" s="38" t="s">
        <v>48</v>
      </c>
      <c r="S202" s="38" t="s">
        <v>48</v>
      </c>
      <c r="T202" s="39" t="s">
        <v>0</v>
      </c>
      <c r="U202" s="57">
        <v>10</v>
      </c>
      <c r="V202" s="54">
        <f t="shared" si="11"/>
        <v>12</v>
      </c>
      <c r="W202" s="40">
        <f>IFERROR(IF(V202=0,"",ROUNDUP(V202/H202,0)*0.00753),"")</f>
        <v>3.7650000000000003E-2</v>
      </c>
      <c r="X202" s="66" t="s">
        <v>48</v>
      </c>
      <c r="Y202" s="67" t="s">
        <v>48</v>
      </c>
    </row>
    <row r="203" spans="1:25" ht="16.5" customHeight="1" x14ac:dyDescent="0.25">
      <c r="A203" s="61" t="s">
        <v>443</v>
      </c>
      <c r="B203" s="61" t="s">
        <v>444</v>
      </c>
      <c r="C203" s="35">
        <v>4301060337</v>
      </c>
      <c r="D203" s="78">
        <v>4680115880368</v>
      </c>
      <c r="E203" s="78"/>
      <c r="F203" s="60">
        <v>1</v>
      </c>
      <c r="G203" s="36">
        <v>4</v>
      </c>
      <c r="H203" s="60">
        <v>4</v>
      </c>
      <c r="I203" s="60">
        <v>4.3600000000000003</v>
      </c>
      <c r="J203" s="36">
        <v>104</v>
      </c>
      <c r="K203" s="37" t="s">
        <v>157</v>
      </c>
      <c r="L203" s="36">
        <v>40</v>
      </c>
      <c r="M203" s="79" t="s">
        <v>445</v>
      </c>
      <c r="N203" s="80"/>
      <c r="O203" s="80"/>
      <c r="P203" s="80"/>
      <c r="Q203" s="81"/>
      <c r="R203" s="38" t="s">
        <v>48</v>
      </c>
      <c r="S203" s="38" t="s">
        <v>48</v>
      </c>
      <c r="T203" s="39" t="s">
        <v>0</v>
      </c>
      <c r="U203" s="57">
        <v>0</v>
      </c>
      <c r="V203" s="54">
        <f t="shared" si="11"/>
        <v>0</v>
      </c>
      <c r="W203" s="40" t="str">
        <f>IFERROR(IF(V203=0,"",ROUNDUP(V203/H203,0)*0.01196),"")</f>
        <v/>
      </c>
      <c r="X203" s="66" t="s">
        <v>48</v>
      </c>
      <c r="Y203" s="67" t="s">
        <v>48</v>
      </c>
    </row>
    <row r="204" spans="1:25" x14ac:dyDescent="0.2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85"/>
      <c r="M204" s="82" t="s">
        <v>43</v>
      </c>
      <c r="N204" s="83"/>
      <c r="O204" s="83"/>
      <c r="P204" s="83"/>
      <c r="Q204" s="83"/>
      <c r="R204" s="83"/>
      <c r="S204" s="84"/>
      <c r="T204" s="41" t="s">
        <v>42</v>
      </c>
      <c r="U204" s="42">
        <f>IFERROR(U198/H198,"0")+IFERROR(U199/H199,"0")+IFERROR(U200/H200,"0")+IFERROR(U201/H201,"0")+IFERROR(U202/H202,"0")+IFERROR(U203/H203,"0")</f>
        <v>12.005494505494507</v>
      </c>
      <c r="V204" s="42">
        <f>IFERROR(V198/H198,"0")+IFERROR(V199/H199,"0")+IFERROR(V200/H200,"0")+IFERROR(V201/H201,"0")+IFERROR(V202/H202,"0")+IFERROR(V203/H203,"0")</f>
        <v>14</v>
      </c>
      <c r="W204" s="42">
        <f>IFERROR(IF(W198="",0,W198),"0")+IFERROR(IF(W199="",0,W199),"0")+IFERROR(IF(W200="",0,W200),"0")+IFERROR(IF(W201="",0,W201),"0")+IFERROR(IF(W202="",0,W202),"0")+IFERROR(IF(W203="",0,W203),"0")</f>
        <v>0.2334</v>
      </c>
      <c r="X204" s="65"/>
      <c r="Y204" s="65"/>
    </row>
    <row r="205" spans="1:25" x14ac:dyDescent="0.2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85"/>
      <c r="M205" s="82" t="s">
        <v>43</v>
      </c>
      <c r="N205" s="83"/>
      <c r="O205" s="83"/>
      <c r="P205" s="83"/>
      <c r="Q205" s="83"/>
      <c r="R205" s="83"/>
      <c r="S205" s="84"/>
      <c r="T205" s="41" t="s">
        <v>0</v>
      </c>
      <c r="U205" s="42">
        <f>IFERROR(SUM(U198:U203),"0")</f>
        <v>74</v>
      </c>
      <c r="V205" s="42">
        <f>IFERROR(SUM(V198:V203),"0")</f>
        <v>85.2</v>
      </c>
      <c r="W205" s="41"/>
      <c r="X205" s="65"/>
      <c r="Y205" s="65"/>
    </row>
    <row r="206" spans="1:25" ht="14.25" customHeight="1" x14ac:dyDescent="0.25">
      <c r="A206" s="77" t="s">
        <v>97</v>
      </c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64"/>
      <c r="Y206" s="64"/>
    </row>
    <row r="207" spans="1:25" ht="16.5" customHeight="1" x14ac:dyDescent="0.25">
      <c r="A207" s="61" t="s">
        <v>446</v>
      </c>
      <c r="B207" s="61" t="s">
        <v>447</v>
      </c>
      <c r="C207" s="35">
        <v>4301030232</v>
      </c>
      <c r="D207" s="78">
        <v>4607091388374</v>
      </c>
      <c r="E207" s="78"/>
      <c r="F207" s="60">
        <v>0.38</v>
      </c>
      <c r="G207" s="36">
        <v>8</v>
      </c>
      <c r="H207" s="60">
        <v>3.04</v>
      </c>
      <c r="I207" s="60">
        <v>3.28</v>
      </c>
      <c r="J207" s="36">
        <v>156</v>
      </c>
      <c r="K207" s="37" t="s">
        <v>101</v>
      </c>
      <c r="L207" s="36">
        <v>180</v>
      </c>
      <c r="M207" s="79" t="s">
        <v>448</v>
      </c>
      <c r="N207" s="80"/>
      <c r="O207" s="80"/>
      <c r="P207" s="80"/>
      <c r="Q207" s="81"/>
      <c r="R207" s="38" t="s">
        <v>48</v>
      </c>
      <c r="S207" s="38" t="s">
        <v>48</v>
      </c>
      <c r="T207" s="39" t="s">
        <v>0</v>
      </c>
      <c r="U207" s="57">
        <v>0</v>
      </c>
      <c r="V207" s="54">
        <f>IFERROR(IF(U207="",0,CEILING((U207/$H207),1)*$H207),"")</f>
        <v>0</v>
      </c>
      <c r="W207" s="40" t="str">
        <f>IFERROR(IF(V207=0,"",ROUNDUP(V207/H207,0)*0.00753),"")</f>
        <v/>
      </c>
      <c r="X207" s="66" t="s">
        <v>48</v>
      </c>
      <c r="Y207" s="67" t="s">
        <v>48</v>
      </c>
    </row>
    <row r="208" spans="1:25" ht="27" customHeight="1" x14ac:dyDescent="0.25">
      <c r="A208" s="61" t="s">
        <v>449</v>
      </c>
      <c r="B208" s="61" t="s">
        <v>450</v>
      </c>
      <c r="C208" s="35">
        <v>4301030235</v>
      </c>
      <c r="D208" s="78">
        <v>4607091388381</v>
      </c>
      <c r="E208" s="78"/>
      <c r="F208" s="60">
        <v>0.38</v>
      </c>
      <c r="G208" s="36">
        <v>8</v>
      </c>
      <c r="H208" s="60">
        <v>3.04</v>
      </c>
      <c r="I208" s="60">
        <v>3.32</v>
      </c>
      <c r="J208" s="36">
        <v>156</v>
      </c>
      <c r="K208" s="37" t="s">
        <v>101</v>
      </c>
      <c r="L208" s="36">
        <v>180</v>
      </c>
      <c r="M208" s="79" t="s">
        <v>451</v>
      </c>
      <c r="N208" s="80"/>
      <c r="O208" s="80"/>
      <c r="P208" s="80"/>
      <c r="Q208" s="81"/>
      <c r="R208" s="38" t="s">
        <v>48</v>
      </c>
      <c r="S208" s="38" t="s">
        <v>48</v>
      </c>
      <c r="T208" s="39" t="s">
        <v>0</v>
      </c>
      <c r="U208" s="57">
        <v>0</v>
      </c>
      <c r="V208" s="54">
        <f>IFERROR(IF(U208="",0,CEILING((U208/$H208),1)*$H208),"")</f>
        <v>0</v>
      </c>
      <c r="W208" s="40" t="str">
        <f>IFERROR(IF(V208=0,"",ROUNDUP(V208/H208,0)*0.00753),"")</f>
        <v/>
      </c>
      <c r="X208" s="66" t="s">
        <v>48</v>
      </c>
      <c r="Y208" s="67" t="s">
        <v>48</v>
      </c>
    </row>
    <row r="209" spans="1:25" ht="27" customHeight="1" x14ac:dyDescent="0.25">
      <c r="A209" s="61" t="s">
        <v>452</v>
      </c>
      <c r="B209" s="61" t="s">
        <v>453</v>
      </c>
      <c r="C209" s="35">
        <v>4301030233</v>
      </c>
      <c r="D209" s="78">
        <v>4607091388404</v>
      </c>
      <c r="E209" s="78"/>
      <c r="F209" s="60">
        <v>0.17</v>
      </c>
      <c r="G209" s="36">
        <v>15</v>
      </c>
      <c r="H209" s="60">
        <v>2.5499999999999998</v>
      </c>
      <c r="I209" s="60">
        <v>2.9</v>
      </c>
      <c r="J209" s="36">
        <v>156</v>
      </c>
      <c r="K209" s="37" t="s">
        <v>101</v>
      </c>
      <c r="L209" s="36">
        <v>180</v>
      </c>
      <c r="M209" s="79" t="s">
        <v>454</v>
      </c>
      <c r="N209" s="80"/>
      <c r="O209" s="80"/>
      <c r="P209" s="80"/>
      <c r="Q209" s="81"/>
      <c r="R209" s="38" t="s">
        <v>48</v>
      </c>
      <c r="S209" s="38" t="s">
        <v>48</v>
      </c>
      <c r="T209" s="39" t="s">
        <v>0</v>
      </c>
      <c r="U209" s="57">
        <v>15.3</v>
      </c>
      <c r="V209" s="54">
        <f>IFERROR(IF(U209="",0,CEILING((U209/$H209),1)*$H209),"")</f>
        <v>15.299999999999999</v>
      </c>
      <c r="W209" s="40">
        <f>IFERROR(IF(V209=0,"",ROUNDUP(V209/H209,0)*0.00753),"")</f>
        <v>4.5179999999999998E-2</v>
      </c>
      <c r="X209" s="66" t="s">
        <v>48</v>
      </c>
      <c r="Y209" s="67" t="s">
        <v>48</v>
      </c>
    </row>
    <row r="210" spans="1:25" ht="27" customHeight="1" x14ac:dyDescent="0.25">
      <c r="A210" s="61" t="s">
        <v>455</v>
      </c>
      <c r="B210" s="61" t="s">
        <v>456</v>
      </c>
      <c r="C210" s="35">
        <v>4301032007</v>
      </c>
      <c r="D210" s="78">
        <v>4680115880641</v>
      </c>
      <c r="E210" s="78"/>
      <c r="F210" s="60">
        <v>0.17</v>
      </c>
      <c r="G210" s="36">
        <v>10</v>
      </c>
      <c r="H210" s="60">
        <v>1.7</v>
      </c>
      <c r="I210" s="60">
        <v>2.0099999999999998</v>
      </c>
      <c r="J210" s="36">
        <v>156</v>
      </c>
      <c r="K210" s="37" t="s">
        <v>458</v>
      </c>
      <c r="L210" s="36">
        <v>120</v>
      </c>
      <c r="M210" s="79" t="s">
        <v>457</v>
      </c>
      <c r="N210" s="80"/>
      <c r="O210" s="80"/>
      <c r="P210" s="80"/>
      <c r="Q210" s="81"/>
      <c r="R210" s="38" t="s">
        <v>48</v>
      </c>
      <c r="S210" s="38" t="s">
        <v>48</v>
      </c>
      <c r="T210" s="39" t="s">
        <v>0</v>
      </c>
      <c r="U210" s="57">
        <v>5</v>
      </c>
      <c r="V210" s="54">
        <f>IFERROR(IF(U210="",0,CEILING((U210/$H210),1)*$H210),"")</f>
        <v>5.0999999999999996</v>
      </c>
      <c r="W210" s="40">
        <f>IFERROR(IF(V210=0,"",ROUNDUP(V210/H210,0)*0.00753),"")</f>
        <v>2.2589999999999999E-2</v>
      </c>
      <c r="X210" s="66" t="s">
        <v>48</v>
      </c>
      <c r="Y210" s="67" t="s">
        <v>48</v>
      </c>
    </row>
    <row r="211" spans="1:25" x14ac:dyDescent="0.2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85"/>
      <c r="M211" s="82" t="s">
        <v>43</v>
      </c>
      <c r="N211" s="83"/>
      <c r="O211" s="83"/>
      <c r="P211" s="83"/>
      <c r="Q211" s="83"/>
      <c r="R211" s="83"/>
      <c r="S211" s="84"/>
      <c r="T211" s="41" t="s">
        <v>42</v>
      </c>
      <c r="U211" s="42">
        <f>IFERROR(U207/H207,"0")+IFERROR(U208/H208,"0")+IFERROR(U209/H209,"0")+IFERROR(U210/H210,"0")</f>
        <v>8.9411764705882355</v>
      </c>
      <c r="V211" s="42">
        <f>IFERROR(V207/H207,"0")+IFERROR(V208/H208,"0")+IFERROR(V209/H209,"0")+IFERROR(V210/H210,"0")</f>
        <v>9</v>
      </c>
      <c r="W211" s="42">
        <f>IFERROR(IF(W207="",0,W207),"0")+IFERROR(IF(W208="",0,W208),"0")+IFERROR(IF(W209="",0,W209),"0")+IFERROR(IF(W210="",0,W210),"0")</f>
        <v>6.7769999999999997E-2</v>
      </c>
      <c r="X211" s="65"/>
      <c r="Y211" s="65"/>
    </row>
    <row r="212" spans="1:25" x14ac:dyDescent="0.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85"/>
      <c r="M212" s="82" t="s">
        <v>43</v>
      </c>
      <c r="N212" s="83"/>
      <c r="O212" s="83"/>
      <c r="P212" s="83"/>
      <c r="Q212" s="83"/>
      <c r="R212" s="83"/>
      <c r="S212" s="84"/>
      <c r="T212" s="41" t="s">
        <v>0</v>
      </c>
      <c r="U212" s="42">
        <f>IFERROR(SUM(U207:U210),"0")</f>
        <v>20.3</v>
      </c>
      <c r="V212" s="42">
        <f>IFERROR(SUM(V207:V210),"0")</f>
        <v>20.399999999999999</v>
      </c>
      <c r="W212" s="41"/>
      <c r="X212" s="65"/>
      <c r="Y212" s="65"/>
    </row>
    <row r="213" spans="1:25" ht="14.25" customHeight="1" x14ac:dyDescent="0.25">
      <c r="A213" s="77" t="s">
        <v>459</v>
      </c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64"/>
      <c r="Y213" s="64"/>
    </row>
    <row r="214" spans="1:25" ht="16.5" customHeight="1" x14ac:dyDescent="0.25">
      <c r="A214" s="61" t="s">
        <v>460</v>
      </c>
      <c r="B214" s="61" t="s">
        <v>461</v>
      </c>
      <c r="C214" s="35">
        <v>4301180002</v>
      </c>
      <c r="D214" s="78">
        <v>4680115880122</v>
      </c>
      <c r="E214" s="78"/>
      <c r="F214" s="60">
        <v>0.1</v>
      </c>
      <c r="G214" s="36">
        <v>20</v>
      </c>
      <c r="H214" s="60">
        <v>2</v>
      </c>
      <c r="I214" s="60">
        <v>2.2400000000000002</v>
      </c>
      <c r="J214" s="36">
        <v>238</v>
      </c>
      <c r="K214" s="37" t="s">
        <v>463</v>
      </c>
      <c r="L214" s="36">
        <v>730</v>
      </c>
      <c r="M214" s="79" t="s">
        <v>462</v>
      </c>
      <c r="N214" s="80"/>
      <c r="O214" s="80"/>
      <c r="P214" s="80"/>
      <c r="Q214" s="81"/>
      <c r="R214" s="38" t="s">
        <v>48</v>
      </c>
      <c r="S214" s="38" t="s">
        <v>48</v>
      </c>
      <c r="T214" s="39" t="s">
        <v>0</v>
      </c>
      <c r="U214" s="57">
        <v>10</v>
      </c>
      <c r="V214" s="54">
        <f>IFERROR(IF(U214="",0,CEILING((U214/$H214),1)*$H214),"")</f>
        <v>10</v>
      </c>
      <c r="W214" s="40">
        <f>IFERROR(IF(V214=0,"",ROUNDUP(V214/H214,0)*0.00474),"")</f>
        <v>2.3700000000000002E-2</v>
      </c>
      <c r="X214" s="66" t="s">
        <v>48</v>
      </c>
      <c r="Y214" s="67" t="s">
        <v>48</v>
      </c>
    </row>
    <row r="215" spans="1:25" ht="27" customHeight="1" x14ac:dyDescent="0.25">
      <c r="A215" s="61" t="s">
        <v>464</v>
      </c>
      <c r="B215" s="61" t="s">
        <v>465</v>
      </c>
      <c r="C215" s="35">
        <v>4301180001</v>
      </c>
      <c r="D215" s="78">
        <v>4680115880016</v>
      </c>
      <c r="E215" s="78"/>
      <c r="F215" s="60">
        <v>0.1</v>
      </c>
      <c r="G215" s="36">
        <v>20</v>
      </c>
      <c r="H215" s="60">
        <v>2</v>
      </c>
      <c r="I215" s="60">
        <v>2.2400000000000002</v>
      </c>
      <c r="J215" s="36">
        <v>238</v>
      </c>
      <c r="K215" s="37" t="s">
        <v>463</v>
      </c>
      <c r="L215" s="36">
        <v>730</v>
      </c>
      <c r="M215" s="79" t="s">
        <v>466</v>
      </c>
      <c r="N215" s="80"/>
      <c r="O215" s="80"/>
      <c r="P215" s="80"/>
      <c r="Q215" s="81"/>
      <c r="R215" s="38" t="s">
        <v>48</v>
      </c>
      <c r="S215" s="38" t="s">
        <v>48</v>
      </c>
      <c r="T215" s="39" t="s">
        <v>0</v>
      </c>
      <c r="U215" s="57">
        <v>0</v>
      </c>
      <c r="V215" s="54">
        <f>IFERROR(IF(U215="",0,CEILING((U215/$H215),1)*$H215),"")</f>
        <v>0</v>
      </c>
      <c r="W215" s="40" t="str">
        <f>IFERROR(IF(V215=0,"",ROUNDUP(V215/H215,0)*0.00474),"")</f>
        <v/>
      </c>
      <c r="X215" s="66" t="s">
        <v>48</v>
      </c>
      <c r="Y215" s="67" t="s">
        <v>48</v>
      </c>
    </row>
    <row r="216" spans="1:25" x14ac:dyDescent="0.2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85"/>
      <c r="M216" s="82" t="s">
        <v>43</v>
      </c>
      <c r="N216" s="83"/>
      <c r="O216" s="83"/>
      <c r="P216" s="83"/>
      <c r="Q216" s="83"/>
      <c r="R216" s="83"/>
      <c r="S216" s="84"/>
      <c r="T216" s="41" t="s">
        <v>42</v>
      </c>
      <c r="U216" s="42">
        <f>IFERROR(U214/H214,"0")+IFERROR(U215/H215,"0")</f>
        <v>5</v>
      </c>
      <c r="V216" s="42">
        <f>IFERROR(V214/H214,"0")+IFERROR(V215/H215,"0")</f>
        <v>5</v>
      </c>
      <c r="W216" s="42">
        <f>IFERROR(IF(W214="",0,W214),"0")+IFERROR(IF(W215="",0,W215),"0")</f>
        <v>2.3700000000000002E-2</v>
      </c>
      <c r="X216" s="65"/>
      <c r="Y216" s="65"/>
    </row>
    <row r="217" spans="1:25" x14ac:dyDescent="0.2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85"/>
      <c r="M217" s="82" t="s">
        <v>43</v>
      </c>
      <c r="N217" s="83"/>
      <c r="O217" s="83"/>
      <c r="P217" s="83"/>
      <c r="Q217" s="83"/>
      <c r="R217" s="83"/>
      <c r="S217" s="84"/>
      <c r="T217" s="41" t="s">
        <v>0</v>
      </c>
      <c r="U217" s="42">
        <f>IFERROR(SUM(U214:U215),"0")</f>
        <v>10</v>
      </c>
      <c r="V217" s="42">
        <f>IFERROR(SUM(V214:V215),"0")</f>
        <v>10</v>
      </c>
      <c r="W217" s="41"/>
      <c r="X217" s="65"/>
      <c r="Y217" s="65"/>
    </row>
    <row r="218" spans="1:25" ht="16.5" customHeight="1" x14ac:dyDescent="0.25">
      <c r="A218" s="87" t="s">
        <v>467</v>
      </c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63"/>
      <c r="Y218" s="63"/>
    </row>
    <row r="219" spans="1:25" ht="14.25" customHeight="1" x14ac:dyDescent="0.25">
      <c r="A219" s="77" t="s">
        <v>126</v>
      </c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64"/>
      <c r="Y219" s="64"/>
    </row>
    <row r="220" spans="1:25" ht="27" customHeight="1" x14ac:dyDescent="0.25">
      <c r="A220" s="61" t="s">
        <v>468</v>
      </c>
      <c r="B220" s="61" t="s">
        <v>469</v>
      </c>
      <c r="C220" s="35">
        <v>4301011315</v>
      </c>
      <c r="D220" s="78">
        <v>4607091387421</v>
      </c>
      <c r="E220" s="78"/>
      <c r="F220" s="60">
        <v>1.35</v>
      </c>
      <c r="G220" s="36">
        <v>8</v>
      </c>
      <c r="H220" s="60">
        <v>10.8</v>
      </c>
      <c r="I220" s="60">
        <v>11.28</v>
      </c>
      <c r="J220" s="36">
        <v>56</v>
      </c>
      <c r="K220" s="37" t="s">
        <v>121</v>
      </c>
      <c r="L220" s="36">
        <v>55</v>
      </c>
      <c r="M220" s="79" t="s">
        <v>470</v>
      </c>
      <c r="N220" s="80"/>
      <c r="O220" s="80"/>
      <c r="P220" s="80"/>
      <c r="Q220" s="81"/>
      <c r="R220" s="38" t="s">
        <v>48</v>
      </c>
      <c r="S220" s="38" t="s">
        <v>48</v>
      </c>
      <c r="T220" s="39" t="s">
        <v>0</v>
      </c>
      <c r="U220" s="57">
        <v>0</v>
      </c>
      <c r="V220" s="54">
        <f t="shared" ref="V220:V226" si="12">IFERROR(IF(U220="",0,CEILING((U220/$H220),1)*$H220),"")</f>
        <v>0</v>
      </c>
      <c r="W220" s="40" t="str">
        <f>IFERROR(IF(V220=0,"",ROUNDUP(V220/H220,0)*0.02175),"")</f>
        <v/>
      </c>
      <c r="X220" s="66" t="s">
        <v>48</v>
      </c>
      <c r="Y220" s="67" t="s">
        <v>48</v>
      </c>
    </row>
    <row r="221" spans="1:25" ht="27" customHeight="1" x14ac:dyDescent="0.25">
      <c r="A221" s="61" t="s">
        <v>468</v>
      </c>
      <c r="B221" s="61" t="s">
        <v>471</v>
      </c>
      <c r="C221" s="35">
        <v>4301011121</v>
      </c>
      <c r="D221" s="78">
        <v>4607091387421</v>
      </c>
      <c r="E221" s="78"/>
      <c r="F221" s="60">
        <v>1.35</v>
      </c>
      <c r="G221" s="36">
        <v>8</v>
      </c>
      <c r="H221" s="60">
        <v>10.8</v>
      </c>
      <c r="I221" s="60">
        <v>11.28</v>
      </c>
      <c r="J221" s="36">
        <v>48</v>
      </c>
      <c r="K221" s="37" t="s">
        <v>143</v>
      </c>
      <c r="L221" s="36">
        <v>55</v>
      </c>
      <c r="M221" s="79" t="s">
        <v>470</v>
      </c>
      <c r="N221" s="80"/>
      <c r="O221" s="80"/>
      <c r="P221" s="80"/>
      <c r="Q221" s="81"/>
      <c r="R221" s="38" t="s">
        <v>48</v>
      </c>
      <c r="S221" s="38" t="s">
        <v>48</v>
      </c>
      <c r="T221" s="39" t="s">
        <v>0</v>
      </c>
      <c r="U221" s="57">
        <v>0</v>
      </c>
      <c r="V221" s="54">
        <f t="shared" si="12"/>
        <v>0</v>
      </c>
      <c r="W221" s="40" t="str">
        <f>IFERROR(IF(V221=0,"",ROUNDUP(V221/H221,0)*0.02039),"")</f>
        <v/>
      </c>
      <c r="X221" s="66" t="s">
        <v>48</v>
      </c>
      <c r="Y221" s="67" t="s">
        <v>48</v>
      </c>
    </row>
    <row r="222" spans="1:25" ht="27" customHeight="1" x14ac:dyDescent="0.25">
      <c r="A222" s="61" t="s">
        <v>472</v>
      </c>
      <c r="B222" s="61" t="s">
        <v>473</v>
      </c>
      <c r="C222" s="35">
        <v>4301011322</v>
      </c>
      <c r="D222" s="78">
        <v>4607091387452</v>
      </c>
      <c r="E222" s="78"/>
      <c r="F222" s="60">
        <v>1.35</v>
      </c>
      <c r="G222" s="36">
        <v>8</v>
      </c>
      <c r="H222" s="60">
        <v>10.8</v>
      </c>
      <c r="I222" s="60">
        <v>11.28</v>
      </c>
      <c r="J222" s="36">
        <v>56</v>
      </c>
      <c r="K222" s="37" t="s">
        <v>157</v>
      </c>
      <c r="L222" s="36">
        <v>55</v>
      </c>
      <c r="M222" s="79" t="s">
        <v>474</v>
      </c>
      <c r="N222" s="80"/>
      <c r="O222" s="80"/>
      <c r="P222" s="80"/>
      <c r="Q222" s="81"/>
      <c r="R222" s="38" t="s">
        <v>48</v>
      </c>
      <c r="S222" s="38" t="s">
        <v>48</v>
      </c>
      <c r="T222" s="39" t="s">
        <v>0</v>
      </c>
      <c r="U222" s="57">
        <v>0</v>
      </c>
      <c r="V222" s="54">
        <f t="shared" si="12"/>
        <v>0</v>
      </c>
      <c r="W222" s="40" t="str">
        <f>IFERROR(IF(V222=0,"",ROUNDUP(V222/H222,0)*0.02175),"")</f>
        <v/>
      </c>
      <c r="X222" s="66" t="s">
        <v>48</v>
      </c>
      <c r="Y222" s="67" t="s">
        <v>48</v>
      </c>
    </row>
    <row r="223" spans="1:25" ht="27" customHeight="1" x14ac:dyDescent="0.25">
      <c r="A223" s="61" t="s">
        <v>472</v>
      </c>
      <c r="B223" s="61" t="s">
        <v>475</v>
      </c>
      <c r="C223" s="35">
        <v>4301011396</v>
      </c>
      <c r="D223" s="78">
        <v>4607091387452</v>
      </c>
      <c r="E223" s="78"/>
      <c r="F223" s="60">
        <v>1.35</v>
      </c>
      <c r="G223" s="36">
        <v>8</v>
      </c>
      <c r="H223" s="60">
        <v>10.8</v>
      </c>
      <c r="I223" s="60">
        <v>11.28</v>
      </c>
      <c r="J223" s="36">
        <v>48</v>
      </c>
      <c r="K223" s="37" t="s">
        <v>143</v>
      </c>
      <c r="L223" s="36">
        <v>55</v>
      </c>
      <c r="M223" s="79" t="s">
        <v>474</v>
      </c>
      <c r="N223" s="80"/>
      <c r="O223" s="80"/>
      <c r="P223" s="80"/>
      <c r="Q223" s="81"/>
      <c r="R223" s="38" t="s">
        <v>48</v>
      </c>
      <c r="S223" s="38" t="s">
        <v>48</v>
      </c>
      <c r="T223" s="39" t="s">
        <v>0</v>
      </c>
      <c r="U223" s="57">
        <v>0</v>
      </c>
      <c r="V223" s="54">
        <f t="shared" si="12"/>
        <v>0</v>
      </c>
      <c r="W223" s="40" t="str">
        <f>IFERROR(IF(V223=0,"",ROUNDUP(V223/H223,0)*0.02039),"")</f>
        <v/>
      </c>
      <c r="X223" s="66" t="s">
        <v>48</v>
      </c>
      <c r="Y223" s="67" t="s">
        <v>48</v>
      </c>
    </row>
    <row r="224" spans="1:25" ht="27" customHeight="1" x14ac:dyDescent="0.25">
      <c r="A224" s="61" t="s">
        <v>476</v>
      </c>
      <c r="B224" s="61" t="s">
        <v>477</v>
      </c>
      <c r="C224" s="35">
        <v>4301011313</v>
      </c>
      <c r="D224" s="78">
        <v>4607091385984</v>
      </c>
      <c r="E224" s="78"/>
      <c r="F224" s="60">
        <v>1.35</v>
      </c>
      <c r="G224" s="36">
        <v>8</v>
      </c>
      <c r="H224" s="60">
        <v>10.8</v>
      </c>
      <c r="I224" s="60">
        <v>11.28</v>
      </c>
      <c r="J224" s="36">
        <v>56</v>
      </c>
      <c r="K224" s="37" t="s">
        <v>121</v>
      </c>
      <c r="L224" s="36">
        <v>55</v>
      </c>
      <c r="M224" s="79" t="s">
        <v>478</v>
      </c>
      <c r="N224" s="80"/>
      <c r="O224" s="80"/>
      <c r="P224" s="80"/>
      <c r="Q224" s="81"/>
      <c r="R224" s="38" t="s">
        <v>48</v>
      </c>
      <c r="S224" s="38" t="s">
        <v>48</v>
      </c>
      <c r="T224" s="39" t="s">
        <v>0</v>
      </c>
      <c r="U224" s="57">
        <v>0</v>
      </c>
      <c r="V224" s="54">
        <f t="shared" si="12"/>
        <v>0</v>
      </c>
      <c r="W224" s="40" t="str">
        <f>IFERROR(IF(V224=0,"",ROUNDUP(V224/H224,0)*0.02175),"")</f>
        <v/>
      </c>
      <c r="X224" s="66" t="s">
        <v>48</v>
      </c>
      <c r="Y224" s="67" t="s">
        <v>48</v>
      </c>
    </row>
    <row r="225" spans="1:25" ht="27" customHeight="1" x14ac:dyDescent="0.25">
      <c r="A225" s="61" t="s">
        <v>479</v>
      </c>
      <c r="B225" s="61" t="s">
        <v>480</v>
      </c>
      <c r="C225" s="35">
        <v>4301011316</v>
      </c>
      <c r="D225" s="78">
        <v>4607091387438</v>
      </c>
      <c r="E225" s="78"/>
      <c r="F225" s="60">
        <v>0.5</v>
      </c>
      <c r="G225" s="36">
        <v>10</v>
      </c>
      <c r="H225" s="60">
        <v>5</v>
      </c>
      <c r="I225" s="60">
        <v>5.24</v>
      </c>
      <c r="J225" s="36">
        <v>120</v>
      </c>
      <c r="K225" s="37" t="s">
        <v>121</v>
      </c>
      <c r="L225" s="36">
        <v>55</v>
      </c>
      <c r="M225" s="79" t="s">
        <v>481</v>
      </c>
      <c r="N225" s="80"/>
      <c r="O225" s="80"/>
      <c r="P225" s="80"/>
      <c r="Q225" s="81"/>
      <c r="R225" s="38" t="s">
        <v>48</v>
      </c>
      <c r="S225" s="38" t="s">
        <v>48</v>
      </c>
      <c r="T225" s="39" t="s">
        <v>0</v>
      </c>
      <c r="U225" s="57">
        <v>30</v>
      </c>
      <c r="V225" s="54">
        <f t="shared" si="12"/>
        <v>30</v>
      </c>
      <c r="W225" s="40">
        <f>IFERROR(IF(V225=0,"",ROUNDUP(V225/H225,0)*0.00937),"")</f>
        <v>5.6219999999999999E-2</v>
      </c>
      <c r="X225" s="66" t="s">
        <v>48</v>
      </c>
      <c r="Y225" s="67" t="s">
        <v>48</v>
      </c>
    </row>
    <row r="226" spans="1:25" ht="27" customHeight="1" x14ac:dyDescent="0.25">
      <c r="A226" s="61" t="s">
        <v>482</v>
      </c>
      <c r="B226" s="61" t="s">
        <v>483</v>
      </c>
      <c r="C226" s="35">
        <v>4301011318</v>
      </c>
      <c r="D226" s="78">
        <v>4607091387469</v>
      </c>
      <c r="E226" s="78"/>
      <c r="F226" s="60">
        <v>0.5</v>
      </c>
      <c r="G226" s="36">
        <v>10</v>
      </c>
      <c r="H226" s="60">
        <v>5</v>
      </c>
      <c r="I226" s="60">
        <v>5.21</v>
      </c>
      <c r="J226" s="36">
        <v>120</v>
      </c>
      <c r="K226" s="37" t="s">
        <v>77</v>
      </c>
      <c r="L226" s="36">
        <v>55</v>
      </c>
      <c r="M226" s="79" t="s">
        <v>484</v>
      </c>
      <c r="N226" s="80"/>
      <c r="O226" s="80"/>
      <c r="P226" s="80"/>
      <c r="Q226" s="81"/>
      <c r="R226" s="38" t="s">
        <v>48</v>
      </c>
      <c r="S226" s="38" t="s">
        <v>48</v>
      </c>
      <c r="T226" s="39" t="s">
        <v>0</v>
      </c>
      <c r="U226" s="57">
        <v>0</v>
      </c>
      <c r="V226" s="54">
        <f t="shared" si="12"/>
        <v>0</v>
      </c>
      <c r="W226" s="40" t="str">
        <f>IFERROR(IF(V226=0,"",ROUNDUP(V226/H226,0)*0.00937),"")</f>
        <v/>
      </c>
      <c r="X226" s="66" t="s">
        <v>48</v>
      </c>
      <c r="Y226" s="67" t="s">
        <v>48</v>
      </c>
    </row>
    <row r="227" spans="1:25" x14ac:dyDescent="0.2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85"/>
      <c r="M227" s="82" t="s">
        <v>43</v>
      </c>
      <c r="N227" s="83"/>
      <c r="O227" s="83"/>
      <c r="P227" s="83"/>
      <c r="Q227" s="83"/>
      <c r="R227" s="83"/>
      <c r="S227" s="84"/>
      <c r="T227" s="41" t="s">
        <v>42</v>
      </c>
      <c r="U227" s="42">
        <f>IFERROR(U220/H220,"0")+IFERROR(U221/H221,"0")+IFERROR(U222/H222,"0")+IFERROR(U223/H223,"0")+IFERROR(U224/H224,"0")+IFERROR(U225/H225,"0")+IFERROR(U226/H226,"0")</f>
        <v>6</v>
      </c>
      <c r="V227" s="42">
        <f>IFERROR(V220/H220,"0")+IFERROR(V221/H221,"0")+IFERROR(V222/H222,"0")+IFERROR(V223/H223,"0")+IFERROR(V224/H224,"0")+IFERROR(V225/H225,"0")+IFERROR(V226/H226,"0")</f>
        <v>6</v>
      </c>
      <c r="W227" s="42">
        <f>IFERROR(IF(W220="",0,W220),"0")+IFERROR(IF(W221="",0,W221),"0")+IFERROR(IF(W222="",0,W222),"0")+IFERROR(IF(W223="",0,W223),"0")+IFERROR(IF(W224="",0,W224),"0")+IFERROR(IF(W225="",0,W225),"0")+IFERROR(IF(W226="",0,W226),"0")</f>
        <v>5.6219999999999999E-2</v>
      </c>
      <c r="X227" s="65"/>
      <c r="Y227" s="65"/>
    </row>
    <row r="228" spans="1:25" x14ac:dyDescent="0.2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85"/>
      <c r="M228" s="82" t="s">
        <v>43</v>
      </c>
      <c r="N228" s="83"/>
      <c r="O228" s="83"/>
      <c r="P228" s="83"/>
      <c r="Q228" s="83"/>
      <c r="R228" s="83"/>
      <c r="S228" s="84"/>
      <c r="T228" s="41" t="s">
        <v>0</v>
      </c>
      <c r="U228" s="42">
        <f>IFERROR(SUM(U220:U226),"0")</f>
        <v>30</v>
      </c>
      <c r="V228" s="42">
        <f>IFERROR(SUM(V220:V226),"0")</f>
        <v>30</v>
      </c>
      <c r="W228" s="41"/>
      <c r="X228" s="65"/>
      <c r="Y228" s="65"/>
    </row>
    <row r="229" spans="1:25" ht="14.25" customHeight="1" x14ac:dyDescent="0.25">
      <c r="A229" s="77" t="s">
        <v>73</v>
      </c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64"/>
      <c r="Y229" s="64"/>
    </row>
    <row r="230" spans="1:25" ht="27" customHeight="1" x14ac:dyDescent="0.25">
      <c r="A230" s="61" t="s">
        <v>485</v>
      </c>
      <c r="B230" s="61" t="s">
        <v>486</v>
      </c>
      <c r="C230" s="35">
        <v>4301031154</v>
      </c>
      <c r="D230" s="78">
        <v>4607091387292</v>
      </c>
      <c r="E230" s="78"/>
      <c r="F230" s="60">
        <v>0.63</v>
      </c>
      <c r="G230" s="36">
        <v>6</v>
      </c>
      <c r="H230" s="60">
        <v>3.78</v>
      </c>
      <c r="I230" s="60">
        <v>4.04</v>
      </c>
      <c r="J230" s="36">
        <v>156</v>
      </c>
      <c r="K230" s="37" t="s">
        <v>77</v>
      </c>
      <c r="L230" s="36">
        <v>45</v>
      </c>
      <c r="M230" s="79" t="s">
        <v>487</v>
      </c>
      <c r="N230" s="80"/>
      <c r="O230" s="80"/>
      <c r="P230" s="80"/>
      <c r="Q230" s="81"/>
      <c r="R230" s="38" t="s">
        <v>48</v>
      </c>
      <c r="S230" s="38" t="s">
        <v>48</v>
      </c>
      <c r="T230" s="39" t="s">
        <v>0</v>
      </c>
      <c r="U230" s="57">
        <v>0</v>
      </c>
      <c r="V230" s="54">
        <f>IFERROR(IF(U230="",0,CEILING((U230/$H230),1)*$H230),"")</f>
        <v>0</v>
      </c>
      <c r="W230" s="40" t="str">
        <f>IFERROR(IF(V230=0,"",ROUNDUP(V230/H230,0)*0.00753),"")</f>
        <v/>
      </c>
      <c r="X230" s="66" t="s">
        <v>48</v>
      </c>
      <c r="Y230" s="67" t="s">
        <v>48</v>
      </c>
    </row>
    <row r="231" spans="1:25" ht="27" customHeight="1" x14ac:dyDescent="0.25">
      <c r="A231" s="61" t="s">
        <v>488</v>
      </c>
      <c r="B231" s="61" t="s">
        <v>489</v>
      </c>
      <c r="C231" s="35">
        <v>4301031155</v>
      </c>
      <c r="D231" s="78">
        <v>4607091387315</v>
      </c>
      <c r="E231" s="78"/>
      <c r="F231" s="60">
        <v>0.7</v>
      </c>
      <c r="G231" s="36">
        <v>4</v>
      </c>
      <c r="H231" s="60">
        <v>2.8</v>
      </c>
      <c r="I231" s="60">
        <v>3.048</v>
      </c>
      <c r="J231" s="36">
        <v>156</v>
      </c>
      <c r="K231" s="37" t="s">
        <v>77</v>
      </c>
      <c r="L231" s="36">
        <v>45</v>
      </c>
      <c r="M231" s="79" t="s">
        <v>490</v>
      </c>
      <c r="N231" s="80"/>
      <c r="O231" s="80"/>
      <c r="P231" s="80"/>
      <c r="Q231" s="81"/>
      <c r="R231" s="38" t="s">
        <v>48</v>
      </c>
      <c r="S231" s="38" t="s">
        <v>48</v>
      </c>
      <c r="T231" s="39" t="s">
        <v>0</v>
      </c>
      <c r="U231" s="57">
        <v>0</v>
      </c>
      <c r="V231" s="54">
        <f>IFERROR(IF(U231="",0,CEILING((U231/$H231),1)*$H231),"")</f>
        <v>0</v>
      </c>
      <c r="W231" s="40" t="str">
        <f>IFERROR(IF(V231=0,"",ROUNDUP(V231/H231,0)*0.00753),"")</f>
        <v/>
      </c>
      <c r="X231" s="66" t="s">
        <v>48</v>
      </c>
      <c r="Y231" s="67" t="s">
        <v>48</v>
      </c>
    </row>
    <row r="232" spans="1:25" x14ac:dyDescent="0.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85"/>
      <c r="M232" s="82" t="s">
        <v>43</v>
      </c>
      <c r="N232" s="83"/>
      <c r="O232" s="83"/>
      <c r="P232" s="83"/>
      <c r="Q232" s="83"/>
      <c r="R232" s="83"/>
      <c r="S232" s="84"/>
      <c r="T232" s="41" t="s">
        <v>42</v>
      </c>
      <c r="U232" s="42">
        <f>IFERROR(U230/H230,"0")+IFERROR(U231/H231,"0")</f>
        <v>0</v>
      </c>
      <c r="V232" s="42">
        <f>IFERROR(V230/H230,"0")+IFERROR(V231/H231,"0")</f>
        <v>0</v>
      </c>
      <c r="W232" s="42">
        <f>IFERROR(IF(W230="",0,W230),"0")+IFERROR(IF(W231="",0,W231),"0")</f>
        <v>0</v>
      </c>
      <c r="X232" s="65"/>
      <c r="Y232" s="65"/>
    </row>
    <row r="233" spans="1:25" x14ac:dyDescent="0.2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85"/>
      <c r="M233" s="82" t="s">
        <v>43</v>
      </c>
      <c r="N233" s="83"/>
      <c r="O233" s="83"/>
      <c r="P233" s="83"/>
      <c r="Q233" s="83"/>
      <c r="R233" s="83"/>
      <c r="S233" s="84"/>
      <c r="T233" s="41" t="s">
        <v>0</v>
      </c>
      <c r="U233" s="42">
        <f>IFERROR(SUM(U230:U231),"0")</f>
        <v>0</v>
      </c>
      <c r="V233" s="42">
        <f>IFERROR(SUM(V230:V231),"0")</f>
        <v>0</v>
      </c>
      <c r="W233" s="41"/>
      <c r="X233" s="65"/>
      <c r="Y233" s="65"/>
    </row>
    <row r="234" spans="1:25" ht="16.5" customHeight="1" x14ac:dyDescent="0.25">
      <c r="A234" s="87" t="s">
        <v>491</v>
      </c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63"/>
      <c r="Y234" s="63"/>
    </row>
    <row r="235" spans="1:25" ht="14.25" customHeight="1" x14ac:dyDescent="0.25">
      <c r="A235" s="77" t="s">
        <v>73</v>
      </c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64"/>
      <c r="Y235" s="64"/>
    </row>
    <row r="236" spans="1:25" ht="27" customHeight="1" x14ac:dyDescent="0.25">
      <c r="A236" s="61" t="s">
        <v>492</v>
      </c>
      <c r="B236" s="61" t="s">
        <v>493</v>
      </c>
      <c r="C236" s="35">
        <v>4301030368</v>
      </c>
      <c r="D236" s="78">
        <v>4607091383232</v>
      </c>
      <c r="E236" s="78"/>
      <c r="F236" s="60">
        <v>0.28000000000000003</v>
      </c>
      <c r="G236" s="36">
        <v>6</v>
      </c>
      <c r="H236" s="60">
        <v>1.68</v>
      </c>
      <c r="I236" s="60">
        <v>2.6</v>
      </c>
      <c r="J236" s="36">
        <v>156</v>
      </c>
      <c r="K236" s="37" t="s">
        <v>77</v>
      </c>
      <c r="L236" s="36">
        <v>35</v>
      </c>
      <c r="M236" s="79" t="s">
        <v>494</v>
      </c>
      <c r="N236" s="80"/>
      <c r="O236" s="80"/>
      <c r="P236" s="80"/>
      <c r="Q236" s="81"/>
      <c r="R236" s="38" t="s">
        <v>48</v>
      </c>
      <c r="S236" s="38" t="s">
        <v>48</v>
      </c>
      <c r="T236" s="39" t="s">
        <v>0</v>
      </c>
      <c r="U236" s="57">
        <v>42</v>
      </c>
      <c r="V236" s="54">
        <f>IFERROR(IF(U236="",0,CEILING((U236/$H236),1)*$H236),"")</f>
        <v>42</v>
      </c>
      <c r="W236" s="40">
        <f>IFERROR(IF(V236=0,"",ROUNDUP(V236/H236,0)*0.00753),"")</f>
        <v>0.18825</v>
      </c>
      <c r="X236" s="66" t="s">
        <v>48</v>
      </c>
      <c r="Y236" s="67" t="s">
        <v>48</v>
      </c>
    </row>
    <row r="237" spans="1:25" ht="27" customHeight="1" x14ac:dyDescent="0.25">
      <c r="A237" s="61" t="s">
        <v>495</v>
      </c>
      <c r="B237" s="61" t="s">
        <v>496</v>
      </c>
      <c r="C237" s="35">
        <v>4301031066</v>
      </c>
      <c r="D237" s="78">
        <v>4607091383836</v>
      </c>
      <c r="E237" s="78"/>
      <c r="F237" s="60">
        <v>0.3</v>
      </c>
      <c r="G237" s="36">
        <v>6</v>
      </c>
      <c r="H237" s="60">
        <v>1.8</v>
      </c>
      <c r="I237" s="60">
        <v>2.048</v>
      </c>
      <c r="J237" s="36">
        <v>156</v>
      </c>
      <c r="K237" s="37" t="s">
        <v>77</v>
      </c>
      <c r="L237" s="36">
        <v>40</v>
      </c>
      <c r="M237" s="79" t="s">
        <v>497</v>
      </c>
      <c r="N237" s="80"/>
      <c r="O237" s="80"/>
      <c r="P237" s="80"/>
      <c r="Q237" s="81"/>
      <c r="R237" s="38" t="s">
        <v>48</v>
      </c>
      <c r="S237" s="38" t="s">
        <v>48</v>
      </c>
      <c r="T237" s="39" t="s">
        <v>0</v>
      </c>
      <c r="U237" s="57">
        <v>27</v>
      </c>
      <c r="V237" s="54">
        <f>IFERROR(IF(U237="",0,CEILING((U237/$H237),1)*$H237),"")</f>
        <v>27</v>
      </c>
      <c r="W237" s="40">
        <f>IFERROR(IF(V237=0,"",ROUNDUP(V237/H237,0)*0.00753),"")</f>
        <v>0.11295000000000001</v>
      </c>
      <c r="X237" s="66" t="s">
        <v>48</v>
      </c>
      <c r="Y237" s="67" t="s">
        <v>48</v>
      </c>
    </row>
    <row r="238" spans="1:25" x14ac:dyDescent="0.2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85"/>
      <c r="M238" s="82" t="s">
        <v>43</v>
      </c>
      <c r="N238" s="83"/>
      <c r="O238" s="83"/>
      <c r="P238" s="83"/>
      <c r="Q238" s="83"/>
      <c r="R238" s="83"/>
      <c r="S238" s="84"/>
      <c r="T238" s="41" t="s">
        <v>42</v>
      </c>
      <c r="U238" s="42">
        <f>IFERROR(U236/H236,"0")+IFERROR(U237/H237,"0")</f>
        <v>40</v>
      </c>
      <c r="V238" s="42">
        <f>IFERROR(V236/H236,"0")+IFERROR(V237/H237,"0")</f>
        <v>40</v>
      </c>
      <c r="W238" s="42">
        <f>IFERROR(IF(W236="",0,W236),"0")+IFERROR(IF(W237="",0,W237),"0")</f>
        <v>0.30120000000000002</v>
      </c>
      <c r="X238" s="65"/>
      <c r="Y238" s="65"/>
    </row>
    <row r="239" spans="1:25" x14ac:dyDescent="0.2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85"/>
      <c r="M239" s="82" t="s">
        <v>43</v>
      </c>
      <c r="N239" s="83"/>
      <c r="O239" s="83"/>
      <c r="P239" s="83"/>
      <c r="Q239" s="83"/>
      <c r="R239" s="83"/>
      <c r="S239" s="84"/>
      <c r="T239" s="41" t="s">
        <v>0</v>
      </c>
      <c r="U239" s="42">
        <f>IFERROR(SUM(U236:U237),"0")</f>
        <v>69</v>
      </c>
      <c r="V239" s="42">
        <f>IFERROR(SUM(V236:V237),"0")</f>
        <v>69</v>
      </c>
      <c r="W239" s="41"/>
      <c r="X239" s="65"/>
      <c r="Y239" s="65"/>
    </row>
    <row r="240" spans="1:25" ht="14.25" customHeight="1" x14ac:dyDescent="0.25">
      <c r="A240" s="77" t="s">
        <v>78</v>
      </c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64"/>
      <c r="Y240" s="64"/>
    </row>
    <row r="241" spans="1:25" ht="27" customHeight="1" x14ac:dyDescent="0.25">
      <c r="A241" s="61" t="s">
        <v>498</v>
      </c>
      <c r="B241" s="61" t="s">
        <v>499</v>
      </c>
      <c r="C241" s="35">
        <v>4301051142</v>
      </c>
      <c r="D241" s="78">
        <v>4607091387919</v>
      </c>
      <c r="E241" s="78"/>
      <c r="F241" s="60">
        <v>1.35</v>
      </c>
      <c r="G241" s="36">
        <v>6</v>
      </c>
      <c r="H241" s="60">
        <v>8.1</v>
      </c>
      <c r="I241" s="60">
        <v>8.6639999999999997</v>
      </c>
      <c r="J241" s="36">
        <v>56</v>
      </c>
      <c r="K241" s="37" t="s">
        <v>77</v>
      </c>
      <c r="L241" s="36">
        <v>45</v>
      </c>
      <c r="M241" s="79" t="s">
        <v>500</v>
      </c>
      <c r="N241" s="80"/>
      <c r="O241" s="80"/>
      <c r="P241" s="80"/>
      <c r="Q241" s="81"/>
      <c r="R241" s="38" t="s">
        <v>48</v>
      </c>
      <c r="S241" s="38" t="s">
        <v>48</v>
      </c>
      <c r="T241" s="39" t="s">
        <v>0</v>
      </c>
      <c r="U241" s="57">
        <v>24</v>
      </c>
      <c r="V241" s="54">
        <f>IFERROR(IF(U241="",0,CEILING((U241/$H241),1)*$H241),"")</f>
        <v>24.299999999999997</v>
      </c>
      <c r="W241" s="40">
        <f>IFERROR(IF(V241=0,"",ROUNDUP(V241/H241,0)*0.02175),"")</f>
        <v>6.5250000000000002E-2</v>
      </c>
      <c r="X241" s="66" t="s">
        <v>48</v>
      </c>
      <c r="Y241" s="67" t="s">
        <v>48</v>
      </c>
    </row>
    <row r="242" spans="1:25" ht="27" customHeight="1" x14ac:dyDescent="0.25">
      <c r="A242" s="61" t="s">
        <v>501</v>
      </c>
      <c r="B242" s="61" t="s">
        <v>502</v>
      </c>
      <c r="C242" s="35">
        <v>4301051109</v>
      </c>
      <c r="D242" s="78">
        <v>4607091383942</v>
      </c>
      <c r="E242" s="78"/>
      <c r="F242" s="60">
        <v>0.42</v>
      </c>
      <c r="G242" s="36">
        <v>6</v>
      </c>
      <c r="H242" s="60">
        <v>2.52</v>
      </c>
      <c r="I242" s="60">
        <v>2.7919999999999998</v>
      </c>
      <c r="J242" s="36">
        <v>156</v>
      </c>
      <c r="K242" s="37" t="s">
        <v>157</v>
      </c>
      <c r="L242" s="36">
        <v>45</v>
      </c>
      <c r="M242" s="79" t="s">
        <v>503</v>
      </c>
      <c r="N242" s="80"/>
      <c r="O242" s="80"/>
      <c r="P242" s="80"/>
      <c r="Q242" s="81"/>
      <c r="R242" s="38" t="s">
        <v>48</v>
      </c>
      <c r="S242" s="38" t="s">
        <v>48</v>
      </c>
      <c r="T242" s="39" t="s">
        <v>0</v>
      </c>
      <c r="U242" s="57">
        <v>168</v>
      </c>
      <c r="V242" s="54">
        <f>IFERROR(IF(U242="",0,CEILING((U242/$H242),1)*$H242),"")</f>
        <v>168.84</v>
      </c>
      <c r="W242" s="40">
        <f>IFERROR(IF(V242=0,"",ROUNDUP(V242/H242,0)*0.00753),"")</f>
        <v>0.50451000000000001</v>
      </c>
      <c r="X242" s="66" t="s">
        <v>48</v>
      </c>
      <c r="Y242" s="67" t="s">
        <v>48</v>
      </c>
    </row>
    <row r="243" spans="1:25" ht="27" customHeight="1" x14ac:dyDescent="0.25">
      <c r="A243" s="61" t="s">
        <v>504</v>
      </c>
      <c r="B243" s="61" t="s">
        <v>505</v>
      </c>
      <c r="C243" s="35">
        <v>4301051300</v>
      </c>
      <c r="D243" s="78">
        <v>4607091383959</v>
      </c>
      <c r="E243" s="78"/>
      <c r="F243" s="60">
        <v>0.42</v>
      </c>
      <c r="G243" s="36">
        <v>6</v>
      </c>
      <c r="H243" s="60">
        <v>2.52</v>
      </c>
      <c r="I243" s="60">
        <v>2.78</v>
      </c>
      <c r="J243" s="36">
        <v>156</v>
      </c>
      <c r="K243" s="37" t="s">
        <v>77</v>
      </c>
      <c r="L243" s="36">
        <v>35</v>
      </c>
      <c r="M243" s="79" t="s">
        <v>506</v>
      </c>
      <c r="N243" s="80"/>
      <c r="O243" s="80"/>
      <c r="P243" s="80"/>
      <c r="Q243" s="81"/>
      <c r="R243" s="38" t="s">
        <v>48</v>
      </c>
      <c r="S243" s="38" t="s">
        <v>48</v>
      </c>
      <c r="T243" s="39" t="s">
        <v>0</v>
      </c>
      <c r="U243" s="57">
        <v>50.4</v>
      </c>
      <c r="V243" s="54">
        <f>IFERROR(IF(U243="",0,CEILING((U243/$H243),1)*$H243),"")</f>
        <v>50.4</v>
      </c>
      <c r="W243" s="40">
        <f>IFERROR(IF(V243=0,"",ROUNDUP(V243/H243,0)*0.00753),"")</f>
        <v>0.15060000000000001</v>
      </c>
      <c r="X243" s="66" t="s">
        <v>48</v>
      </c>
      <c r="Y243" s="67" t="s">
        <v>48</v>
      </c>
    </row>
    <row r="244" spans="1:25" ht="27" customHeight="1" x14ac:dyDescent="0.25">
      <c r="A244" s="61" t="s">
        <v>507</v>
      </c>
      <c r="B244" s="61" t="s">
        <v>508</v>
      </c>
      <c r="C244" s="35">
        <v>4301051394</v>
      </c>
      <c r="D244" s="78">
        <v>4607091386912</v>
      </c>
      <c r="E244" s="78"/>
      <c r="F244" s="60">
        <v>0.42</v>
      </c>
      <c r="G244" s="36">
        <v>6</v>
      </c>
      <c r="H244" s="60">
        <v>2.52</v>
      </c>
      <c r="I244" s="60">
        <v>2.78</v>
      </c>
      <c r="J244" s="36">
        <v>156</v>
      </c>
      <c r="K244" s="37" t="s">
        <v>77</v>
      </c>
      <c r="L244" s="36">
        <v>35</v>
      </c>
      <c r="M244" s="79" t="s">
        <v>509</v>
      </c>
      <c r="N244" s="80"/>
      <c r="O244" s="80"/>
      <c r="P244" s="80"/>
      <c r="Q244" s="81"/>
      <c r="R244" s="38" t="s">
        <v>48</v>
      </c>
      <c r="S244" s="38" t="s">
        <v>48</v>
      </c>
      <c r="T244" s="39" t="s">
        <v>0</v>
      </c>
      <c r="U244" s="57">
        <v>0</v>
      </c>
      <c r="V244" s="54">
        <f>IFERROR(IF(U244="",0,CEILING((U244/$H244),1)*$H244),"")</f>
        <v>0</v>
      </c>
      <c r="W244" s="40" t="str">
        <f>IFERROR(IF(V244=0,"",ROUNDUP(V244/H244,0)*0.00753),"")</f>
        <v/>
      </c>
      <c r="X244" s="66" t="s">
        <v>48</v>
      </c>
      <c r="Y244" s="67" t="s">
        <v>48</v>
      </c>
    </row>
    <row r="245" spans="1:25" ht="27" customHeight="1" x14ac:dyDescent="0.25">
      <c r="A245" s="61" t="s">
        <v>510</v>
      </c>
      <c r="B245" s="61" t="s">
        <v>511</v>
      </c>
      <c r="C245" s="35">
        <v>4301051393</v>
      </c>
      <c r="D245" s="78">
        <v>4607091386349</v>
      </c>
      <c r="E245" s="78"/>
      <c r="F245" s="60">
        <v>0.42</v>
      </c>
      <c r="G245" s="36">
        <v>6</v>
      </c>
      <c r="H245" s="60">
        <v>2.52</v>
      </c>
      <c r="I245" s="60">
        <v>2.7919999999999998</v>
      </c>
      <c r="J245" s="36">
        <v>156</v>
      </c>
      <c r="K245" s="37" t="s">
        <v>157</v>
      </c>
      <c r="L245" s="36">
        <v>45</v>
      </c>
      <c r="M245" s="79" t="s">
        <v>512</v>
      </c>
      <c r="N245" s="80"/>
      <c r="O245" s="80"/>
      <c r="P245" s="80"/>
      <c r="Q245" s="81"/>
      <c r="R245" s="38" t="s">
        <v>48</v>
      </c>
      <c r="S245" s="38" t="s">
        <v>48</v>
      </c>
      <c r="T245" s="39" t="s">
        <v>0</v>
      </c>
      <c r="U245" s="57">
        <v>0</v>
      </c>
      <c r="V245" s="54">
        <f>IFERROR(IF(U245="",0,CEILING((U245/$H245),1)*$H245),"")</f>
        <v>0</v>
      </c>
      <c r="W245" s="40" t="str">
        <f>IFERROR(IF(V245=0,"",ROUNDUP(V245/H245,0)*0.00753),"")</f>
        <v/>
      </c>
      <c r="X245" s="66" t="s">
        <v>48</v>
      </c>
      <c r="Y245" s="67" t="s">
        <v>48</v>
      </c>
    </row>
    <row r="246" spans="1:25" x14ac:dyDescent="0.2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85"/>
      <c r="M246" s="82" t="s">
        <v>43</v>
      </c>
      <c r="N246" s="83"/>
      <c r="O246" s="83"/>
      <c r="P246" s="83"/>
      <c r="Q246" s="83"/>
      <c r="R246" s="83"/>
      <c r="S246" s="84"/>
      <c r="T246" s="41" t="s">
        <v>42</v>
      </c>
      <c r="U246" s="42">
        <f>IFERROR(U241/H241,"0")+IFERROR(U242/H242,"0")+IFERROR(U243/H243,"0")+IFERROR(U244/H244,"0")+IFERROR(U245/H245,"0")</f>
        <v>89.629629629629633</v>
      </c>
      <c r="V246" s="42">
        <f>IFERROR(V241/H241,"0")+IFERROR(V242/H242,"0")+IFERROR(V243/H243,"0")+IFERROR(V244/H244,"0")+IFERROR(V245/H245,"0")</f>
        <v>90</v>
      </c>
      <c r="W246" s="42">
        <f>IFERROR(IF(W241="",0,W241),"0")+IFERROR(IF(W242="",0,W242),"0")+IFERROR(IF(W243="",0,W243),"0")+IFERROR(IF(W244="",0,W244),"0")+IFERROR(IF(W245="",0,W245),"0")</f>
        <v>0.72036000000000011</v>
      </c>
      <c r="X246" s="65"/>
      <c r="Y246" s="65"/>
    </row>
    <row r="247" spans="1:25" x14ac:dyDescent="0.2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85"/>
      <c r="M247" s="82" t="s">
        <v>43</v>
      </c>
      <c r="N247" s="83"/>
      <c r="O247" s="83"/>
      <c r="P247" s="83"/>
      <c r="Q247" s="83"/>
      <c r="R247" s="83"/>
      <c r="S247" s="84"/>
      <c r="T247" s="41" t="s">
        <v>0</v>
      </c>
      <c r="U247" s="42">
        <f>IFERROR(SUM(U241:U245),"0")</f>
        <v>242.4</v>
      </c>
      <c r="V247" s="42">
        <f>IFERROR(SUM(V241:V245),"0")</f>
        <v>243.54</v>
      </c>
      <c r="W247" s="41"/>
      <c r="X247" s="65"/>
      <c r="Y247" s="65"/>
    </row>
    <row r="248" spans="1:25" ht="14.25" customHeight="1" x14ac:dyDescent="0.25">
      <c r="A248" s="77" t="s">
        <v>259</v>
      </c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64"/>
      <c r="Y248" s="64"/>
    </row>
    <row r="249" spans="1:25" ht="27" customHeight="1" x14ac:dyDescent="0.25">
      <c r="A249" s="61" t="s">
        <v>513</v>
      </c>
      <c r="B249" s="61" t="s">
        <v>514</v>
      </c>
      <c r="C249" s="35">
        <v>4301060324</v>
      </c>
      <c r="D249" s="78">
        <v>4607091388831</v>
      </c>
      <c r="E249" s="78"/>
      <c r="F249" s="60">
        <v>0.38</v>
      </c>
      <c r="G249" s="36">
        <v>6</v>
      </c>
      <c r="H249" s="60">
        <v>2.2799999999999998</v>
      </c>
      <c r="I249" s="60">
        <v>2.552</v>
      </c>
      <c r="J249" s="36">
        <v>156</v>
      </c>
      <c r="K249" s="37" t="s">
        <v>77</v>
      </c>
      <c r="L249" s="36">
        <v>40</v>
      </c>
      <c r="M249" s="79" t="s">
        <v>515</v>
      </c>
      <c r="N249" s="80"/>
      <c r="O249" s="80"/>
      <c r="P249" s="80"/>
      <c r="Q249" s="81"/>
      <c r="R249" s="38" t="s">
        <v>48</v>
      </c>
      <c r="S249" s="38" t="s">
        <v>48</v>
      </c>
      <c r="T249" s="39" t="s">
        <v>0</v>
      </c>
      <c r="U249" s="57">
        <v>27.36</v>
      </c>
      <c r="V249" s="54">
        <f>IFERROR(IF(U249="",0,CEILING((U249/$H249),1)*$H249),"")</f>
        <v>27.36</v>
      </c>
      <c r="W249" s="40">
        <f>IFERROR(IF(V249=0,"",ROUNDUP(V249/H249,0)*0.00753),"")</f>
        <v>9.0359999999999996E-2</v>
      </c>
      <c r="X249" s="66" t="s">
        <v>48</v>
      </c>
      <c r="Y249" s="67" t="s">
        <v>48</v>
      </c>
    </row>
    <row r="250" spans="1:25" x14ac:dyDescent="0.2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85"/>
      <c r="M250" s="82" t="s">
        <v>43</v>
      </c>
      <c r="N250" s="83"/>
      <c r="O250" s="83"/>
      <c r="P250" s="83"/>
      <c r="Q250" s="83"/>
      <c r="R250" s="83"/>
      <c r="S250" s="84"/>
      <c r="T250" s="41" t="s">
        <v>42</v>
      </c>
      <c r="U250" s="42">
        <f>IFERROR(U249/H249,"0")</f>
        <v>12</v>
      </c>
      <c r="V250" s="42">
        <f>IFERROR(V249/H249,"0")</f>
        <v>12</v>
      </c>
      <c r="W250" s="42">
        <f>IFERROR(IF(W249="",0,W249),"0")</f>
        <v>9.0359999999999996E-2</v>
      </c>
      <c r="X250" s="65"/>
      <c r="Y250" s="65"/>
    </row>
    <row r="251" spans="1:25" x14ac:dyDescent="0.2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85"/>
      <c r="M251" s="82" t="s">
        <v>43</v>
      </c>
      <c r="N251" s="83"/>
      <c r="O251" s="83"/>
      <c r="P251" s="83"/>
      <c r="Q251" s="83"/>
      <c r="R251" s="83"/>
      <c r="S251" s="84"/>
      <c r="T251" s="41" t="s">
        <v>0</v>
      </c>
      <c r="U251" s="42">
        <f>IFERROR(SUM(U249:U249),"0")</f>
        <v>27.36</v>
      </c>
      <c r="V251" s="42">
        <f>IFERROR(SUM(V249:V249),"0")</f>
        <v>27.36</v>
      </c>
      <c r="W251" s="41"/>
      <c r="X251" s="65"/>
      <c r="Y251" s="65"/>
    </row>
    <row r="252" spans="1:25" ht="14.25" customHeight="1" x14ac:dyDescent="0.25">
      <c r="A252" s="77" t="s">
        <v>97</v>
      </c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64"/>
      <c r="Y252" s="64"/>
    </row>
    <row r="253" spans="1:25" ht="27" customHeight="1" x14ac:dyDescent="0.25">
      <c r="A253" s="61" t="s">
        <v>516</v>
      </c>
      <c r="B253" s="61" t="s">
        <v>517</v>
      </c>
      <c r="C253" s="35">
        <v>4301032015</v>
      </c>
      <c r="D253" s="78">
        <v>4607091383102</v>
      </c>
      <c r="E253" s="78"/>
      <c r="F253" s="60">
        <v>0.17</v>
      </c>
      <c r="G253" s="36">
        <v>15</v>
      </c>
      <c r="H253" s="60">
        <v>2.5499999999999998</v>
      </c>
      <c r="I253" s="60">
        <v>2.9750000000000001</v>
      </c>
      <c r="J253" s="36">
        <v>156</v>
      </c>
      <c r="K253" s="37" t="s">
        <v>101</v>
      </c>
      <c r="L253" s="36">
        <v>180</v>
      </c>
      <c r="M253" s="79" t="s">
        <v>518</v>
      </c>
      <c r="N253" s="80"/>
      <c r="O253" s="80"/>
      <c r="P253" s="80"/>
      <c r="Q253" s="81"/>
      <c r="R253" s="38" t="s">
        <v>48</v>
      </c>
      <c r="S253" s="38" t="s">
        <v>48</v>
      </c>
      <c r="T253" s="39" t="s">
        <v>0</v>
      </c>
      <c r="U253" s="57">
        <v>10</v>
      </c>
      <c r="V253" s="54">
        <f>IFERROR(IF(U253="",0,CEILING((U253/$H253),1)*$H253),"")</f>
        <v>10.199999999999999</v>
      </c>
      <c r="W253" s="40">
        <f>IFERROR(IF(V253=0,"",ROUNDUP(V253/H253,0)*0.00753),"")</f>
        <v>3.0120000000000001E-2</v>
      </c>
      <c r="X253" s="66" t="s">
        <v>48</v>
      </c>
      <c r="Y253" s="67" t="s">
        <v>48</v>
      </c>
    </row>
    <row r="254" spans="1:25" x14ac:dyDescent="0.2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85"/>
      <c r="M254" s="82" t="s">
        <v>43</v>
      </c>
      <c r="N254" s="83"/>
      <c r="O254" s="83"/>
      <c r="P254" s="83"/>
      <c r="Q254" s="83"/>
      <c r="R254" s="83"/>
      <c r="S254" s="84"/>
      <c r="T254" s="41" t="s">
        <v>42</v>
      </c>
      <c r="U254" s="42">
        <f>IFERROR(U253/H253,"0")</f>
        <v>3.9215686274509807</v>
      </c>
      <c r="V254" s="42">
        <f>IFERROR(V253/H253,"0")</f>
        <v>4</v>
      </c>
      <c r="W254" s="42">
        <f>IFERROR(IF(W253="",0,W253),"0")</f>
        <v>3.0120000000000001E-2</v>
      </c>
      <c r="X254" s="65"/>
      <c r="Y254" s="65"/>
    </row>
    <row r="255" spans="1:25" x14ac:dyDescent="0.2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85"/>
      <c r="M255" s="82" t="s">
        <v>43</v>
      </c>
      <c r="N255" s="83"/>
      <c r="O255" s="83"/>
      <c r="P255" s="83"/>
      <c r="Q255" s="83"/>
      <c r="R255" s="83"/>
      <c r="S255" s="84"/>
      <c r="T255" s="41" t="s">
        <v>0</v>
      </c>
      <c r="U255" s="42">
        <f>IFERROR(SUM(U253:U253),"0")</f>
        <v>10</v>
      </c>
      <c r="V255" s="42">
        <f>IFERROR(SUM(V253:V253),"0")</f>
        <v>10.199999999999999</v>
      </c>
      <c r="W255" s="41"/>
      <c r="X255" s="65"/>
      <c r="Y255" s="65"/>
    </row>
    <row r="256" spans="1:25" ht="14.25" customHeight="1" x14ac:dyDescent="0.25">
      <c r="A256" s="77" t="s">
        <v>111</v>
      </c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64"/>
      <c r="Y256" s="64"/>
    </row>
    <row r="257" spans="1:25" ht="27" customHeight="1" x14ac:dyDescent="0.25">
      <c r="A257" s="61" t="s">
        <v>519</v>
      </c>
      <c r="B257" s="61" t="s">
        <v>520</v>
      </c>
      <c r="C257" s="35">
        <v>4301032026</v>
      </c>
      <c r="D257" s="78">
        <v>4607091389142</v>
      </c>
      <c r="E257" s="78"/>
      <c r="F257" s="60">
        <v>0.15</v>
      </c>
      <c r="G257" s="36">
        <v>10</v>
      </c>
      <c r="H257" s="60">
        <v>1.5</v>
      </c>
      <c r="I257" s="60">
        <v>1.76</v>
      </c>
      <c r="J257" s="36">
        <v>200</v>
      </c>
      <c r="K257" s="37" t="s">
        <v>522</v>
      </c>
      <c r="L257" s="36">
        <v>150</v>
      </c>
      <c r="M257" s="79" t="s">
        <v>521</v>
      </c>
      <c r="N257" s="80"/>
      <c r="O257" s="80"/>
      <c r="P257" s="80"/>
      <c r="Q257" s="81"/>
      <c r="R257" s="38" t="s">
        <v>48</v>
      </c>
      <c r="S257" s="38" t="s">
        <v>48</v>
      </c>
      <c r="T257" s="39" t="s">
        <v>0</v>
      </c>
      <c r="U257" s="57">
        <v>0</v>
      </c>
      <c r="V257" s="54">
        <f>IFERROR(IF(U257="",0,CEILING((U257/$H257),1)*$H257),"")</f>
        <v>0</v>
      </c>
      <c r="W257" s="40" t="str">
        <f>IFERROR(IF(V257=0,"",ROUNDUP(V257/H257,0)*0.00673),"")</f>
        <v/>
      </c>
      <c r="X257" s="66" t="s">
        <v>48</v>
      </c>
      <c r="Y257" s="67" t="s">
        <v>48</v>
      </c>
    </row>
    <row r="258" spans="1:25" x14ac:dyDescent="0.2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85"/>
      <c r="M258" s="82" t="s">
        <v>43</v>
      </c>
      <c r="N258" s="83"/>
      <c r="O258" s="83"/>
      <c r="P258" s="83"/>
      <c r="Q258" s="83"/>
      <c r="R258" s="83"/>
      <c r="S258" s="84"/>
      <c r="T258" s="41" t="s">
        <v>42</v>
      </c>
      <c r="U258" s="42">
        <f>IFERROR(U257/H257,"0")</f>
        <v>0</v>
      </c>
      <c r="V258" s="42">
        <f>IFERROR(V257/H257,"0")</f>
        <v>0</v>
      </c>
      <c r="W258" s="42">
        <f>IFERROR(IF(W257="",0,W257),"0")</f>
        <v>0</v>
      </c>
      <c r="X258" s="65"/>
      <c r="Y258" s="65"/>
    </row>
    <row r="259" spans="1:25" x14ac:dyDescent="0.2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85"/>
      <c r="M259" s="82" t="s">
        <v>43</v>
      </c>
      <c r="N259" s="83"/>
      <c r="O259" s="83"/>
      <c r="P259" s="83"/>
      <c r="Q259" s="83"/>
      <c r="R259" s="83"/>
      <c r="S259" s="84"/>
      <c r="T259" s="41" t="s">
        <v>0</v>
      </c>
      <c r="U259" s="42">
        <f>IFERROR(SUM(U257:U257),"0")</f>
        <v>0</v>
      </c>
      <c r="V259" s="42">
        <f>IFERROR(SUM(V257:V257),"0")</f>
        <v>0</v>
      </c>
      <c r="W259" s="41"/>
      <c r="X259" s="65"/>
      <c r="Y259" s="65"/>
    </row>
    <row r="260" spans="1:25" ht="27.75" customHeight="1" x14ac:dyDescent="0.2">
      <c r="A260" s="86" t="s">
        <v>523</v>
      </c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53"/>
      <c r="Y260" s="53"/>
    </row>
    <row r="261" spans="1:25" ht="16.5" customHeight="1" x14ac:dyDescent="0.25">
      <c r="A261" s="87" t="s">
        <v>524</v>
      </c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63"/>
      <c r="Y261" s="63"/>
    </row>
    <row r="262" spans="1:25" ht="14.25" customHeight="1" x14ac:dyDescent="0.25">
      <c r="A262" s="77" t="s">
        <v>126</v>
      </c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64"/>
      <c r="Y262" s="64"/>
    </row>
    <row r="263" spans="1:25" ht="27" customHeight="1" x14ac:dyDescent="0.25">
      <c r="A263" s="61" t="s">
        <v>525</v>
      </c>
      <c r="B263" s="61" t="s">
        <v>526</v>
      </c>
      <c r="C263" s="35">
        <v>4301011239</v>
      </c>
      <c r="D263" s="78">
        <v>4607091383997</v>
      </c>
      <c r="E263" s="78"/>
      <c r="F263" s="60">
        <v>2.5</v>
      </c>
      <c r="G263" s="36">
        <v>6</v>
      </c>
      <c r="H263" s="60">
        <v>15</v>
      </c>
      <c r="I263" s="60">
        <v>15.48</v>
      </c>
      <c r="J263" s="36">
        <v>48</v>
      </c>
      <c r="K263" s="37" t="s">
        <v>143</v>
      </c>
      <c r="L263" s="36">
        <v>60</v>
      </c>
      <c r="M263" s="79" t="s">
        <v>527</v>
      </c>
      <c r="N263" s="80"/>
      <c r="O263" s="80"/>
      <c r="P263" s="80"/>
      <c r="Q263" s="81"/>
      <c r="R263" s="38" t="s">
        <v>48</v>
      </c>
      <c r="S263" s="38" t="s">
        <v>48</v>
      </c>
      <c r="T263" s="39" t="s">
        <v>0</v>
      </c>
      <c r="U263" s="57">
        <v>600</v>
      </c>
      <c r="V263" s="54">
        <f t="shared" ref="V263:V270" si="13">IFERROR(IF(U263="",0,CEILING((U263/$H263),1)*$H263),"")</f>
        <v>600</v>
      </c>
      <c r="W263" s="40">
        <f>IFERROR(IF(V263=0,"",ROUNDUP(V263/H263,0)*0.02039),"")</f>
        <v>0.81559999999999988</v>
      </c>
      <c r="X263" s="66" t="s">
        <v>48</v>
      </c>
      <c r="Y263" s="67" t="s">
        <v>48</v>
      </c>
    </row>
    <row r="264" spans="1:25" ht="27" customHeight="1" x14ac:dyDescent="0.25">
      <c r="A264" s="61" t="s">
        <v>525</v>
      </c>
      <c r="B264" s="61" t="s">
        <v>528</v>
      </c>
      <c r="C264" s="35">
        <v>4301011339</v>
      </c>
      <c r="D264" s="78">
        <v>4607091383997</v>
      </c>
      <c r="E264" s="78"/>
      <c r="F264" s="60">
        <v>2.5</v>
      </c>
      <c r="G264" s="36">
        <v>6</v>
      </c>
      <c r="H264" s="60">
        <v>15</v>
      </c>
      <c r="I264" s="60">
        <v>15.48</v>
      </c>
      <c r="J264" s="36">
        <v>48</v>
      </c>
      <c r="K264" s="37" t="s">
        <v>77</v>
      </c>
      <c r="L264" s="36">
        <v>60</v>
      </c>
      <c r="M264" s="79" t="s">
        <v>527</v>
      </c>
      <c r="N264" s="80"/>
      <c r="O264" s="80"/>
      <c r="P264" s="80"/>
      <c r="Q264" s="81"/>
      <c r="R264" s="38" t="s">
        <v>48</v>
      </c>
      <c r="S264" s="38" t="s">
        <v>48</v>
      </c>
      <c r="T264" s="39" t="s">
        <v>0</v>
      </c>
      <c r="U264" s="57">
        <v>0</v>
      </c>
      <c r="V264" s="54">
        <f t="shared" si="13"/>
        <v>0</v>
      </c>
      <c r="W264" s="40" t="str">
        <f>IFERROR(IF(V264=0,"",ROUNDUP(V264/H264,0)*0.02175),"")</f>
        <v/>
      </c>
      <c r="X264" s="66" t="s">
        <v>48</v>
      </c>
      <c r="Y264" s="67" t="s">
        <v>48</v>
      </c>
    </row>
    <row r="265" spans="1:25" ht="27" customHeight="1" x14ac:dyDescent="0.25">
      <c r="A265" s="61" t="s">
        <v>529</v>
      </c>
      <c r="B265" s="61" t="s">
        <v>530</v>
      </c>
      <c r="C265" s="35">
        <v>4301011326</v>
      </c>
      <c r="D265" s="78">
        <v>4607091384130</v>
      </c>
      <c r="E265" s="78"/>
      <c r="F265" s="60">
        <v>2.5</v>
      </c>
      <c r="G265" s="36">
        <v>6</v>
      </c>
      <c r="H265" s="60">
        <v>15</v>
      </c>
      <c r="I265" s="60">
        <v>15.48</v>
      </c>
      <c r="J265" s="36">
        <v>48</v>
      </c>
      <c r="K265" s="37" t="s">
        <v>77</v>
      </c>
      <c r="L265" s="36">
        <v>60</v>
      </c>
      <c r="M265" s="79" t="s">
        <v>531</v>
      </c>
      <c r="N265" s="80"/>
      <c r="O265" s="80"/>
      <c r="P265" s="80"/>
      <c r="Q265" s="81"/>
      <c r="R265" s="38" t="s">
        <v>48</v>
      </c>
      <c r="S265" s="38" t="s">
        <v>48</v>
      </c>
      <c r="T265" s="39" t="s">
        <v>0</v>
      </c>
      <c r="U265" s="57">
        <v>0</v>
      </c>
      <c r="V265" s="54">
        <f t="shared" si="13"/>
        <v>0</v>
      </c>
      <c r="W265" s="40" t="str">
        <f>IFERROR(IF(V265=0,"",ROUNDUP(V265/H265,0)*0.02175),"")</f>
        <v/>
      </c>
      <c r="X265" s="66" t="s">
        <v>48</v>
      </c>
      <c r="Y265" s="67" t="s">
        <v>48</v>
      </c>
    </row>
    <row r="266" spans="1:25" ht="27" customHeight="1" x14ac:dyDescent="0.25">
      <c r="A266" s="61" t="s">
        <v>529</v>
      </c>
      <c r="B266" s="61" t="s">
        <v>532</v>
      </c>
      <c r="C266" s="35">
        <v>4301011240</v>
      </c>
      <c r="D266" s="78">
        <v>4607091384130</v>
      </c>
      <c r="E266" s="78"/>
      <c r="F266" s="60">
        <v>2.5</v>
      </c>
      <c r="G266" s="36">
        <v>6</v>
      </c>
      <c r="H266" s="60">
        <v>15</v>
      </c>
      <c r="I266" s="60">
        <v>15.48</v>
      </c>
      <c r="J266" s="36">
        <v>48</v>
      </c>
      <c r="K266" s="37" t="s">
        <v>143</v>
      </c>
      <c r="L266" s="36">
        <v>60</v>
      </c>
      <c r="M266" s="79" t="s">
        <v>531</v>
      </c>
      <c r="N266" s="80"/>
      <c r="O266" s="80"/>
      <c r="P266" s="80"/>
      <c r="Q266" s="81"/>
      <c r="R266" s="38" t="s">
        <v>48</v>
      </c>
      <c r="S266" s="38" t="s">
        <v>48</v>
      </c>
      <c r="T266" s="39" t="s">
        <v>0</v>
      </c>
      <c r="U266" s="57">
        <v>0</v>
      </c>
      <c r="V266" s="54">
        <f t="shared" si="13"/>
        <v>0</v>
      </c>
      <c r="W266" s="40" t="str">
        <f>IFERROR(IF(V266=0,"",ROUNDUP(V266/H266,0)*0.02039),"")</f>
        <v/>
      </c>
      <c r="X266" s="66" t="s">
        <v>48</v>
      </c>
      <c r="Y266" s="67" t="s">
        <v>48</v>
      </c>
    </row>
    <row r="267" spans="1:25" ht="16.5" customHeight="1" x14ac:dyDescent="0.25">
      <c r="A267" s="61" t="s">
        <v>533</v>
      </c>
      <c r="B267" s="61" t="s">
        <v>534</v>
      </c>
      <c r="C267" s="35">
        <v>4301011330</v>
      </c>
      <c r="D267" s="78">
        <v>4607091384147</v>
      </c>
      <c r="E267" s="78"/>
      <c r="F267" s="60">
        <v>2.5</v>
      </c>
      <c r="G267" s="36">
        <v>6</v>
      </c>
      <c r="H267" s="60">
        <v>15</v>
      </c>
      <c r="I267" s="60">
        <v>15.48</v>
      </c>
      <c r="J267" s="36">
        <v>48</v>
      </c>
      <c r="K267" s="37" t="s">
        <v>77</v>
      </c>
      <c r="L267" s="36">
        <v>60</v>
      </c>
      <c r="M267" s="79" t="s">
        <v>535</v>
      </c>
      <c r="N267" s="80"/>
      <c r="O267" s="80"/>
      <c r="P267" s="80"/>
      <c r="Q267" s="81"/>
      <c r="R267" s="38" t="s">
        <v>48</v>
      </c>
      <c r="S267" s="38" t="s">
        <v>48</v>
      </c>
      <c r="T267" s="39" t="s">
        <v>0</v>
      </c>
      <c r="U267" s="57">
        <v>200</v>
      </c>
      <c r="V267" s="54">
        <f t="shared" si="13"/>
        <v>210</v>
      </c>
      <c r="W267" s="40">
        <f>IFERROR(IF(V267=0,"",ROUNDUP(V267/H267,0)*0.02175),"")</f>
        <v>0.30449999999999999</v>
      </c>
      <c r="X267" s="66" t="s">
        <v>48</v>
      </c>
      <c r="Y267" s="67" t="s">
        <v>48</v>
      </c>
    </row>
    <row r="268" spans="1:25" ht="16.5" customHeight="1" x14ac:dyDescent="0.25">
      <c r="A268" s="61" t="s">
        <v>533</v>
      </c>
      <c r="B268" s="61" t="s">
        <v>536</v>
      </c>
      <c r="C268" s="35">
        <v>4301011238</v>
      </c>
      <c r="D268" s="78">
        <v>4607091384147</v>
      </c>
      <c r="E268" s="78"/>
      <c r="F268" s="60">
        <v>2.5</v>
      </c>
      <c r="G268" s="36">
        <v>6</v>
      </c>
      <c r="H268" s="60">
        <v>15</v>
      </c>
      <c r="I268" s="60">
        <v>15.48</v>
      </c>
      <c r="J268" s="36">
        <v>48</v>
      </c>
      <c r="K268" s="37" t="s">
        <v>143</v>
      </c>
      <c r="L268" s="36">
        <v>60</v>
      </c>
      <c r="M268" s="79" t="s">
        <v>535</v>
      </c>
      <c r="N268" s="80"/>
      <c r="O268" s="80"/>
      <c r="P268" s="80"/>
      <c r="Q268" s="81"/>
      <c r="R268" s="38" t="s">
        <v>48</v>
      </c>
      <c r="S268" s="38" t="s">
        <v>48</v>
      </c>
      <c r="T268" s="39" t="s">
        <v>0</v>
      </c>
      <c r="U268" s="57">
        <v>0</v>
      </c>
      <c r="V268" s="54">
        <f t="shared" si="13"/>
        <v>0</v>
      </c>
      <c r="W268" s="40" t="str">
        <f>IFERROR(IF(V268=0,"",ROUNDUP(V268/H268,0)*0.02039),"")</f>
        <v/>
      </c>
      <c r="X268" s="66" t="s">
        <v>48</v>
      </c>
      <c r="Y268" s="67" t="s">
        <v>48</v>
      </c>
    </row>
    <row r="269" spans="1:25" ht="27" customHeight="1" x14ac:dyDescent="0.25">
      <c r="A269" s="61" t="s">
        <v>537</v>
      </c>
      <c r="B269" s="61" t="s">
        <v>538</v>
      </c>
      <c r="C269" s="35">
        <v>4301011327</v>
      </c>
      <c r="D269" s="78">
        <v>4607091384154</v>
      </c>
      <c r="E269" s="78"/>
      <c r="F269" s="60">
        <v>0.5</v>
      </c>
      <c r="G269" s="36">
        <v>10</v>
      </c>
      <c r="H269" s="60">
        <v>5</v>
      </c>
      <c r="I269" s="60">
        <v>5.21</v>
      </c>
      <c r="J269" s="36">
        <v>120</v>
      </c>
      <c r="K269" s="37" t="s">
        <v>77</v>
      </c>
      <c r="L269" s="36">
        <v>60</v>
      </c>
      <c r="M269" s="79" t="s">
        <v>539</v>
      </c>
      <c r="N269" s="80"/>
      <c r="O269" s="80"/>
      <c r="P269" s="80"/>
      <c r="Q269" s="81"/>
      <c r="R269" s="38" t="s">
        <v>48</v>
      </c>
      <c r="S269" s="38" t="s">
        <v>48</v>
      </c>
      <c r="T269" s="39" t="s">
        <v>0</v>
      </c>
      <c r="U269" s="57">
        <v>50</v>
      </c>
      <c r="V269" s="54">
        <f t="shared" si="13"/>
        <v>50</v>
      </c>
      <c r="W269" s="40">
        <f>IFERROR(IF(V269=0,"",ROUNDUP(V269/H269,0)*0.00937),"")</f>
        <v>9.3700000000000006E-2</v>
      </c>
      <c r="X269" s="66" t="s">
        <v>48</v>
      </c>
      <c r="Y269" s="67" t="s">
        <v>48</v>
      </c>
    </row>
    <row r="270" spans="1:25" ht="27" customHeight="1" x14ac:dyDescent="0.25">
      <c r="A270" s="61" t="s">
        <v>540</v>
      </c>
      <c r="B270" s="61" t="s">
        <v>541</v>
      </c>
      <c r="C270" s="35">
        <v>4301011332</v>
      </c>
      <c r="D270" s="78">
        <v>4607091384161</v>
      </c>
      <c r="E270" s="78"/>
      <c r="F270" s="60">
        <v>0.5</v>
      </c>
      <c r="G270" s="36">
        <v>10</v>
      </c>
      <c r="H270" s="60">
        <v>5</v>
      </c>
      <c r="I270" s="60">
        <v>5.21</v>
      </c>
      <c r="J270" s="36">
        <v>120</v>
      </c>
      <c r="K270" s="37" t="s">
        <v>77</v>
      </c>
      <c r="L270" s="36">
        <v>60</v>
      </c>
      <c r="M270" s="79" t="s">
        <v>542</v>
      </c>
      <c r="N270" s="80"/>
      <c r="O270" s="80"/>
      <c r="P270" s="80"/>
      <c r="Q270" s="81"/>
      <c r="R270" s="38" t="s">
        <v>48</v>
      </c>
      <c r="S270" s="38" t="s">
        <v>48</v>
      </c>
      <c r="T270" s="39" t="s">
        <v>0</v>
      </c>
      <c r="U270" s="57">
        <v>30</v>
      </c>
      <c r="V270" s="54">
        <f t="shared" si="13"/>
        <v>30</v>
      </c>
      <c r="W270" s="40">
        <f>IFERROR(IF(V270=0,"",ROUNDUP(V270/H270,0)*0.00937),"")</f>
        <v>5.6219999999999999E-2</v>
      </c>
      <c r="X270" s="66" t="s">
        <v>48</v>
      </c>
      <c r="Y270" s="67" t="s">
        <v>48</v>
      </c>
    </row>
    <row r="271" spans="1:25" x14ac:dyDescent="0.2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85"/>
      <c r="M271" s="82" t="s">
        <v>43</v>
      </c>
      <c r="N271" s="83"/>
      <c r="O271" s="83"/>
      <c r="P271" s="83"/>
      <c r="Q271" s="83"/>
      <c r="R271" s="83"/>
      <c r="S271" s="84"/>
      <c r="T271" s="41" t="s">
        <v>42</v>
      </c>
      <c r="U271" s="42">
        <f>IFERROR(U263/H263,"0")+IFERROR(U264/H264,"0")+IFERROR(U265/H265,"0")+IFERROR(U266/H266,"0")+IFERROR(U267/H267,"0")+IFERROR(U268/H268,"0")+IFERROR(U269/H269,"0")+IFERROR(U270/H270,"0")</f>
        <v>69.333333333333343</v>
      </c>
      <c r="V271" s="42">
        <f>IFERROR(V263/H263,"0")+IFERROR(V264/H264,"0")+IFERROR(V265/H265,"0")+IFERROR(V266/H266,"0")+IFERROR(V267/H267,"0")+IFERROR(V268/H268,"0")+IFERROR(V269/H269,"0")+IFERROR(V270/H270,"0")</f>
        <v>70</v>
      </c>
      <c r="W271" s="42">
        <f>IFERROR(IF(W263="",0,W263),"0")+IFERROR(IF(W264="",0,W264),"0")+IFERROR(IF(W265="",0,W265),"0")+IFERROR(IF(W266="",0,W266),"0")+IFERROR(IF(W267="",0,W267),"0")+IFERROR(IF(W268="",0,W268),"0")+IFERROR(IF(W269="",0,W269),"0")+IFERROR(IF(W270="",0,W270),"0")</f>
        <v>1.2700199999999999</v>
      </c>
      <c r="X271" s="65"/>
      <c r="Y271" s="65"/>
    </row>
    <row r="272" spans="1:25" x14ac:dyDescent="0.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85"/>
      <c r="M272" s="82" t="s">
        <v>43</v>
      </c>
      <c r="N272" s="83"/>
      <c r="O272" s="83"/>
      <c r="P272" s="83"/>
      <c r="Q272" s="83"/>
      <c r="R272" s="83"/>
      <c r="S272" s="84"/>
      <c r="T272" s="41" t="s">
        <v>0</v>
      </c>
      <c r="U272" s="42">
        <f>IFERROR(SUM(U263:U270),"0")</f>
        <v>880</v>
      </c>
      <c r="V272" s="42">
        <f>IFERROR(SUM(V263:V270),"0")</f>
        <v>890</v>
      </c>
      <c r="W272" s="41"/>
      <c r="X272" s="65"/>
      <c r="Y272" s="65"/>
    </row>
    <row r="273" spans="1:25" ht="14.25" customHeight="1" x14ac:dyDescent="0.25">
      <c r="A273" s="77" t="s">
        <v>117</v>
      </c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64"/>
      <c r="Y273" s="64"/>
    </row>
    <row r="274" spans="1:25" ht="27" customHeight="1" x14ac:dyDescent="0.25">
      <c r="A274" s="61" t="s">
        <v>543</v>
      </c>
      <c r="B274" s="61" t="s">
        <v>544</v>
      </c>
      <c r="C274" s="35">
        <v>4301020178</v>
      </c>
      <c r="D274" s="78">
        <v>4607091383980</v>
      </c>
      <c r="E274" s="78"/>
      <c r="F274" s="60">
        <v>2.5</v>
      </c>
      <c r="G274" s="36">
        <v>6</v>
      </c>
      <c r="H274" s="60">
        <v>15</v>
      </c>
      <c r="I274" s="60">
        <v>15.48</v>
      </c>
      <c r="J274" s="36">
        <v>48</v>
      </c>
      <c r="K274" s="37" t="s">
        <v>121</v>
      </c>
      <c r="L274" s="36">
        <v>50</v>
      </c>
      <c r="M274" s="79" t="s">
        <v>545</v>
      </c>
      <c r="N274" s="80"/>
      <c r="O274" s="80"/>
      <c r="P274" s="80"/>
      <c r="Q274" s="81"/>
      <c r="R274" s="38" t="s">
        <v>48</v>
      </c>
      <c r="S274" s="38" t="s">
        <v>48</v>
      </c>
      <c r="T274" s="39" t="s">
        <v>0</v>
      </c>
      <c r="U274" s="57">
        <v>500</v>
      </c>
      <c r="V274" s="54">
        <f>IFERROR(IF(U274="",0,CEILING((U274/$H274),1)*$H274),"")</f>
        <v>510</v>
      </c>
      <c r="W274" s="40">
        <f>IFERROR(IF(V274=0,"",ROUNDUP(V274/H274,0)*0.02175),"")</f>
        <v>0.73949999999999994</v>
      </c>
      <c r="X274" s="66" t="s">
        <v>48</v>
      </c>
      <c r="Y274" s="67" t="s">
        <v>48</v>
      </c>
    </row>
    <row r="275" spans="1:25" ht="27" customHeight="1" x14ac:dyDescent="0.25">
      <c r="A275" s="61" t="s">
        <v>546</v>
      </c>
      <c r="B275" s="61" t="s">
        <v>547</v>
      </c>
      <c r="C275" s="35">
        <v>4301020179</v>
      </c>
      <c r="D275" s="78">
        <v>4607091384178</v>
      </c>
      <c r="E275" s="78"/>
      <c r="F275" s="60">
        <v>0.4</v>
      </c>
      <c r="G275" s="36">
        <v>10</v>
      </c>
      <c r="H275" s="60">
        <v>4</v>
      </c>
      <c r="I275" s="60">
        <v>4.24</v>
      </c>
      <c r="J275" s="36">
        <v>120</v>
      </c>
      <c r="K275" s="37" t="s">
        <v>121</v>
      </c>
      <c r="L275" s="36">
        <v>50</v>
      </c>
      <c r="M275" s="79" t="s">
        <v>548</v>
      </c>
      <c r="N275" s="80"/>
      <c r="O275" s="80"/>
      <c r="P275" s="80"/>
      <c r="Q275" s="81"/>
      <c r="R275" s="38" t="s">
        <v>48</v>
      </c>
      <c r="S275" s="38" t="s">
        <v>48</v>
      </c>
      <c r="T275" s="39" t="s">
        <v>0</v>
      </c>
      <c r="U275" s="57">
        <v>50</v>
      </c>
      <c r="V275" s="54">
        <f>IFERROR(IF(U275="",0,CEILING((U275/$H275),1)*$H275),"")</f>
        <v>52</v>
      </c>
      <c r="W275" s="40">
        <f>IFERROR(IF(V275=0,"",ROUNDUP(V275/H275,0)*0.00937),"")</f>
        <v>0.12181</v>
      </c>
      <c r="X275" s="66" t="s">
        <v>48</v>
      </c>
      <c r="Y275" s="67" t="s">
        <v>48</v>
      </c>
    </row>
    <row r="276" spans="1:25" x14ac:dyDescent="0.2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85"/>
      <c r="M276" s="82" t="s">
        <v>43</v>
      </c>
      <c r="N276" s="83"/>
      <c r="O276" s="83"/>
      <c r="P276" s="83"/>
      <c r="Q276" s="83"/>
      <c r="R276" s="83"/>
      <c r="S276" s="84"/>
      <c r="T276" s="41" t="s">
        <v>42</v>
      </c>
      <c r="U276" s="42">
        <f>IFERROR(U274/H274,"0")+IFERROR(U275/H275,"0")</f>
        <v>45.833333333333336</v>
      </c>
      <c r="V276" s="42">
        <f>IFERROR(V274/H274,"0")+IFERROR(V275/H275,"0")</f>
        <v>47</v>
      </c>
      <c r="W276" s="42">
        <f>IFERROR(IF(W274="",0,W274),"0")+IFERROR(IF(W275="",0,W275),"0")</f>
        <v>0.86130999999999991</v>
      </c>
      <c r="X276" s="65"/>
      <c r="Y276" s="65"/>
    </row>
    <row r="277" spans="1:25" x14ac:dyDescent="0.2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85"/>
      <c r="M277" s="82" t="s">
        <v>43</v>
      </c>
      <c r="N277" s="83"/>
      <c r="O277" s="83"/>
      <c r="P277" s="83"/>
      <c r="Q277" s="83"/>
      <c r="R277" s="83"/>
      <c r="S277" s="84"/>
      <c r="T277" s="41" t="s">
        <v>0</v>
      </c>
      <c r="U277" s="42">
        <f>IFERROR(SUM(U274:U275),"0")</f>
        <v>550</v>
      </c>
      <c r="V277" s="42">
        <f>IFERROR(SUM(V274:V275),"0")</f>
        <v>562</v>
      </c>
      <c r="W277" s="41"/>
      <c r="X277" s="65"/>
      <c r="Y277" s="65"/>
    </row>
    <row r="278" spans="1:25" ht="14.25" customHeight="1" x14ac:dyDescent="0.25">
      <c r="A278" s="77" t="s">
        <v>73</v>
      </c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64"/>
      <c r="Y278" s="64"/>
    </row>
    <row r="279" spans="1:25" ht="27" customHeight="1" x14ac:dyDescent="0.25">
      <c r="A279" s="61" t="s">
        <v>549</v>
      </c>
      <c r="B279" s="61" t="s">
        <v>550</v>
      </c>
      <c r="C279" s="35">
        <v>4301031141</v>
      </c>
      <c r="D279" s="78">
        <v>4607091384833</v>
      </c>
      <c r="E279" s="78"/>
      <c r="F279" s="60">
        <v>0.73</v>
      </c>
      <c r="G279" s="36">
        <v>6</v>
      </c>
      <c r="H279" s="60">
        <v>4.38</v>
      </c>
      <c r="I279" s="60">
        <v>4.58</v>
      </c>
      <c r="J279" s="36">
        <v>156</v>
      </c>
      <c r="K279" s="37" t="s">
        <v>77</v>
      </c>
      <c r="L279" s="36">
        <v>35</v>
      </c>
      <c r="M279" s="79" t="s">
        <v>551</v>
      </c>
      <c r="N279" s="80"/>
      <c r="O279" s="80"/>
      <c r="P279" s="80"/>
      <c r="Q279" s="81"/>
      <c r="R279" s="38" t="s">
        <v>48</v>
      </c>
      <c r="S279" s="38" t="s">
        <v>48</v>
      </c>
      <c r="T279" s="39" t="s">
        <v>0</v>
      </c>
      <c r="U279" s="57">
        <v>0</v>
      </c>
      <c r="V279" s="54">
        <f>IFERROR(IF(U279="",0,CEILING((U279/$H279),1)*$H279),"")</f>
        <v>0</v>
      </c>
      <c r="W279" s="40" t="str">
        <f>IFERROR(IF(V279=0,"",ROUNDUP(V279/H279,0)*0.00753),"")</f>
        <v/>
      </c>
      <c r="X279" s="66" t="s">
        <v>48</v>
      </c>
      <c r="Y279" s="67" t="s">
        <v>48</v>
      </c>
    </row>
    <row r="280" spans="1:25" ht="27" customHeight="1" x14ac:dyDescent="0.25">
      <c r="A280" s="61" t="s">
        <v>552</v>
      </c>
      <c r="B280" s="61" t="s">
        <v>553</v>
      </c>
      <c r="C280" s="35">
        <v>4301031137</v>
      </c>
      <c r="D280" s="78">
        <v>4607091384857</v>
      </c>
      <c r="E280" s="78"/>
      <c r="F280" s="60">
        <v>0.73</v>
      </c>
      <c r="G280" s="36">
        <v>6</v>
      </c>
      <c r="H280" s="60">
        <v>4.38</v>
      </c>
      <c r="I280" s="60">
        <v>4.58</v>
      </c>
      <c r="J280" s="36">
        <v>156</v>
      </c>
      <c r="K280" s="37" t="s">
        <v>77</v>
      </c>
      <c r="L280" s="36">
        <v>35</v>
      </c>
      <c r="M280" s="79" t="s">
        <v>554</v>
      </c>
      <c r="N280" s="80"/>
      <c r="O280" s="80"/>
      <c r="P280" s="80"/>
      <c r="Q280" s="81"/>
      <c r="R280" s="38" t="s">
        <v>48</v>
      </c>
      <c r="S280" s="38" t="s">
        <v>48</v>
      </c>
      <c r="T280" s="39" t="s">
        <v>0</v>
      </c>
      <c r="U280" s="57">
        <v>0</v>
      </c>
      <c r="V280" s="54">
        <f>IFERROR(IF(U280="",0,CEILING((U280/$H280),1)*$H280),"")</f>
        <v>0</v>
      </c>
      <c r="W280" s="40" t="str">
        <f>IFERROR(IF(V280=0,"",ROUNDUP(V280/H280,0)*0.00753),"")</f>
        <v/>
      </c>
      <c r="X280" s="66" t="s">
        <v>48</v>
      </c>
      <c r="Y280" s="67" t="s">
        <v>48</v>
      </c>
    </row>
    <row r="281" spans="1:25" x14ac:dyDescent="0.2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85"/>
      <c r="M281" s="82" t="s">
        <v>43</v>
      </c>
      <c r="N281" s="83"/>
      <c r="O281" s="83"/>
      <c r="P281" s="83"/>
      <c r="Q281" s="83"/>
      <c r="R281" s="83"/>
      <c r="S281" s="84"/>
      <c r="T281" s="41" t="s">
        <v>42</v>
      </c>
      <c r="U281" s="42">
        <f>IFERROR(U279/H279,"0")+IFERROR(U280/H280,"0")</f>
        <v>0</v>
      </c>
      <c r="V281" s="42">
        <f>IFERROR(V279/H279,"0")+IFERROR(V280/H280,"0")</f>
        <v>0</v>
      </c>
      <c r="W281" s="42">
        <f>IFERROR(IF(W279="",0,W279),"0")+IFERROR(IF(W280="",0,W280),"0")</f>
        <v>0</v>
      </c>
      <c r="X281" s="65"/>
      <c r="Y281" s="65"/>
    </row>
    <row r="282" spans="1:25" x14ac:dyDescent="0.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85"/>
      <c r="M282" s="82" t="s">
        <v>43</v>
      </c>
      <c r="N282" s="83"/>
      <c r="O282" s="83"/>
      <c r="P282" s="83"/>
      <c r="Q282" s="83"/>
      <c r="R282" s="83"/>
      <c r="S282" s="84"/>
      <c r="T282" s="41" t="s">
        <v>0</v>
      </c>
      <c r="U282" s="42">
        <f>IFERROR(SUM(U279:U280),"0")</f>
        <v>0</v>
      </c>
      <c r="V282" s="42">
        <f>IFERROR(SUM(V279:V280),"0")</f>
        <v>0</v>
      </c>
      <c r="W282" s="41"/>
      <c r="X282" s="65"/>
      <c r="Y282" s="65"/>
    </row>
    <row r="283" spans="1:25" ht="14.25" customHeight="1" x14ac:dyDescent="0.25">
      <c r="A283" s="77" t="s">
        <v>78</v>
      </c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64"/>
      <c r="Y283" s="64"/>
    </row>
    <row r="284" spans="1:25" ht="27" customHeight="1" x14ac:dyDescent="0.25">
      <c r="A284" s="61" t="s">
        <v>555</v>
      </c>
      <c r="B284" s="61" t="s">
        <v>556</v>
      </c>
      <c r="C284" s="35">
        <v>4301051298</v>
      </c>
      <c r="D284" s="78">
        <v>4607091384260</v>
      </c>
      <c r="E284" s="78"/>
      <c r="F284" s="60">
        <v>1.3</v>
      </c>
      <c r="G284" s="36">
        <v>6</v>
      </c>
      <c r="H284" s="60">
        <v>7.8</v>
      </c>
      <c r="I284" s="60">
        <v>8.3640000000000008</v>
      </c>
      <c r="J284" s="36">
        <v>56</v>
      </c>
      <c r="K284" s="37" t="s">
        <v>77</v>
      </c>
      <c r="L284" s="36">
        <v>35</v>
      </c>
      <c r="M284" s="79" t="s">
        <v>557</v>
      </c>
      <c r="N284" s="80"/>
      <c r="O284" s="80"/>
      <c r="P284" s="80"/>
      <c r="Q284" s="81"/>
      <c r="R284" s="38" t="s">
        <v>48</v>
      </c>
      <c r="S284" s="38" t="s">
        <v>48</v>
      </c>
      <c r="T284" s="39" t="s">
        <v>0</v>
      </c>
      <c r="U284" s="57">
        <v>15</v>
      </c>
      <c r="V284" s="54">
        <f>IFERROR(IF(U284="",0,CEILING((U284/$H284),1)*$H284),"")</f>
        <v>15.6</v>
      </c>
      <c r="W284" s="40">
        <f>IFERROR(IF(V284=0,"",ROUNDUP(V284/H284,0)*0.02175),"")</f>
        <v>4.3499999999999997E-2</v>
      </c>
      <c r="X284" s="66" t="s">
        <v>48</v>
      </c>
      <c r="Y284" s="67" t="s">
        <v>48</v>
      </c>
    </row>
    <row r="285" spans="1:25" x14ac:dyDescent="0.2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85"/>
      <c r="M285" s="82" t="s">
        <v>43</v>
      </c>
      <c r="N285" s="83"/>
      <c r="O285" s="83"/>
      <c r="P285" s="83"/>
      <c r="Q285" s="83"/>
      <c r="R285" s="83"/>
      <c r="S285" s="84"/>
      <c r="T285" s="41" t="s">
        <v>42</v>
      </c>
      <c r="U285" s="42">
        <f>IFERROR(U284/H284,"0")</f>
        <v>1.9230769230769231</v>
      </c>
      <c r="V285" s="42">
        <f>IFERROR(V284/H284,"0")</f>
        <v>2</v>
      </c>
      <c r="W285" s="42">
        <f>IFERROR(IF(W284="",0,W284),"0")</f>
        <v>4.3499999999999997E-2</v>
      </c>
      <c r="X285" s="65"/>
      <c r="Y285" s="65"/>
    </row>
    <row r="286" spans="1:25" x14ac:dyDescent="0.2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85"/>
      <c r="M286" s="82" t="s">
        <v>43</v>
      </c>
      <c r="N286" s="83"/>
      <c r="O286" s="83"/>
      <c r="P286" s="83"/>
      <c r="Q286" s="83"/>
      <c r="R286" s="83"/>
      <c r="S286" s="84"/>
      <c r="T286" s="41" t="s">
        <v>0</v>
      </c>
      <c r="U286" s="42">
        <f>IFERROR(SUM(U284:U284),"0")</f>
        <v>15</v>
      </c>
      <c r="V286" s="42">
        <f>IFERROR(SUM(V284:V284),"0")</f>
        <v>15.6</v>
      </c>
      <c r="W286" s="41"/>
      <c r="X286" s="65"/>
      <c r="Y286" s="65"/>
    </row>
    <row r="287" spans="1:25" ht="14.25" customHeight="1" x14ac:dyDescent="0.25">
      <c r="A287" s="77" t="s">
        <v>259</v>
      </c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64"/>
      <c r="Y287" s="64"/>
    </row>
    <row r="288" spans="1:25" ht="16.5" customHeight="1" x14ac:dyDescent="0.25">
      <c r="A288" s="61" t="s">
        <v>558</v>
      </c>
      <c r="B288" s="61" t="s">
        <v>559</v>
      </c>
      <c r="C288" s="35">
        <v>4301060314</v>
      </c>
      <c r="D288" s="78">
        <v>4607091384673</v>
      </c>
      <c r="E288" s="78"/>
      <c r="F288" s="60">
        <v>1.3</v>
      </c>
      <c r="G288" s="36">
        <v>6</v>
      </c>
      <c r="H288" s="60">
        <v>7.8</v>
      </c>
      <c r="I288" s="60">
        <v>8.3640000000000008</v>
      </c>
      <c r="J288" s="36">
        <v>56</v>
      </c>
      <c r="K288" s="37" t="s">
        <v>77</v>
      </c>
      <c r="L288" s="36">
        <v>30</v>
      </c>
      <c r="M288" s="79" t="s">
        <v>560</v>
      </c>
      <c r="N288" s="80"/>
      <c r="O288" s="80"/>
      <c r="P288" s="80"/>
      <c r="Q288" s="81"/>
      <c r="R288" s="38" t="s">
        <v>48</v>
      </c>
      <c r="S288" s="38" t="s">
        <v>48</v>
      </c>
      <c r="T288" s="39" t="s">
        <v>0</v>
      </c>
      <c r="U288" s="57">
        <v>7</v>
      </c>
      <c r="V288" s="54">
        <f>IFERROR(IF(U288="",0,CEILING((U288/$H288),1)*$H288),"")</f>
        <v>7.8</v>
      </c>
      <c r="W288" s="40">
        <f>IFERROR(IF(V288=0,"",ROUNDUP(V288/H288,0)*0.02175),"")</f>
        <v>2.1749999999999999E-2</v>
      </c>
      <c r="X288" s="66" t="s">
        <v>48</v>
      </c>
      <c r="Y288" s="67" t="s">
        <v>48</v>
      </c>
    </row>
    <row r="289" spans="1:25" x14ac:dyDescent="0.2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85"/>
      <c r="M289" s="82" t="s">
        <v>43</v>
      </c>
      <c r="N289" s="83"/>
      <c r="O289" s="83"/>
      <c r="P289" s="83"/>
      <c r="Q289" s="83"/>
      <c r="R289" s="83"/>
      <c r="S289" s="84"/>
      <c r="T289" s="41" t="s">
        <v>42</v>
      </c>
      <c r="U289" s="42">
        <f>IFERROR(U288/H288,"0")</f>
        <v>0.89743589743589747</v>
      </c>
      <c r="V289" s="42">
        <f>IFERROR(V288/H288,"0")</f>
        <v>1</v>
      </c>
      <c r="W289" s="42">
        <f>IFERROR(IF(W288="",0,W288),"0")</f>
        <v>2.1749999999999999E-2</v>
      </c>
      <c r="X289" s="65"/>
      <c r="Y289" s="65"/>
    </row>
    <row r="290" spans="1:25" x14ac:dyDescent="0.2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85"/>
      <c r="M290" s="82" t="s">
        <v>43</v>
      </c>
      <c r="N290" s="83"/>
      <c r="O290" s="83"/>
      <c r="P290" s="83"/>
      <c r="Q290" s="83"/>
      <c r="R290" s="83"/>
      <c r="S290" s="84"/>
      <c r="T290" s="41" t="s">
        <v>0</v>
      </c>
      <c r="U290" s="42">
        <f>IFERROR(SUM(U288:U288),"0")</f>
        <v>7</v>
      </c>
      <c r="V290" s="42">
        <f>IFERROR(SUM(V288:V288),"0")</f>
        <v>7.8</v>
      </c>
      <c r="W290" s="41"/>
      <c r="X290" s="65"/>
      <c r="Y290" s="65"/>
    </row>
    <row r="291" spans="1:25" ht="16.5" customHeight="1" x14ac:dyDescent="0.25">
      <c r="A291" s="87" t="s">
        <v>561</v>
      </c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63"/>
      <c r="Y291" s="63"/>
    </row>
    <row r="292" spans="1:25" ht="14.25" customHeight="1" x14ac:dyDescent="0.25">
      <c r="A292" s="77" t="s">
        <v>126</v>
      </c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64"/>
      <c r="Y292" s="64"/>
    </row>
    <row r="293" spans="1:25" ht="27" customHeight="1" x14ac:dyDescent="0.25">
      <c r="A293" s="61" t="s">
        <v>562</v>
      </c>
      <c r="B293" s="61" t="s">
        <v>563</v>
      </c>
      <c r="C293" s="35">
        <v>4301011324</v>
      </c>
      <c r="D293" s="78">
        <v>4607091384185</v>
      </c>
      <c r="E293" s="78"/>
      <c r="F293" s="60">
        <v>0.8</v>
      </c>
      <c r="G293" s="36">
        <v>15</v>
      </c>
      <c r="H293" s="60">
        <v>12</v>
      </c>
      <c r="I293" s="60">
        <v>12.48</v>
      </c>
      <c r="J293" s="36">
        <v>56</v>
      </c>
      <c r="K293" s="37" t="s">
        <v>77</v>
      </c>
      <c r="L293" s="36">
        <v>60</v>
      </c>
      <c r="M293" s="79" t="s">
        <v>564</v>
      </c>
      <c r="N293" s="80"/>
      <c r="O293" s="80"/>
      <c r="P293" s="80"/>
      <c r="Q293" s="81"/>
      <c r="R293" s="38" t="s">
        <v>48</v>
      </c>
      <c r="S293" s="38" t="s">
        <v>48</v>
      </c>
      <c r="T293" s="39" t="s">
        <v>0</v>
      </c>
      <c r="U293" s="57">
        <v>0</v>
      </c>
      <c r="V293" s="54">
        <f>IFERROR(IF(U293="",0,CEILING((U293/$H293),1)*$H293),"")</f>
        <v>0</v>
      </c>
      <c r="W293" s="40" t="str">
        <f>IFERROR(IF(V293=0,"",ROUNDUP(V293/H293,0)*0.02175),"")</f>
        <v/>
      </c>
      <c r="X293" s="66" t="s">
        <v>48</v>
      </c>
      <c r="Y293" s="67" t="s">
        <v>48</v>
      </c>
    </row>
    <row r="294" spans="1:25" ht="27" customHeight="1" x14ac:dyDescent="0.25">
      <c r="A294" s="61" t="s">
        <v>565</v>
      </c>
      <c r="B294" s="61" t="s">
        <v>566</v>
      </c>
      <c r="C294" s="35">
        <v>4301011312</v>
      </c>
      <c r="D294" s="78">
        <v>4607091384192</v>
      </c>
      <c r="E294" s="78"/>
      <c r="F294" s="60">
        <v>1.8</v>
      </c>
      <c r="G294" s="36">
        <v>6</v>
      </c>
      <c r="H294" s="60">
        <v>10.8</v>
      </c>
      <c r="I294" s="60">
        <v>11.28</v>
      </c>
      <c r="J294" s="36">
        <v>56</v>
      </c>
      <c r="K294" s="37" t="s">
        <v>121</v>
      </c>
      <c r="L294" s="36">
        <v>60</v>
      </c>
      <c r="M294" s="79" t="s">
        <v>567</v>
      </c>
      <c r="N294" s="80"/>
      <c r="O294" s="80"/>
      <c r="P294" s="80"/>
      <c r="Q294" s="81"/>
      <c r="R294" s="38" t="s">
        <v>48</v>
      </c>
      <c r="S294" s="38" t="s">
        <v>48</v>
      </c>
      <c r="T294" s="39" t="s">
        <v>0</v>
      </c>
      <c r="U294" s="57">
        <v>0</v>
      </c>
      <c r="V294" s="54">
        <f>IFERROR(IF(U294="",0,CEILING((U294/$H294),1)*$H294),"")</f>
        <v>0</v>
      </c>
      <c r="W294" s="40" t="str">
        <f>IFERROR(IF(V294=0,"",ROUNDUP(V294/H294,0)*0.02175),"")</f>
        <v/>
      </c>
      <c r="X294" s="66" t="s">
        <v>48</v>
      </c>
      <c r="Y294" s="67" t="s">
        <v>48</v>
      </c>
    </row>
    <row r="295" spans="1:25" ht="27" customHeight="1" x14ac:dyDescent="0.25">
      <c r="A295" s="61" t="s">
        <v>568</v>
      </c>
      <c r="B295" s="61" t="s">
        <v>569</v>
      </c>
      <c r="C295" s="35">
        <v>4301011303</v>
      </c>
      <c r="D295" s="78">
        <v>4607091384680</v>
      </c>
      <c r="E295" s="78"/>
      <c r="F295" s="60">
        <v>0.4</v>
      </c>
      <c r="G295" s="36">
        <v>10</v>
      </c>
      <c r="H295" s="60">
        <v>4</v>
      </c>
      <c r="I295" s="60">
        <v>4.21</v>
      </c>
      <c r="J295" s="36">
        <v>120</v>
      </c>
      <c r="K295" s="37" t="s">
        <v>77</v>
      </c>
      <c r="L295" s="36">
        <v>60</v>
      </c>
      <c r="M295" s="79" t="s">
        <v>570</v>
      </c>
      <c r="N295" s="80"/>
      <c r="O295" s="80"/>
      <c r="P295" s="80"/>
      <c r="Q295" s="81"/>
      <c r="R295" s="38" t="s">
        <v>48</v>
      </c>
      <c r="S295" s="38" t="s">
        <v>48</v>
      </c>
      <c r="T295" s="39" t="s">
        <v>0</v>
      </c>
      <c r="U295" s="57">
        <v>40</v>
      </c>
      <c r="V295" s="54">
        <f>IFERROR(IF(U295="",0,CEILING((U295/$H295),1)*$H295),"")</f>
        <v>40</v>
      </c>
      <c r="W295" s="40">
        <f>IFERROR(IF(V295=0,"",ROUNDUP(V295/H295,0)*0.00937),"")</f>
        <v>9.3700000000000006E-2</v>
      </c>
      <c r="X295" s="66" t="s">
        <v>48</v>
      </c>
      <c r="Y295" s="67" t="s">
        <v>48</v>
      </c>
    </row>
    <row r="296" spans="1:25" x14ac:dyDescent="0.2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85"/>
      <c r="M296" s="82" t="s">
        <v>43</v>
      </c>
      <c r="N296" s="83"/>
      <c r="O296" s="83"/>
      <c r="P296" s="83"/>
      <c r="Q296" s="83"/>
      <c r="R296" s="83"/>
      <c r="S296" s="84"/>
      <c r="T296" s="41" t="s">
        <v>42</v>
      </c>
      <c r="U296" s="42">
        <f>IFERROR(U293/H293,"0")+IFERROR(U294/H294,"0")+IFERROR(U295/H295,"0")</f>
        <v>10</v>
      </c>
      <c r="V296" s="42">
        <f>IFERROR(V293/H293,"0")+IFERROR(V294/H294,"0")+IFERROR(V295/H295,"0")</f>
        <v>10</v>
      </c>
      <c r="W296" s="42">
        <f>IFERROR(IF(W293="",0,W293),"0")+IFERROR(IF(W294="",0,W294),"0")+IFERROR(IF(W295="",0,W295),"0")</f>
        <v>9.3700000000000006E-2</v>
      </c>
      <c r="X296" s="65"/>
      <c r="Y296" s="65"/>
    </row>
    <row r="297" spans="1:25" x14ac:dyDescent="0.2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85"/>
      <c r="M297" s="82" t="s">
        <v>43</v>
      </c>
      <c r="N297" s="83"/>
      <c r="O297" s="83"/>
      <c r="P297" s="83"/>
      <c r="Q297" s="83"/>
      <c r="R297" s="83"/>
      <c r="S297" s="84"/>
      <c r="T297" s="41" t="s">
        <v>0</v>
      </c>
      <c r="U297" s="42">
        <f>IFERROR(SUM(U293:U295),"0")</f>
        <v>40</v>
      </c>
      <c r="V297" s="42">
        <f>IFERROR(SUM(V293:V295),"0")</f>
        <v>40</v>
      </c>
      <c r="W297" s="41"/>
      <c r="X297" s="65"/>
      <c r="Y297" s="65"/>
    </row>
    <row r="298" spans="1:25" ht="14.25" customHeight="1" x14ac:dyDescent="0.25">
      <c r="A298" s="77" t="s">
        <v>73</v>
      </c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64"/>
      <c r="Y298" s="64"/>
    </row>
    <row r="299" spans="1:25" ht="27" customHeight="1" x14ac:dyDescent="0.25">
      <c r="A299" s="61" t="s">
        <v>571</v>
      </c>
      <c r="B299" s="61" t="s">
        <v>572</v>
      </c>
      <c r="C299" s="35">
        <v>4301031139</v>
      </c>
      <c r="D299" s="78">
        <v>4607091384802</v>
      </c>
      <c r="E299" s="78"/>
      <c r="F299" s="60">
        <v>0.73</v>
      </c>
      <c r="G299" s="36">
        <v>6</v>
      </c>
      <c r="H299" s="60">
        <v>4.38</v>
      </c>
      <c r="I299" s="60">
        <v>4.58</v>
      </c>
      <c r="J299" s="36">
        <v>156</v>
      </c>
      <c r="K299" s="37" t="s">
        <v>77</v>
      </c>
      <c r="L299" s="36">
        <v>35</v>
      </c>
      <c r="M299" s="79" t="s">
        <v>573</v>
      </c>
      <c r="N299" s="80"/>
      <c r="O299" s="80"/>
      <c r="P299" s="80"/>
      <c r="Q299" s="81"/>
      <c r="R299" s="38" t="s">
        <v>48</v>
      </c>
      <c r="S299" s="38" t="s">
        <v>48</v>
      </c>
      <c r="T299" s="39" t="s">
        <v>0</v>
      </c>
      <c r="U299" s="57">
        <v>0</v>
      </c>
      <c r="V299" s="54">
        <f>IFERROR(IF(U299="",0,CEILING((U299/$H299),1)*$H299),"")</f>
        <v>0</v>
      </c>
      <c r="W299" s="40" t="str">
        <f>IFERROR(IF(V299=0,"",ROUNDUP(V299/H299,0)*0.00753),"")</f>
        <v/>
      </c>
      <c r="X299" s="66" t="s">
        <v>48</v>
      </c>
      <c r="Y299" s="67" t="s">
        <v>48</v>
      </c>
    </row>
    <row r="300" spans="1:25" ht="27" customHeight="1" x14ac:dyDescent="0.25">
      <c r="A300" s="61" t="s">
        <v>574</v>
      </c>
      <c r="B300" s="61" t="s">
        <v>575</v>
      </c>
      <c r="C300" s="35">
        <v>4301031140</v>
      </c>
      <c r="D300" s="78">
        <v>4607091384826</v>
      </c>
      <c r="E300" s="78"/>
      <c r="F300" s="60">
        <v>0.35</v>
      </c>
      <c r="G300" s="36">
        <v>8</v>
      </c>
      <c r="H300" s="60">
        <v>2.8</v>
      </c>
      <c r="I300" s="60">
        <v>2.9</v>
      </c>
      <c r="J300" s="36">
        <v>234</v>
      </c>
      <c r="K300" s="37" t="s">
        <v>77</v>
      </c>
      <c r="L300" s="36">
        <v>35</v>
      </c>
      <c r="M300" s="79" t="s">
        <v>576</v>
      </c>
      <c r="N300" s="80"/>
      <c r="O300" s="80"/>
      <c r="P300" s="80"/>
      <c r="Q300" s="81"/>
      <c r="R300" s="38" t="s">
        <v>48</v>
      </c>
      <c r="S300" s="38" t="s">
        <v>48</v>
      </c>
      <c r="T300" s="39" t="s">
        <v>0</v>
      </c>
      <c r="U300" s="57">
        <v>16.8</v>
      </c>
      <c r="V300" s="54">
        <f>IFERROR(IF(U300="",0,CEILING((U300/$H300),1)*$H300),"")</f>
        <v>16.799999999999997</v>
      </c>
      <c r="W300" s="40">
        <f>IFERROR(IF(V300=0,"",ROUNDUP(V300/H300,0)*0.00502),"")</f>
        <v>3.0120000000000001E-2</v>
      </c>
      <c r="X300" s="66" t="s">
        <v>48</v>
      </c>
      <c r="Y300" s="67" t="s">
        <v>48</v>
      </c>
    </row>
    <row r="301" spans="1:25" x14ac:dyDescent="0.2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85"/>
      <c r="M301" s="82" t="s">
        <v>43</v>
      </c>
      <c r="N301" s="83"/>
      <c r="O301" s="83"/>
      <c r="P301" s="83"/>
      <c r="Q301" s="83"/>
      <c r="R301" s="83"/>
      <c r="S301" s="84"/>
      <c r="T301" s="41" t="s">
        <v>42</v>
      </c>
      <c r="U301" s="42">
        <f>IFERROR(U299/H299,"0")+IFERROR(U300/H300,"0")</f>
        <v>6.0000000000000009</v>
      </c>
      <c r="V301" s="42">
        <f>IFERROR(V299/H299,"0")+IFERROR(V300/H300,"0")</f>
        <v>5.9999999999999991</v>
      </c>
      <c r="W301" s="42">
        <f>IFERROR(IF(W299="",0,W299),"0")+IFERROR(IF(W300="",0,W300),"0")</f>
        <v>3.0120000000000001E-2</v>
      </c>
      <c r="X301" s="65"/>
      <c r="Y301" s="65"/>
    </row>
    <row r="302" spans="1:25" x14ac:dyDescent="0.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85"/>
      <c r="M302" s="82" t="s">
        <v>43</v>
      </c>
      <c r="N302" s="83"/>
      <c r="O302" s="83"/>
      <c r="P302" s="83"/>
      <c r="Q302" s="83"/>
      <c r="R302" s="83"/>
      <c r="S302" s="84"/>
      <c r="T302" s="41" t="s">
        <v>0</v>
      </c>
      <c r="U302" s="42">
        <f>IFERROR(SUM(U299:U300),"0")</f>
        <v>16.8</v>
      </c>
      <c r="V302" s="42">
        <f>IFERROR(SUM(V299:V300),"0")</f>
        <v>16.799999999999997</v>
      </c>
      <c r="W302" s="41"/>
      <c r="X302" s="65"/>
      <c r="Y302" s="65"/>
    </row>
    <row r="303" spans="1:25" ht="14.25" customHeight="1" x14ac:dyDescent="0.25">
      <c r="A303" s="77" t="s">
        <v>78</v>
      </c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64"/>
      <c r="Y303" s="64"/>
    </row>
    <row r="304" spans="1:25" ht="27" customHeight="1" x14ac:dyDescent="0.25">
      <c r="A304" s="61" t="s">
        <v>577</v>
      </c>
      <c r="B304" s="61" t="s">
        <v>578</v>
      </c>
      <c r="C304" s="35">
        <v>4301051303</v>
      </c>
      <c r="D304" s="78">
        <v>4607091384246</v>
      </c>
      <c r="E304" s="78"/>
      <c r="F304" s="60">
        <v>1.3</v>
      </c>
      <c r="G304" s="36">
        <v>6</v>
      </c>
      <c r="H304" s="60">
        <v>7.8</v>
      </c>
      <c r="I304" s="60">
        <v>8.3640000000000008</v>
      </c>
      <c r="J304" s="36">
        <v>56</v>
      </c>
      <c r="K304" s="37" t="s">
        <v>77</v>
      </c>
      <c r="L304" s="36">
        <v>40</v>
      </c>
      <c r="M304" s="79" t="s">
        <v>579</v>
      </c>
      <c r="N304" s="80"/>
      <c r="O304" s="80"/>
      <c r="P304" s="80"/>
      <c r="Q304" s="81"/>
      <c r="R304" s="38" t="s">
        <v>48</v>
      </c>
      <c r="S304" s="38" t="s">
        <v>48</v>
      </c>
      <c r="T304" s="39" t="s">
        <v>0</v>
      </c>
      <c r="U304" s="57">
        <v>30</v>
      </c>
      <c r="V304" s="54">
        <f>IFERROR(IF(U304="",0,CEILING((U304/$H304),1)*$H304),"")</f>
        <v>31.2</v>
      </c>
      <c r="W304" s="40">
        <f>IFERROR(IF(V304=0,"",ROUNDUP(V304/H304,0)*0.02175),"")</f>
        <v>8.6999999999999994E-2</v>
      </c>
      <c r="X304" s="66" t="s">
        <v>48</v>
      </c>
      <c r="Y304" s="67" t="s">
        <v>48</v>
      </c>
    </row>
    <row r="305" spans="1:25" ht="27" customHeight="1" x14ac:dyDescent="0.25">
      <c r="A305" s="61" t="s">
        <v>580</v>
      </c>
      <c r="B305" s="61" t="s">
        <v>581</v>
      </c>
      <c r="C305" s="35">
        <v>4301051297</v>
      </c>
      <c r="D305" s="78">
        <v>4607091384253</v>
      </c>
      <c r="E305" s="78"/>
      <c r="F305" s="60">
        <v>0.4</v>
      </c>
      <c r="G305" s="36">
        <v>6</v>
      </c>
      <c r="H305" s="60">
        <v>2.4</v>
      </c>
      <c r="I305" s="60">
        <v>2.6840000000000002</v>
      </c>
      <c r="J305" s="36">
        <v>156</v>
      </c>
      <c r="K305" s="37" t="s">
        <v>77</v>
      </c>
      <c r="L305" s="36">
        <v>40</v>
      </c>
      <c r="M305" s="79" t="s">
        <v>582</v>
      </c>
      <c r="N305" s="80"/>
      <c r="O305" s="80"/>
      <c r="P305" s="80"/>
      <c r="Q305" s="81"/>
      <c r="R305" s="38" t="s">
        <v>48</v>
      </c>
      <c r="S305" s="38" t="s">
        <v>48</v>
      </c>
      <c r="T305" s="39" t="s">
        <v>0</v>
      </c>
      <c r="U305" s="57">
        <v>30</v>
      </c>
      <c r="V305" s="54">
        <f>IFERROR(IF(U305="",0,CEILING((U305/$H305),1)*$H305),"")</f>
        <v>31.2</v>
      </c>
      <c r="W305" s="40">
        <f>IFERROR(IF(V305=0,"",ROUNDUP(V305/H305,0)*0.00753),"")</f>
        <v>9.7890000000000005E-2</v>
      </c>
      <c r="X305" s="66" t="s">
        <v>48</v>
      </c>
      <c r="Y305" s="67" t="s">
        <v>48</v>
      </c>
    </row>
    <row r="306" spans="1:25" x14ac:dyDescent="0.2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85"/>
      <c r="M306" s="82" t="s">
        <v>43</v>
      </c>
      <c r="N306" s="83"/>
      <c r="O306" s="83"/>
      <c r="P306" s="83"/>
      <c r="Q306" s="83"/>
      <c r="R306" s="83"/>
      <c r="S306" s="84"/>
      <c r="T306" s="41" t="s">
        <v>42</v>
      </c>
      <c r="U306" s="42">
        <f>IFERROR(U304/H304,"0")+IFERROR(U305/H305,"0")</f>
        <v>16.346153846153847</v>
      </c>
      <c r="V306" s="42">
        <f>IFERROR(V304/H304,"0")+IFERROR(V305/H305,"0")</f>
        <v>17</v>
      </c>
      <c r="W306" s="42">
        <f>IFERROR(IF(W304="",0,W304),"0")+IFERROR(IF(W305="",0,W305),"0")</f>
        <v>0.18489</v>
      </c>
      <c r="X306" s="65"/>
      <c r="Y306" s="65"/>
    </row>
    <row r="307" spans="1:25" x14ac:dyDescent="0.2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85"/>
      <c r="M307" s="82" t="s">
        <v>43</v>
      </c>
      <c r="N307" s="83"/>
      <c r="O307" s="83"/>
      <c r="P307" s="83"/>
      <c r="Q307" s="83"/>
      <c r="R307" s="83"/>
      <c r="S307" s="84"/>
      <c r="T307" s="41" t="s">
        <v>0</v>
      </c>
      <c r="U307" s="42">
        <f>IFERROR(SUM(U304:U305),"0")</f>
        <v>60</v>
      </c>
      <c r="V307" s="42">
        <f>IFERROR(SUM(V304:V305),"0")</f>
        <v>62.4</v>
      </c>
      <c r="W307" s="41"/>
      <c r="X307" s="65"/>
      <c r="Y307" s="65"/>
    </row>
    <row r="308" spans="1:25" ht="14.25" customHeight="1" x14ac:dyDescent="0.25">
      <c r="A308" s="77" t="s">
        <v>259</v>
      </c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64"/>
      <c r="Y308" s="64"/>
    </row>
    <row r="309" spans="1:25" ht="27" customHeight="1" x14ac:dyDescent="0.25">
      <c r="A309" s="61" t="s">
        <v>583</v>
      </c>
      <c r="B309" s="61" t="s">
        <v>584</v>
      </c>
      <c r="C309" s="35">
        <v>4301060323</v>
      </c>
      <c r="D309" s="78">
        <v>4607091389357</v>
      </c>
      <c r="E309" s="78"/>
      <c r="F309" s="60">
        <v>1.3</v>
      </c>
      <c r="G309" s="36">
        <v>6</v>
      </c>
      <c r="H309" s="60">
        <v>7.8</v>
      </c>
      <c r="I309" s="60">
        <v>8.2799999999999994</v>
      </c>
      <c r="J309" s="36">
        <v>56</v>
      </c>
      <c r="K309" s="37" t="s">
        <v>77</v>
      </c>
      <c r="L309" s="36">
        <v>30</v>
      </c>
      <c r="M309" s="79" t="s">
        <v>585</v>
      </c>
      <c r="N309" s="80"/>
      <c r="O309" s="80"/>
      <c r="P309" s="80"/>
      <c r="Q309" s="81"/>
      <c r="R309" s="38" t="s">
        <v>48</v>
      </c>
      <c r="S309" s="38" t="s">
        <v>48</v>
      </c>
      <c r="T309" s="39" t="s">
        <v>0</v>
      </c>
      <c r="U309" s="57">
        <v>0</v>
      </c>
      <c r="V309" s="54">
        <f>IFERROR(IF(U309="",0,CEILING((U309/$H309),1)*$H309),"")</f>
        <v>0</v>
      </c>
      <c r="W309" s="40" t="str">
        <f>IFERROR(IF(V309=0,"",ROUNDUP(V309/H309,0)*0.02175),"")</f>
        <v/>
      </c>
      <c r="X309" s="66" t="s">
        <v>48</v>
      </c>
      <c r="Y309" s="67" t="s">
        <v>48</v>
      </c>
    </row>
    <row r="310" spans="1:25" x14ac:dyDescent="0.2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85"/>
      <c r="M310" s="82" t="s">
        <v>43</v>
      </c>
      <c r="N310" s="83"/>
      <c r="O310" s="83"/>
      <c r="P310" s="83"/>
      <c r="Q310" s="83"/>
      <c r="R310" s="83"/>
      <c r="S310" s="84"/>
      <c r="T310" s="41" t="s">
        <v>42</v>
      </c>
      <c r="U310" s="42">
        <f>IFERROR(U309/H309,"0")</f>
        <v>0</v>
      </c>
      <c r="V310" s="42">
        <f>IFERROR(V309/H309,"0")</f>
        <v>0</v>
      </c>
      <c r="W310" s="42">
        <f>IFERROR(IF(W309="",0,W309),"0")</f>
        <v>0</v>
      </c>
      <c r="X310" s="65"/>
      <c r="Y310" s="65"/>
    </row>
    <row r="311" spans="1:25" x14ac:dyDescent="0.2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85"/>
      <c r="M311" s="82" t="s">
        <v>43</v>
      </c>
      <c r="N311" s="83"/>
      <c r="O311" s="83"/>
      <c r="P311" s="83"/>
      <c r="Q311" s="83"/>
      <c r="R311" s="83"/>
      <c r="S311" s="84"/>
      <c r="T311" s="41" t="s">
        <v>0</v>
      </c>
      <c r="U311" s="42">
        <f>IFERROR(SUM(U309:U309),"0")</f>
        <v>0</v>
      </c>
      <c r="V311" s="42">
        <f>IFERROR(SUM(V309:V309),"0")</f>
        <v>0</v>
      </c>
      <c r="W311" s="41"/>
      <c r="X311" s="65"/>
      <c r="Y311" s="65"/>
    </row>
    <row r="312" spans="1:25" ht="27.75" customHeight="1" x14ac:dyDescent="0.2">
      <c r="A312" s="86" t="s">
        <v>586</v>
      </c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53"/>
      <c r="Y312" s="53"/>
    </row>
    <row r="313" spans="1:25" ht="16.5" customHeight="1" x14ac:dyDescent="0.25">
      <c r="A313" s="87" t="s">
        <v>587</v>
      </c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63"/>
      <c r="Y313" s="63"/>
    </row>
    <row r="314" spans="1:25" ht="14.25" customHeight="1" x14ac:dyDescent="0.25">
      <c r="A314" s="77" t="s">
        <v>126</v>
      </c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64"/>
      <c r="Y314" s="64"/>
    </row>
    <row r="315" spans="1:25" ht="27" customHeight="1" x14ac:dyDescent="0.25">
      <c r="A315" s="61" t="s">
        <v>588</v>
      </c>
      <c r="B315" s="61" t="s">
        <v>589</v>
      </c>
      <c r="C315" s="35">
        <v>4301011428</v>
      </c>
      <c r="D315" s="78">
        <v>4607091389708</v>
      </c>
      <c r="E315" s="78"/>
      <c r="F315" s="60">
        <v>0.45</v>
      </c>
      <c r="G315" s="36">
        <v>6</v>
      </c>
      <c r="H315" s="60">
        <v>2.7</v>
      </c>
      <c r="I315" s="60">
        <v>2.9</v>
      </c>
      <c r="J315" s="36">
        <v>156</v>
      </c>
      <c r="K315" s="37" t="s">
        <v>121</v>
      </c>
      <c r="L315" s="36">
        <v>50</v>
      </c>
      <c r="M315" s="79" t="s">
        <v>590</v>
      </c>
      <c r="N315" s="80"/>
      <c r="O315" s="80"/>
      <c r="P315" s="80"/>
      <c r="Q315" s="81"/>
      <c r="R315" s="38" t="s">
        <v>48</v>
      </c>
      <c r="S315" s="38" t="s">
        <v>48</v>
      </c>
      <c r="T315" s="39" t="s">
        <v>0</v>
      </c>
      <c r="U315" s="57">
        <v>0</v>
      </c>
      <c r="V315" s="54">
        <f>IFERROR(IF(U315="",0,CEILING((U315/$H315),1)*$H315),"")</f>
        <v>0</v>
      </c>
      <c r="W315" s="40" t="str">
        <f>IFERROR(IF(V315=0,"",ROUNDUP(V315/H315,0)*0.00753),"")</f>
        <v/>
      </c>
      <c r="X315" s="66" t="s">
        <v>48</v>
      </c>
      <c r="Y315" s="67" t="s">
        <v>48</v>
      </c>
    </row>
    <row r="316" spans="1:25" ht="27" customHeight="1" x14ac:dyDescent="0.25">
      <c r="A316" s="61" t="s">
        <v>591</v>
      </c>
      <c r="B316" s="61" t="s">
        <v>592</v>
      </c>
      <c r="C316" s="35">
        <v>4301011427</v>
      </c>
      <c r="D316" s="78">
        <v>4607091389692</v>
      </c>
      <c r="E316" s="78"/>
      <c r="F316" s="60">
        <v>0.45</v>
      </c>
      <c r="G316" s="36">
        <v>6</v>
      </c>
      <c r="H316" s="60">
        <v>2.7</v>
      </c>
      <c r="I316" s="60">
        <v>2.9</v>
      </c>
      <c r="J316" s="36">
        <v>156</v>
      </c>
      <c r="K316" s="37" t="s">
        <v>121</v>
      </c>
      <c r="L316" s="36">
        <v>50</v>
      </c>
      <c r="M316" s="79" t="s">
        <v>593</v>
      </c>
      <c r="N316" s="80"/>
      <c r="O316" s="80"/>
      <c r="P316" s="80"/>
      <c r="Q316" s="81"/>
      <c r="R316" s="38" t="s">
        <v>48</v>
      </c>
      <c r="S316" s="38" t="s">
        <v>48</v>
      </c>
      <c r="T316" s="39" t="s">
        <v>0</v>
      </c>
      <c r="U316" s="57">
        <v>0</v>
      </c>
      <c r="V316" s="54">
        <f>IFERROR(IF(U316="",0,CEILING((U316/$H316),1)*$H316),"")</f>
        <v>0</v>
      </c>
      <c r="W316" s="40" t="str">
        <f>IFERROR(IF(V316=0,"",ROUNDUP(V316/H316,0)*0.00753),"")</f>
        <v/>
      </c>
      <c r="X316" s="66" t="s">
        <v>48</v>
      </c>
      <c r="Y316" s="67" t="s">
        <v>48</v>
      </c>
    </row>
    <row r="317" spans="1:25" x14ac:dyDescent="0.2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85"/>
      <c r="M317" s="82" t="s">
        <v>43</v>
      </c>
      <c r="N317" s="83"/>
      <c r="O317" s="83"/>
      <c r="P317" s="83"/>
      <c r="Q317" s="83"/>
      <c r="R317" s="83"/>
      <c r="S317" s="84"/>
      <c r="T317" s="41" t="s">
        <v>42</v>
      </c>
      <c r="U317" s="42">
        <f>IFERROR(U315/H315,"0")+IFERROR(U316/H316,"0")</f>
        <v>0</v>
      </c>
      <c r="V317" s="42">
        <f>IFERROR(V315/H315,"0")+IFERROR(V316/H316,"0")</f>
        <v>0</v>
      </c>
      <c r="W317" s="42">
        <f>IFERROR(IF(W315="",0,W315),"0")+IFERROR(IF(W316="",0,W316),"0")</f>
        <v>0</v>
      </c>
      <c r="X317" s="65"/>
      <c r="Y317" s="65"/>
    </row>
    <row r="318" spans="1:25" x14ac:dyDescent="0.2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85"/>
      <c r="M318" s="82" t="s">
        <v>43</v>
      </c>
      <c r="N318" s="83"/>
      <c r="O318" s="83"/>
      <c r="P318" s="83"/>
      <c r="Q318" s="83"/>
      <c r="R318" s="83"/>
      <c r="S318" s="84"/>
      <c r="T318" s="41" t="s">
        <v>0</v>
      </c>
      <c r="U318" s="42">
        <f>IFERROR(SUM(U315:U316),"0")</f>
        <v>0</v>
      </c>
      <c r="V318" s="42">
        <f>IFERROR(SUM(V315:V316),"0")</f>
        <v>0</v>
      </c>
      <c r="W318" s="41"/>
      <c r="X318" s="65"/>
      <c r="Y318" s="65"/>
    </row>
    <row r="319" spans="1:25" ht="14.25" customHeight="1" x14ac:dyDescent="0.25">
      <c r="A319" s="77" t="s">
        <v>73</v>
      </c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64"/>
      <c r="Y319" s="64"/>
    </row>
    <row r="320" spans="1:25" ht="27" customHeight="1" x14ac:dyDescent="0.25">
      <c r="A320" s="61" t="s">
        <v>594</v>
      </c>
      <c r="B320" s="61" t="s">
        <v>595</v>
      </c>
      <c r="C320" s="35">
        <v>4301031177</v>
      </c>
      <c r="D320" s="78">
        <v>4607091389753</v>
      </c>
      <c r="E320" s="78"/>
      <c r="F320" s="60">
        <v>0.7</v>
      </c>
      <c r="G320" s="36">
        <v>6</v>
      </c>
      <c r="H320" s="60">
        <v>4.2</v>
      </c>
      <c r="I320" s="60">
        <v>4.43</v>
      </c>
      <c r="J320" s="36">
        <v>156</v>
      </c>
      <c r="K320" s="37" t="s">
        <v>77</v>
      </c>
      <c r="L320" s="36">
        <v>45</v>
      </c>
      <c r="M320" s="79" t="s">
        <v>596</v>
      </c>
      <c r="N320" s="80"/>
      <c r="O320" s="80"/>
      <c r="P320" s="80"/>
      <c r="Q320" s="81"/>
      <c r="R320" s="38" t="s">
        <v>48</v>
      </c>
      <c r="S320" s="38" t="s">
        <v>48</v>
      </c>
      <c r="T320" s="39" t="s">
        <v>0</v>
      </c>
      <c r="U320" s="57">
        <v>0</v>
      </c>
      <c r="V320" s="54">
        <f t="shared" ref="V320:V326" si="14">IFERROR(IF(U320="",0,CEILING((U320/$H320),1)*$H320),"")</f>
        <v>0</v>
      </c>
      <c r="W320" s="40" t="str">
        <f>IFERROR(IF(V320=0,"",ROUNDUP(V320/H320,0)*0.00753),"")</f>
        <v/>
      </c>
      <c r="X320" s="66" t="s">
        <v>48</v>
      </c>
      <c r="Y320" s="67" t="s">
        <v>48</v>
      </c>
    </row>
    <row r="321" spans="1:25" ht="27" customHeight="1" x14ac:dyDescent="0.25">
      <c r="A321" s="61" t="s">
        <v>597</v>
      </c>
      <c r="B321" s="61" t="s">
        <v>598</v>
      </c>
      <c r="C321" s="35">
        <v>4301031174</v>
      </c>
      <c r="D321" s="78">
        <v>4607091389760</v>
      </c>
      <c r="E321" s="78"/>
      <c r="F321" s="60">
        <v>0.7</v>
      </c>
      <c r="G321" s="36">
        <v>6</v>
      </c>
      <c r="H321" s="60">
        <v>4.2</v>
      </c>
      <c r="I321" s="60">
        <v>4.43</v>
      </c>
      <c r="J321" s="36">
        <v>156</v>
      </c>
      <c r="K321" s="37" t="s">
        <v>77</v>
      </c>
      <c r="L321" s="36">
        <v>45</v>
      </c>
      <c r="M321" s="79" t="s">
        <v>599</v>
      </c>
      <c r="N321" s="80"/>
      <c r="O321" s="80"/>
      <c r="P321" s="80"/>
      <c r="Q321" s="81"/>
      <c r="R321" s="38" t="s">
        <v>48</v>
      </c>
      <c r="S321" s="38" t="s">
        <v>48</v>
      </c>
      <c r="T321" s="39" t="s">
        <v>0</v>
      </c>
      <c r="U321" s="57">
        <v>0</v>
      </c>
      <c r="V321" s="54">
        <f t="shared" si="14"/>
        <v>0</v>
      </c>
      <c r="W321" s="40" t="str">
        <f>IFERROR(IF(V321=0,"",ROUNDUP(V321/H321,0)*0.00753),"")</f>
        <v/>
      </c>
      <c r="X321" s="66" t="s">
        <v>48</v>
      </c>
      <c r="Y321" s="67" t="s">
        <v>48</v>
      </c>
    </row>
    <row r="322" spans="1:25" ht="27" customHeight="1" x14ac:dyDescent="0.25">
      <c r="A322" s="61" t="s">
        <v>600</v>
      </c>
      <c r="B322" s="61" t="s">
        <v>601</v>
      </c>
      <c r="C322" s="35">
        <v>4301031175</v>
      </c>
      <c r="D322" s="78">
        <v>4607091389746</v>
      </c>
      <c r="E322" s="78"/>
      <c r="F322" s="60">
        <v>0.7</v>
      </c>
      <c r="G322" s="36">
        <v>6</v>
      </c>
      <c r="H322" s="60">
        <v>4.2</v>
      </c>
      <c r="I322" s="60">
        <v>4.43</v>
      </c>
      <c r="J322" s="36">
        <v>156</v>
      </c>
      <c r="K322" s="37" t="s">
        <v>77</v>
      </c>
      <c r="L322" s="36">
        <v>45</v>
      </c>
      <c r="M322" s="79" t="s">
        <v>602</v>
      </c>
      <c r="N322" s="80"/>
      <c r="O322" s="80"/>
      <c r="P322" s="80"/>
      <c r="Q322" s="81"/>
      <c r="R322" s="38" t="s">
        <v>48</v>
      </c>
      <c r="S322" s="38" t="s">
        <v>48</v>
      </c>
      <c r="T322" s="39" t="s">
        <v>0</v>
      </c>
      <c r="U322" s="57">
        <v>0</v>
      </c>
      <c r="V322" s="54">
        <f t="shared" si="14"/>
        <v>0</v>
      </c>
      <c r="W322" s="40" t="str">
        <f>IFERROR(IF(V322=0,"",ROUNDUP(V322/H322,0)*0.00753),"")</f>
        <v/>
      </c>
      <c r="X322" s="66" t="s">
        <v>48</v>
      </c>
      <c r="Y322" s="67" t="s">
        <v>48</v>
      </c>
    </row>
    <row r="323" spans="1:25" ht="27" customHeight="1" x14ac:dyDescent="0.25">
      <c r="A323" s="61" t="s">
        <v>603</v>
      </c>
      <c r="B323" s="61" t="s">
        <v>604</v>
      </c>
      <c r="C323" s="35">
        <v>4301031178</v>
      </c>
      <c r="D323" s="78">
        <v>4607091384338</v>
      </c>
      <c r="E323" s="78"/>
      <c r="F323" s="60">
        <v>0.35</v>
      </c>
      <c r="G323" s="36">
        <v>6</v>
      </c>
      <c r="H323" s="60">
        <v>2.1</v>
      </c>
      <c r="I323" s="60">
        <v>2.23</v>
      </c>
      <c r="J323" s="36">
        <v>234</v>
      </c>
      <c r="K323" s="37" t="s">
        <v>77</v>
      </c>
      <c r="L323" s="36">
        <v>45</v>
      </c>
      <c r="M323" s="79" t="s">
        <v>605</v>
      </c>
      <c r="N323" s="80"/>
      <c r="O323" s="80"/>
      <c r="P323" s="80"/>
      <c r="Q323" s="81"/>
      <c r="R323" s="38" t="s">
        <v>48</v>
      </c>
      <c r="S323" s="38" t="s">
        <v>48</v>
      </c>
      <c r="T323" s="39" t="s">
        <v>0</v>
      </c>
      <c r="U323" s="57">
        <v>52.5</v>
      </c>
      <c r="V323" s="54">
        <f t="shared" si="14"/>
        <v>52.5</v>
      </c>
      <c r="W323" s="40">
        <f>IFERROR(IF(V323=0,"",ROUNDUP(V323/H323,0)*0.00502),"")</f>
        <v>0.1255</v>
      </c>
      <c r="X323" s="66" t="s">
        <v>48</v>
      </c>
      <c r="Y323" s="67" t="s">
        <v>48</v>
      </c>
    </row>
    <row r="324" spans="1:25" ht="37.5" customHeight="1" x14ac:dyDescent="0.25">
      <c r="A324" s="61" t="s">
        <v>606</v>
      </c>
      <c r="B324" s="61" t="s">
        <v>607</v>
      </c>
      <c r="C324" s="35">
        <v>4301031171</v>
      </c>
      <c r="D324" s="78">
        <v>4607091389524</v>
      </c>
      <c r="E324" s="78"/>
      <c r="F324" s="60">
        <v>0.35</v>
      </c>
      <c r="G324" s="36">
        <v>6</v>
      </c>
      <c r="H324" s="60">
        <v>2.1</v>
      </c>
      <c r="I324" s="60">
        <v>2.23</v>
      </c>
      <c r="J324" s="36">
        <v>234</v>
      </c>
      <c r="K324" s="37" t="s">
        <v>77</v>
      </c>
      <c r="L324" s="36">
        <v>45</v>
      </c>
      <c r="M324" s="79" t="s">
        <v>608</v>
      </c>
      <c r="N324" s="80"/>
      <c r="O324" s="80"/>
      <c r="P324" s="80"/>
      <c r="Q324" s="81"/>
      <c r="R324" s="38" t="s">
        <v>48</v>
      </c>
      <c r="S324" s="38" t="s">
        <v>48</v>
      </c>
      <c r="T324" s="39" t="s">
        <v>0</v>
      </c>
      <c r="U324" s="57">
        <v>52.5</v>
      </c>
      <c r="V324" s="54">
        <f t="shared" si="14"/>
        <v>52.5</v>
      </c>
      <c r="W324" s="40">
        <f>IFERROR(IF(V324=0,"",ROUNDUP(V324/H324,0)*0.00502),"")</f>
        <v>0.1255</v>
      </c>
      <c r="X324" s="66" t="s">
        <v>48</v>
      </c>
      <c r="Y324" s="67" t="s">
        <v>48</v>
      </c>
    </row>
    <row r="325" spans="1:25" ht="27" customHeight="1" x14ac:dyDescent="0.25">
      <c r="A325" s="61" t="s">
        <v>609</v>
      </c>
      <c r="B325" s="61" t="s">
        <v>610</v>
      </c>
      <c r="C325" s="35">
        <v>4301031170</v>
      </c>
      <c r="D325" s="78">
        <v>4607091384345</v>
      </c>
      <c r="E325" s="78"/>
      <c r="F325" s="60">
        <v>0.35</v>
      </c>
      <c r="G325" s="36">
        <v>6</v>
      </c>
      <c r="H325" s="60">
        <v>2.1</v>
      </c>
      <c r="I325" s="60">
        <v>2.23</v>
      </c>
      <c r="J325" s="36">
        <v>234</v>
      </c>
      <c r="K325" s="37" t="s">
        <v>77</v>
      </c>
      <c r="L325" s="36">
        <v>45</v>
      </c>
      <c r="M325" s="79" t="s">
        <v>611</v>
      </c>
      <c r="N325" s="80"/>
      <c r="O325" s="80"/>
      <c r="P325" s="80"/>
      <c r="Q325" s="81"/>
      <c r="R325" s="38" t="s">
        <v>48</v>
      </c>
      <c r="S325" s="38" t="s">
        <v>48</v>
      </c>
      <c r="T325" s="39" t="s">
        <v>0</v>
      </c>
      <c r="U325" s="57">
        <v>0</v>
      </c>
      <c r="V325" s="54">
        <f t="shared" si="14"/>
        <v>0</v>
      </c>
      <c r="W325" s="40" t="str">
        <f>IFERROR(IF(V325=0,"",ROUNDUP(V325/H325,0)*0.00502),"")</f>
        <v/>
      </c>
      <c r="X325" s="66" t="s">
        <v>48</v>
      </c>
      <c r="Y325" s="67" t="s">
        <v>48</v>
      </c>
    </row>
    <row r="326" spans="1:25" ht="27" customHeight="1" x14ac:dyDescent="0.25">
      <c r="A326" s="61" t="s">
        <v>612</v>
      </c>
      <c r="B326" s="61" t="s">
        <v>613</v>
      </c>
      <c r="C326" s="35">
        <v>4301031172</v>
      </c>
      <c r="D326" s="78">
        <v>4607091389531</v>
      </c>
      <c r="E326" s="78"/>
      <c r="F326" s="60">
        <v>0.35</v>
      </c>
      <c r="G326" s="36">
        <v>6</v>
      </c>
      <c r="H326" s="60">
        <v>2.1</v>
      </c>
      <c r="I326" s="60">
        <v>2.23</v>
      </c>
      <c r="J326" s="36">
        <v>234</v>
      </c>
      <c r="K326" s="37" t="s">
        <v>77</v>
      </c>
      <c r="L326" s="36">
        <v>45</v>
      </c>
      <c r="M326" s="79" t="s">
        <v>614</v>
      </c>
      <c r="N326" s="80"/>
      <c r="O326" s="80"/>
      <c r="P326" s="80"/>
      <c r="Q326" s="81"/>
      <c r="R326" s="38" t="s">
        <v>48</v>
      </c>
      <c r="S326" s="38" t="s">
        <v>48</v>
      </c>
      <c r="T326" s="39" t="s">
        <v>0</v>
      </c>
      <c r="U326" s="57">
        <v>52.5</v>
      </c>
      <c r="V326" s="54">
        <f t="shared" si="14"/>
        <v>52.5</v>
      </c>
      <c r="W326" s="40">
        <f>IFERROR(IF(V326=0,"",ROUNDUP(V326/H326,0)*0.00502),"")</f>
        <v>0.1255</v>
      </c>
      <c r="X326" s="66" t="s">
        <v>48</v>
      </c>
      <c r="Y326" s="67" t="s">
        <v>48</v>
      </c>
    </row>
    <row r="327" spans="1:25" x14ac:dyDescent="0.2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85"/>
      <c r="M327" s="82" t="s">
        <v>43</v>
      </c>
      <c r="N327" s="83"/>
      <c r="O327" s="83"/>
      <c r="P327" s="83"/>
      <c r="Q327" s="83"/>
      <c r="R327" s="83"/>
      <c r="S327" s="84"/>
      <c r="T327" s="41" t="s">
        <v>42</v>
      </c>
      <c r="U327" s="42">
        <f>IFERROR(U320/H320,"0")+IFERROR(U321/H321,"0")+IFERROR(U322/H322,"0")+IFERROR(U323/H323,"0")+IFERROR(U324/H324,"0")+IFERROR(U325/H325,"0")+IFERROR(U326/H326,"0")</f>
        <v>75</v>
      </c>
      <c r="V327" s="42">
        <f>IFERROR(V320/H320,"0")+IFERROR(V321/H321,"0")+IFERROR(V322/H322,"0")+IFERROR(V323/H323,"0")+IFERROR(V324/H324,"0")+IFERROR(V325/H325,"0")+IFERROR(V326/H326,"0")</f>
        <v>75</v>
      </c>
      <c r="W327" s="42">
        <f>IFERROR(IF(W320="",0,W320),"0")+IFERROR(IF(W321="",0,W321),"0")+IFERROR(IF(W322="",0,W322),"0")+IFERROR(IF(W323="",0,W323),"0")+IFERROR(IF(W324="",0,W324),"0")+IFERROR(IF(W325="",0,W325),"0")+IFERROR(IF(W326="",0,W326),"0")</f>
        <v>0.3765</v>
      </c>
      <c r="X327" s="65"/>
      <c r="Y327" s="65"/>
    </row>
    <row r="328" spans="1:25" x14ac:dyDescent="0.2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85"/>
      <c r="M328" s="82" t="s">
        <v>43</v>
      </c>
      <c r="N328" s="83"/>
      <c r="O328" s="83"/>
      <c r="P328" s="83"/>
      <c r="Q328" s="83"/>
      <c r="R328" s="83"/>
      <c r="S328" s="84"/>
      <c r="T328" s="41" t="s">
        <v>0</v>
      </c>
      <c r="U328" s="42">
        <f>IFERROR(SUM(U320:U326),"0")</f>
        <v>157.5</v>
      </c>
      <c r="V328" s="42">
        <f>IFERROR(SUM(V320:V326),"0")</f>
        <v>157.5</v>
      </c>
      <c r="W328" s="41"/>
      <c r="X328" s="65"/>
      <c r="Y328" s="65"/>
    </row>
    <row r="329" spans="1:25" ht="14.25" customHeight="1" x14ac:dyDescent="0.25">
      <c r="A329" s="77" t="s">
        <v>78</v>
      </c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64"/>
      <c r="Y329" s="64"/>
    </row>
    <row r="330" spans="1:25" ht="27" customHeight="1" x14ac:dyDescent="0.25">
      <c r="A330" s="61" t="s">
        <v>615</v>
      </c>
      <c r="B330" s="61" t="s">
        <v>616</v>
      </c>
      <c r="C330" s="35">
        <v>4301051258</v>
      </c>
      <c r="D330" s="78">
        <v>4607091389685</v>
      </c>
      <c r="E330" s="78"/>
      <c r="F330" s="60">
        <v>1.3</v>
      </c>
      <c r="G330" s="36">
        <v>6</v>
      </c>
      <c r="H330" s="60">
        <v>7.8</v>
      </c>
      <c r="I330" s="60">
        <v>8.3460000000000001</v>
      </c>
      <c r="J330" s="36">
        <v>56</v>
      </c>
      <c r="K330" s="37" t="s">
        <v>157</v>
      </c>
      <c r="L330" s="36">
        <v>45</v>
      </c>
      <c r="M330" s="79" t="s">
        <v>617</v>
      </c>
      <c r="N330" s="80"/>
      <c r="O330" s="80"/>
      <c r="P330" s="80"/>
      <c r="Q330" s="81"/>
      <c r="R330" s="38" t="s">
        <v>48</v>
      </c>
      <c r="S330" s="38" t="s">
        <v>48</v>
      </c>
      <c r="T330" s="39" t="s">
        <v>0</v>
      </c>
      <c r="U330" s="57">
        <v>0</v>
      </c>
      <c r="V330" s="54">
        <f>IFERROR(IF(U330="",0,CEILING((U330/$H330),1)*$H330),"")</f>
        <v>0</v>
      </c>
      <c r="W330" s="40" t="str">
        <f>IFERROR(IF(V330=0,"",ROUNDUP(V330/H330,0)*0.02175),"")</f>
        <v/>
      </c>
      <c r="X330" s="66" t="s">
        <v>48</v>
      </c>
      <c r="Y330" s="67" t="s">
        <v>48</v>
      </c>
    </row>
    <row r="331" spans="1:25" ht="27" customHeight="1" x14ac:dyDescent="0.25">
      <c r="A331" s="61" t="s">
        <v>618</v>
      </c>
      <c r="B331" s="61" t="s">
        <v>619</v>
      </c>
      <c r="C331" s="35">
        <v>4301051431</v>
      </c>
      <c r="D331" s="78">
        <v>4607091389654</v>
      </c>
      <c r="E331" s="78"/>
      <c r="F331" s="60">
        <v>0.33</v>
      </c>
      <c r="G331" s="36">
        <v>6</v>
      </c>
      <c r="H331" s="60">
        <v>1.98</v>
      </c>
      <c r="I331" s="60">
        <v>2.258</v>
      </c>
      <c r="J331" s="36">
        <v>156</v>
      </c>
      <c r="K331" s="37" t="s">
        <v>157</v>
      </c>
      <c r="L331" s="36">
        <v>45</v>
      </c>
      <c r="M331" s="79" t="s">
        <v>620</v>
      </c>
      <c r="N331" s="80"/>
      <c r="O331" s="80"/>
      <c r="P331" s="80"/>
      <c r="Q331" s="81"/>
      <c r="R331" s="38" t="s">
        <v>48</v>
      </c>
      <c r="S331" s="38" t="s">
        <v>48</v>
      </c>
      <c r="T331" s="39" t="s">
        <v>0</v>
      </c>
      <c r="U331" s="57">
        <v>0</v>
      </c>
      <c r="V331" s="54">
        <f>IFERROR(IF(U331="",0,CEILING((U331/$H331),1)*$H331),"")</f>
        <v>0</v>
      </c>
      <c r="W331" s="40" t="str">
        <f>IFERROR(IF(V331=0,"",ROUNDUP(V331/H331,0)*0.00753),"")</f>
        <v/>
      </c>
      <c r="X331" s="66" t="s">
        <v>48</v>
      </c>
      <c r="Y331" s="67" t="s">
        <v>48</v>
      </c>
    </row>
    <row r="332" spans="1:25" ht="27" customHeight="1" x14ac:dyDescent="0.25">
      <c r="A332" s="61" t="s">
        <v>618</v>
      </c>
      <c r="B332" s="61" t="s">
        <v>621</v>
      </c>
      <c r="C332" s="35">
        <v>4301051244</v>
      </c>
      <c r="D332" s="78">
        <v>4607091389654</v>
      </c>
      <c r="E332" s="78"/>
      <c r="F332" s="60">
        <v>0.33</v>
      </c>
      <c r="G332" s="36">
        <v>6</v>
      </c>
      <c r="H332" s="60">
        <v>1.98</v>
      </c>
      <c r="I332" s="60">
        <v>2.258</v>
      </c>
      <c r="J332" s="36">
        <v>156</v>
      </c>
      <c r="K332" s="37" t="s">
        <v>157</v>
      </c>
      <c r="L332" s="36">
        <v>45</v>
      </c>
      <c r="M332" s="79" t="s">
        <v>620</v>
      </c>
      <c r="N332" s="80"/>
      <c r="O332" s="80"/>
      <c r="P332" s="80"/>
      <c r="Q332" s="81"/>
      <c r="R332" s="38" t="s">
        <v>48</v>
      </c>
      <c r="S332" s="38" t="s">
        <v>48</v>
      </c>
      <c r="T332" s="39" t="s">
        <v>0</v>
      </c>
      <c r="U332" s="57">
        <v>0</v>
      </c>
      <c r="V332" s="54">
        <f>IFERROR(IF(U332="",0,CEILING((U332/$H332),1)*$H332),"")</f>
        <v>0</v>
      </c>
      <c r="W332" s="40" t="str">
        <f>IFERROR(IF(V332=0,"",ROUNDUP(V332/H332,0)*0.00753),"")</f>
        <v/>
      </c>
      <c r="X332" s="66" t="s">
        <v>48</v>
      </c>
      <c r="Y332" s="67" t="s">
        <v>48</v>
      </c>
    </row>
    <row r="333" spans="1:25" ht="27" customHeight="1" x14ac:dyDescent="0.25">
      <c r="A333" s="61" t="s">
        <v>622</v>
      </c>
      <c r="B333" s="61" t="s">
        <v>623</v>
      </c>
      <c r="C333" s="35">
        <v>4301051284</v>
      </c>
      <c r="D333" s="78">
        <v>4607091384352</v>
      </c>
      <c r="E333" s="78"/>
      <c r="F333" s="60">
        <v>0.6</v>
      </c>
      <c r="G333" s="36">
        <v>4</v>
      </c>
      <c r="H333" s="60">
        <v>2.4</v>
      </c>
      <c r="I333" s="60">
        <v>2.6459999999999999</v>
      </c>
      <c r="J333" s="36">
        <v>120</v>
      </c>
      <c r="K333" s="37" t="s">
        <v>157</v>
      </c>
      <c r="L333" s="36">
        <v>45</v>
      </c>
      <c r="M333" s="79" t="s">
        <v>624</v>
      </c>
      <c r="N333" s="80"/>
      <c r="O333" s="80"/>
      <c r="P333" s="80"/>
      <c r="Q333" s="81"/>
      <c r="R333" s="38" t="s">
        <v>48</v>
      </c>
      <c r="S333" s="38" t="s">
        <v>48</v>
      </c>
      <c r="T333" s="39" t="s">
        <v>0</v>
      </c>
      <c r="U333" s="57">
        <v>0</v>
      </c>
      <c r="V333" s="54">
        <f>IFERROR(IF(U333="",0,CEILING((U333/$H333),1)*$H333),"")</f>
        <v>0</v>
      </c>
      <c r="W333" s="40" t="str">
        <f>IFERROR(IF(V333=0,"",ROUNDUP(V333/H333,0)*0.00937),"")</f>
        <v/>
      </c>
      <c r="X333" s="66" t="s">
        <v>48</v>
      </c>
      <c r="Y333" s="67" t="s">
        <v>48</v>
      </c>
    </row>
    <row r="334" spans="1:25" ht="27" customHeight="1" x14ac:dyDescent="0.25">
      <c r="A334" s="61" t="s">
        <v>625</v>
      </c>
      <c r="B334" s="61" t="s">
        <v>626</v>
      </c>
      <c r="C334" s="35">
        <v>4301051255</v>
      </c>
      <c r="D334" s="78">
        <v>4607091389661</v>
      </c>
      <c r="E334" s="78"/>
      <c r="F334" s="60">
        <v>0.55000000000000004</v>
      </c>
      <c r="G334" s="36">
        <v>4</v>
      </c>
      <c r="H334" s="60">
        <v>2.2000000000000002</v>
      </c>
      <c r="I334" s="60">
        <v>2.4620000000000002</v>
      </c>
      <c r="J334" s="36">
        <v>120</v>
      </c>
      <c r="K334" s="37" t="s">
        <v>77</v>
      </c>
      <c r="L334" s="36">
        <v>45</v>
      </c>
      <c r="M334" s="79" t="s">
        <v>627</v>
      </c>
      <c r="N334" s="80"/>
      <c r="O334" s="80"/>
      <c r="P334" s="80"/>
      <c r="Q334" s="81"/>
      <c r="R334" s="38" t="s">
        <v>48</v>
      </c>
      <c r="S334" s="38" t="s">
        <v>48</v>
      </c>
      <c r="T334" s="39" t="s">
        <v>0</v>
      </c>
      <c r="U334" s="57">
        <v>0</v>
      </c>
      <c r="V334" s="54">
        <f>IFERROR(IF(U334="",0,CEILING((U334/$H334),1)*$H334),"")</f>
        <v>0</v>
      </c>
      <c r="W334" s="40" t="str">
        <f>IFERROR(IF(V334=0,"",ROUNDUP(V334/H334,0)*0.00937),"")</f>
        <v/>
      </c>
      <c r="X334" s="66" t="s">
        <v>48</v>
      </c>
      <c r="Y334" s="67" t="s">
        <v>48</v>
      </c>
    </row>
    <row r="335" spans="1:25" x14ac:dyDescent="0.2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85"/>
      <c r="M335" s="82" t="s">
        <v>43</v>
      </c>
      <c r="N335" s="83"/>
      <c r="O335" s="83"/>
      <c r="P335" s="83"/>
      <c r="Q335" s="83"/>
      <c r="R335" s="83"/>
      <c r="S335" s="84"/>
      <c r="T335" s="41" t="s">
        <v>42</v>
      </c>
      <c r="U335" s="42">
        <f>IFERROR(U330/H330,"0")+IFERROR(U331/H331,"0")+IFERROR(U332/H332,"0")+IFERROR(U333/H333,"0")+IFERROR(U334/H334,"0")</f>
        <v>0</v>
      </c>
      <c r="V335" s="42">
        <f>IFERROR(V330/H330,"0")+IFERROR(V331/H331,"0")+IFERROR(V332/H332,"0")+IFERROR(V333/H333,"0")+IFERROR(V334/H334,"0")</f>
        <v>0</v>
      </c>
      <c r="W335" s="42">
        <f>IFERROR(IF(W330="",0,W330),"0")+IFERROR(IF(W331="",0,W331),"0")+IFERROR(IF(W332="",0,W332),"0")+IFERROR(IF(W333="",0,W333),"0")+IFERROR(IF(W334="",0,W334),"0")</f>
        <v>0</v>
      </c>
      <c r="X335" s="65"/>
      <c r="Y335" s="65"/>
    </row>
    <row r="336" spans="1:25" x14ac:dyDescent="0.2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85"/>
      <c r="M336" s="82" t="s">
        <v>43</v>
      </c>
      <c r="N336" s="83"/>
      <c r="O336" s="83"/>
      <c r="P336" s="83"/>
      <c r="Q336" s="83"/>
      <c r="R336" s="83"/>
      <c r="S336" s="84"/>
      <c r="T336" s="41" t="s">
        <v>0</v>
      </c>
      <c r="U336" s="42">
        <f>IFERROR(SUM(U330:U334),"0")</f>
        <v>0</v>
      </c>
      <c r="V336" s="42">
        <f>IFERROR(SUM(V330:V334),"0")</f>
        <v>0</v>
      </c>
      <c r="W336" s="41"/>
      <c r="X336" s="65"/>
      <c r="Y336" s="65"/>
    </row>
    <row r="337" spans="1:25" ht="14.25" customHeight="1" x14ac:dyDescent="0.25">
      <c r="A337" s="77" t="s">
        <v>259</v>
      </c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64"/>
      <c r="Y337" s="64"/>
    </row>
    <row r="338" spans="1:25" ht="27" customHeight="1" x14ac:dyDescent="0.25">
      <c r="A338" s="61" t="s">
        <v>628</v>
      </c>
      <c r="B338" s="61" t="s">
        <v>629</v>
      </c>
      <c r="C338" s="35">
        <v>4301060352</v>
      </c>
      <c r="D338" s="78">
        <v>4680115881648</v>
      </c>
      <c r="E338" s="78"/>
      <c r="F338" s="60">
        <v>1</v>
      </c>
      <c r="G338" s="36">
        <v>4</v>
      </c>
      <c r="H338" s="60">
        <v>4</v>
      </c>
      <c r="I338" s="60">
        <v>4.4039999999999999</v>
      </c>
      <c r="J338" s="36">
        <v>104</v>
      </c>
      <c r="K338" s="37" t="s">
        <v>77</v>
      </c>
      <c r="L338" s="36">
        <v>35</v>
      </c>
      <c r="M338" s="79" t="s">
        <v>630</v>
      </c>
      <c r="N338" s="80"/>
      <c r="O338" s="80"/>
      <c r="P338" s="80"/>
      <c r="Q338" s="81"/>
      <c r="R338" s="38" t="s">
        <v>48</v>
      </c>
      <c r="S338" s="38" t="s">
        <v>48</v>
      </c>
      <c r="T338" s="39" t="s">
        <v>0</v>
      </c>
      <c r="U338" s="57">
        <v>0</v>
      </c>
      <c r="V338" s="54">
        <f>IFERROR(IF(U338="",0,CEILING((U338/$H338),1)*$H338),"")</f>
        <v>0</v>
      </c>
      <c r="W338" s="40" t="str">
        <f>IFERROR(IF(V338=0,"",ROUNDUP(V338/H338,0)*0.01196),"")</f>
        <v/>
      </c>
      <c r="X338" s="66" t="s">
        <v>48</v>
      </c>
      <c r="Y338" s="67" t="s">
        <v>48</v>
      </c>
    </row>
    <row r="339" spans="1:25" x14ac:dyDescent="0.2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85"/>
      <c r="M339" s="82" t="s">
        <v>43</v>
      </c>
      <c r="N339" s="83"/>
      <c r="O339" s="83"/>
      <c r="P339" s="83"/>
      <c r="Q339" s="83"/>
      <c r="R339" s="83"/>
      <c r="S339" s="84"/>
      <c r="T339" s="41" t="s">
        <v>42</v>
      </c>
      <c r="U339" s="42">
        <f>IFERROR(U338/H338,"0")</f>
        <v>0</v>
      </c>
      <c r="V339" s="42">
        <f>IFERROR(V338/H338,"0")</f>
        <v>0</v>
      </c>
      <c r="W339" s="42">
        <f>IFERROR(IF(W338="",0,W338),"0")</f>
        <v>0</v>
      </c>
      <c r="X339" s="65"/>
      <c r="Y339" s="65"/>
    </row>
    <row r="340" spans="1:25" x14ac:dyDescent="0.2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85"/>
      <c r="M340" s="82" t="s">
        <v>43</v>
      </c>
      <c r="N340" s="83"/>
      <c r="O340" s="83"/>
      <c r="P340" s="83"/>
      <c r="Q340" s="83"/>
      <c r="R340" s="83"/>
      <c r="S340" s="84"/>
      <c r="T340" s="41" t="s">
        <v>0</v>
      </c>
      <c r="U340" s="42">
        <f>IFERROR(SUM(U338:U338),"0")</f>
        <v>0</v>
      </c>
      <c r="V340" s="42">
        <f>IFERROR(SUM(V338:V338),"0")</f>
        <v>0</v>
      </c>
      <c r="W340" s="41"/>
      <c r="X340" s="65"/>
      <c r="Y340" s="65"/>
    </row>
    <row r="341" spans="1:25" ht="16.5" customHeight="1" x14ac:dyDescent="0.25">
      <c r="A341" s="87" t="s">
        <v>631</v>
      </c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63"/>
      <c r="Y341" s="63"/>
    </row>
    <row r="342" spans="1:25" ht="14.25" customHeight="1" x14ac:dyDescent="0.25">
      <c r="A342" s="77" t="s">
        <v>117</v>
      </c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64"/>
      <c r="Y342" s="64"/>
    </row>
    <row r="343" spans="1:25" ht="27" customHeight="1" x14ac:dyDescent="0.25">
      <c r="A343" s="61" t="s">
        <v>632</v>
      </c>
      <c r="B343" s="61" t="s">
        <v>633</v>
      </c>
      <c r="C343" s="35">
        <v>4301020196</v>
      </c>
      <c r="D343" s="78">
        <v>4607091389388</v>
      </c>
      <c r="E343" s="78"/>
      <c r="F343" s="60">
        <v>1.3</v>
      </c>
      <c r="G343" s="36">
        <v>4</v>
      </c>
      <c r="H343" s="60">
        <v>5.2</v>
      </c>
      <c r="I343" s="60">
        <v>5.6079999999999997</v>
      </c>
      <c r="J343" s="36">
        <v>104</v>
      </c>
      <c r="K343" s="37" t="s">
        <v>157</v>
      </c>
      <c r="L343" s="36">
        <v>35</v>
      </c>
      <c r="M343" s="79" t="s">
        <v>634</v>
      </c>
      <c r="N343" s="80"/>
      <c r="O343" s="80"/>
      <c r="P343" s="80"/>
      <c r="Q343" s="81"/>
      <c r="R343" s="38" t="s">
        <v>48</v>
      </c>
      <c r="S343" s="38" t="s">
        <v>48</v>
      </c>
      <c r="T343" s="39" t="s">
        <v>0</v>
      </c>
      <c r="U343" s="57">
        <v>0</v>
      </c>
      <c r="V343" s="54">
        <f>IFERROR(IF(U343="",0,CEILING((U343/$H343),1)*$H343),"")</f>
        <v>0</v>
      </c>
      <c r="W343" s="40" t="str">
        <f>IFERROR(IF(V343=0,"",ROUNDUP(V343/H343,0)*0.01196),"")</f>
        <v/>
      </c>
      <c r="X343" s="66" t="s">
        <v>48</v>
      </c>
      <c r="Y343" s="67" t="s">
        <v>48</v>
      </c>
    </row>
    <row r="344" spans="1:25" ht="27" customHeight="1" x14ac:dyDescent="0.25">
      <c r="A344" s="61" t="s">
        <v>635</v>
      </c>
      <c r="B344" s="61" t="s">
        <v>636</v>
      </c>
      <c r="C344" s="35">
        <v>4301020185</v>
      </c>
      <c r="D344" s="78">
        <v>4607091389364</v>
      </c>
      <c r="E344" s="78"/>
      <c r="F344" s="60">
        <v>0.42</v>
      </c>
      <c r="G344" s="36">
        <v>6</v>
      </c>
      <c r="H344" s="60">
        <v>2.52</v>
      </c>
      <c r="I344" s="60">
        <v>2.75</v>
      </c>
      <c r="J344" s="36">
        <v>156</v>
      </c>
      <c r="K344" s="37" t="s">
        <v>157</v>
      </c>
      <c r="L344" s="36">
        <v>35</v>
      </c>
      <c r="M344" s="79" t="s">
        <v>637</v>
      </c>
      <c r="N344" s="80"/>
      <c r="O344" s="80"/>
      <c r="P344" s="80"/>
      <c r="Q344" s="81"/>
      <c r="R344" s="38" t="s">
        <v>48</v>
      </c>
      <c r="S344" s="38" t="s">
        <v>48</v>
      </c>
      <c r="T344" s="39" t="s">
        <v>0</v>
      </c>
      <c r="U344" s="57">
        <v>0</v>
      </c>
      <c r="V344" s="54">
        <f>IFERROR(IF(U344="",0,CEILING((U344/$H344),1)*$H344),"")</f>
        <v>0</v>
      </c>
      <c r="W344" s="40" t="str">
        <f>IFERROR(IF(V344=0,"",ROUNDUP(V344/H344,0)*0.00753),"")</f>
        <v/>
      </c>
      <c r="X344" s="66" t="s">
        <v>48</v>
      </c>
      <c r="Y344" s="67" t="s">
        <v>48</v>
      </c>
    </row>
    <row r="345" spans="1:25" x14ac:dyDescent="0.2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85"/>
      <c r="M345" s="82" t="s">
        <v>43</v>
      </c>
      <c r="N345" s="83"/>
      <c r="O345" s="83"/>
      <c r="P345" s="83"/>
      <c r="Q345" s="83"/>
      <c r="R345" s="83"/>
      <c r="S345" s="84"/>
      <c r="T345" s="41" t="s">
        <v>42</v>
      </c>
      <c r="U345" s="42">
        <f>IFERROR(U343/H343,"0")+IFERROR(U344/H344,"0")</f>
        <v>0</v>
      </c>
      <c r="V345" s="42">
        <f>IFERROR(V343/H343,"0")+IFERROR(V344/H344,"0")</f>
        <v>0</v>
      </c>
      <c r="W345" s="42">
        <f>IFERROR(IF(W343="",0,W343),"0")+IFERROR(IF(W344="",0,W344),"0")</f>
        <v>0</v>
      </c>
      <c r="X345" s="65"/>
      <c r="Y345" s="65"/>
    </row>
    <row r="346" spans="1:25" x14ac:dyDescent="0.2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85"/>
      <c r="M346" s="82" t="s">
        <v>43</v>
      </c>
      <c r="N346" s="83"/>
      <c r="O346" s="83"/>
      <c r="P346" s="83"/>
      <c r="Q346" s="83"/>
      <c r="R346" s="83"/>
      <c r="S346" s="84"/>
      <c r="T346" s="41" t="s">
        <v>0</v>
      </c>
      <c r="U346" s="42">
        <f>IFERROR(SUM(U343:U344),"0")</f>
        <v>0</v>
      </c>
      <c r="V346" s="42">
        <f>IFERROR(SUM(V343:V344),"0")</f>
        <v>0</v>
      </c>
      <c r="W346" s="41"/>
      <c r="X346" s="65"/>
      <c r="Y346" s="65"/>
    </row>
    <row r="347" spans="1:25" ht="14.25" customHeight="1" x14ac:dyDescent="0.25">
      <c r="A347" s="77" t="s">
        <v>73</v>
      </c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64"/>
      <c r="Y347" s="64"/>
    </row>
    <row r="348" spans="1:25" ht="27" customHeight="1" x14ac:dyDescent="0.25">
      <c r="A348" s="61" t="s">
        <v>638</v>
      </c>
      <c r="B348" s="61" t="s">
        <v>639</v>
      </c>
      <c r="C348" s="35">
        <v>4301031195</v>
      </c>
      <c r="D348" s="78">
        <v>4607091389739</v>
      </c>
      <c r="E348" s="78"/>
      <c r="F348" s="60">
        <v>0.7</v>
      </c>
      <c r="G348" s="36">
        <v>6</v>
      </c>
      <c r="H348" s="60">
        <v>4.2</v>
      </c>
      <c r="I348" s="60">
        <v>4.43</v>
      </c>
      <c r="J348" s="36">
        <v>156</v>
      </c>
      <c r="K348" s="37" t="s">
        <v>77</v>
      </c>
      <c r="L348" s="36">
        <v>45</v>
      </c>
      <c r="M348" s="79" t="s">
        <v>640</v>
      </c>
      <c r="N348" s="80"/>
      <c r="O348" s="80"/>
      <c r="P348" s="80"/>
      <c r="Q348" s="81"/>
      <c r="R348" s="38" t="s">
        <v>48</v>
      </c>
      <c r="S348" s="38" t="s">
        <v>48</v>
      </c>
      <c r="T348" s="39" t="s">
        <v>0</v>
      </c>
      <c r="U348" s="57">
        <v>0</v>
      </c>
      <c r="V348" s="54">
        <f>IFERROR(IF(U348="",0,CEILING((U348/$H348),1)*$H348),"")</f>
        <v>0</v>
      </c>
      <c r="W348" s="40" t="str">
        <f>IFERROR(IF(V348=0,"",ROUNDUP(V348/H348,0)*0.00753),"")</f>
        <v/>
      </c>
      <c r="X348" s="66" t="s">
        <v>48</v>
      </c>
      <c r="Y348" s="67" t="s">
        <v>48</v>
      </c>
    </row>
    <row r="349" spans="1:25" ht="27" customHeight="1" x14ac:dyDescent="0.25">
      <c r="A349" s="61" t="s">
        <v>641</v>
      </c>
      <c r="B349" s="61" t="s">
        <v>642</v>
      </c>
      <c r="C349" s="35">
        <v>4301031176</v>
      </c>
      <c r="D349" s="78">
        <v>4607091389425</v>
      </c>
      <c r="E349" s="78"/>
      <c r="F349" s="60">
        <v>0.35</v>
      </c>
      <c r="G349" s="36">
        <v>6</v>
      </c>
      <c r="H349" s="60">
        <v>2.1</v>
      </c>
      <c r="I349" s="60">
        <v>2.23</v>
      </c>
      <c r="J349" s="36">
        <v>234</v>
      </c>
      <c r="K349" s="37" t="s">
        <v>77</v>
      </c>
      <c r="L349" s="36">
        <v>45</v>
      </c>
      <c r="M349" s="79" t="s">
        <v>643</v>
      </c>
      <c r="N349" s="80"/>
      <c r="O349" s="80"/>
      <c r="P349" s="80"/>
      <c r="Q349" s="81"/>
      <c r="R349" s="38" t="s">
        <v>48</v>
      </c>
      <c r="S349" s="38" t="s">
        <v>48</v>
      </c>
      <c r="T349" s="39" t="s">
        <v>0</v>
      </c>
      <c r="U349" s="57">
        <v>0</v>
      </c>
      <c r="V349" s="54">
        <f>IFERROR(IF(U349="",0,CEILING((U349/$H349),1)*$H349),"")</f>
        <v>0</v>
      </c>
      <c r="W349" s="40" t="str">
        <f>IFERROR(IF(V349=0,"",ROUNDUP(V349/H349,0)*0.00502),"")</f>
        <v/>
      </c>
      <c r="X349" s="66" t="s">
        <v>48</v>
      </c>
      <c r="Y349" s="67" t="s">
        <v>48</v>
      </c>
    </row>
    <row r="350" spans="1:25" ht="27" customHeight="1" x14ac:dyDescent="0.25">
      <c r="A350" s="61" t="s">
        <v>644</v>
      </c>
      <c r="B350" s="61" t="s">
        <v>645</v>
      </c>
      <c r="C350" s="35">
        <v>4301031167</v>
      </c>
      <c r="D350" s="78">
        <v>4680115880771</v>
      </c>
      <c r="E350" s="78"/>
      <c r="F350" s="60">
        <v>0.28000000000000003</v>
      </c>
      <c r="G350" s="36">
        <v>6</v>
      </c>
      <c r="H350" s="60">
        <v>1.68</v>
      </c>
      <c r="I350" s="60">
        <v>1.81</v>
      </c>
      <c r="J350" s="36">
        <v>234</v>
      </c>
      <c r="K350" s="37" t="s">
        <v>77</v>
      </c>
      <c r="L350" s="36">
        <v>45</v>
      </c>
      <c r="M350" s="79" t="s">
        <v>646</v>
      </c>
      <c r="N350" s="80"/>
      <c r="O350" s="80"/>
      <c r="P350" s="80"/>
      <c r="Q350" s="81"/>
      <c r="R350" s="38" t="s">
        <v>48</v>
      </c>
      <c r="S350" s="38" t="s">
        <v>48</v>
      </c>
      <c r="T350" s="39" t="s">
        <v>0</v>
      </c>
      <c r="U350" s="57">
        <v>0</v>
      </c>
      <c r="V350" s="54">
        <f>IFERROR(IF(U350="",0,CEILING((U350/$H350),1)*$H350),"")</f>
        <v>0</v>
      </c>
      <c r="W350" s="40" t="str">
        <f>IFERROR(IF(V350=0,"",ROUNDUP(V350/H350,0)*0.00502),"")</f>
        <v/>
      </c>
      <c r="X350" s="66" t="s">
        <v>48</v>
      </c>
      <c r="Y350" s="67" t="s">
        <v>48</v>
      </c>
    </row>
    <row r="351" spans="1:25" ht="27" customHeight="1" x14ac:dyDescent="0.25">
      <c r="A351" s="61" t="s">
        <v>647</v>
      </c>
      <c r="B351" s="61" t="s">
        <v>648</v>
      </c>
      <c r="C351" s="35">
        <v>4301031173</v>
      </c>
      <c r="D351" s="78">
        <v>4607091389500</v>
      </c>
      <c r="E351" s="78"/>
      <c r="F351" s="60">
        <v>0.35</v>
      </c>
      <c r="G351" s="36">
        <v>6</v>
      </c>
      <c r="H351" s="60">
        <v>2.1</v>
      </c>
      <c r="I351" s="60">
        <v>2.23</v>
      </c>
      <c r="J351" s="36">
        <v>234</v>
      </c>
      <c r="K351" s="37" t="s">
        <v>77</v>
      </c>
      <c r="L351" s="36">
        <v>45</v>
      </c>
      <c r="M351" s="79" t="s">
        <v>649</v>
      </c>
      <c r="N351" s="80"/>
      <c r="O351" s="80"/>
      <c r="P351" s="80"/>
      <c r="Q351" s="81"/>
      <c r="R351" s="38" t="s">
        <v>48</v>
      </c>
      <c r="S351" s="38" t="s">
        <v>48</v>
      </c>
      <c r="T351" s="39" t="s">
        <v>0</v>
      </c>
      <c r="U351" s="57">
        <v>0</v>
      </c>
      <c r="V351" s="54">
        <f>IFERROR(IF(U351="",0,CEILING((U351/$H351),1)*$H351),"")</f>
        <v>0</v>
      </c>
      <c r="W351" s="40" t="str">
        <f>IFERROR(IF(V351=0,"",ROUNDUP(V351/H351,0)*0.00502),"")</f>
        <v/>
      </c>
      <c r="X351" s="66" t="s">
        <v>48</v>
      </c>
      <c r="Y351" s="67" t="s">
        <v>48</v>
      </c>
    </row>
    <row r="352" spans="1:25" ht="27" customHeight="1" x14ac:dyDescent="0.25">
      <c r="A352" s="61" t="s">
        <v>650</v>
      </c>
      <c r="B352" s="61" t="s">
        <v>651</v>
      </c>
      <c r="C352" s="35">
        <v>4301031103</v>
      </c>
      <c r="D352" s="78">
        <v>4680115881983</v>
      </c>
      <c r="E352" s="78"/>
      <c r="F352" s="60">
        <v>0.28000000000000003</v>
      </c>
      <c r="G352" s="36">
        <v>4</v>
      </c>
      <c r="H352" s="60">
        <v>1.1200000000000001</v>
      </c>
      <c r="I352" s="60">
        <v>1.252</v>
      </c>
      <c r="J352" s="36">
        <v>234</v>
      </c>
      <c r="K352" s="37" t="s">
        <v>77</v>
      </c>
      <c r="L352" s="36">
        <v>40</v>
      </c>
      <c r="M352" s="79" t="s">
        <v>652</v>
      </c>
      <c r="N352" s="80"/>
      <c r="O352" s="80"/>
      <c r="P352" s="80"/>
      <c r="Q352" s="81"/>
      <c r="R352" s="38" t="s">
        <v>48</v>
      </c>
      <c r="S352" s="38" t="s">
        <v>48</v>
      </c>
      <c r="T352" s="39" t="s">
        <v>0</v>
      </c>
      <c r="U352" s="57">
        <v>0</v>
      </c>
      <c r="V352" s="54">
        <f>IFERROR(IF(U352="",0,CEILING((U352/$H352),1)*$H352),"")</f>
        <v>0</v>
      </c>
      <c r="W352" s="40" t="str">
        <f>IFERROR(IF(V352=0,"",ROUNDUP(V352/H352,0)*0.00502),"")</f>
        <v/>
      </c>
      <c r="X352" s="66" t="s">
        <v>48</v>
      </c>
      <c r="Y352" s="67" t="s">
        <v>48</v>
      </c>
    </row>
    <row r="353" spans="1:25" x14ac:dyDescent="0.2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85"/>
      <c r="M353" s="82" t="s">
        <v>43</v>
      </c>
      <c r="N353" s="83"/>
      <c r="O353" s="83"/>
      <c r="P353" s="83"/>
      <c r="Q353" s="83"/>
      <c r="R353" s="83"/>
      <c r="S353" s="84"/>
      <c r="T353" s="41" t="s">
        <v>42</v>
      </c>
      <c r="U353" s="42">
        <f>IFERROR(U348/H348,"0")+IFERROR(U349/H349,"0")+IFERROR(U350/H350,"0")+IFERROR(U351/H351,"0")+IFERROR(U352/H352,"0")</f>
        <v>0</v>
      </c>
      <c r="V353" s="42">
        <f>IFERROR(V348/H348,"0")+IFERROR(V349/H349,"0")+IFERROR(V350/H350,"0")+IFERROR(V351/H351,"0")+IFERROR(V352/H352,"0")</f>
        <v>0</v>
      </c>
      <c r="W353" s="42">
        <f>IFERROR(IF(W348="",0,W348),"0")+IFERROR(IF(W349="",0,W349),"0")+IFERROR(IF(W350="",0,W350),"0")+IFERROR(IF(W351="",0,W351),"0")+IFERROR(IF(W352="",0,W352),"0")</f>
        <v>0</v>
      </c>
      <c r="X353" s="65"/>
      <c r="Y353" s="65"/>
    </row>
    <row r="354" spans="1:25" x14ac:dyDescent="0.2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85"/>
      <c r="M354" s="82" t="s">
        <v>43</v>
      </c>
      <c r="N354" s="83"/>
      <c r="O354" s="83"/>
      <c r="P354" s="83"/>
      <c r="Q354" s="83"/>
      <c r="R354" s="83"/>
      <c r="S354" s="84"/>
      <c r="T354" s="41" t="s">
        <v>0</v>
      </c>
      <c r="U354" s="42">
        <f>IFERROR(SUM(U348:U352),"0")</f>
        <v>0</v>
      </c>
      <c r="V354" s="42">
        <f>IFERROR(SUM(V348:V352),"0")</f>
        <v>0</v>
      </c>
      <c r="W354" s="41"/>
      <c r="X354" s="65"/>
      <c r="Y354" s="65"/>
    </row>
    <row r="355" spans="1:25" ht="27.75" customHeight="1" x14ac:dyDescent="0.2">
      <c r="A355" s="86" t="s">
        <v>653</v>
      </c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53"/>
      <c r="Y355" s="53"/>
    </row>
    <row r="356" spans="1:25" ht="16.5" customHeight="1" x14ac:dyDescent="0.25">
      <c r="A356" s="87" t="s">
        <v>653</v>
      </c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63"/>
      <c r="Y356" s="63"/>
    </row>
    <row r="357" spans="1:25" ht="14.25" customHeight="1" x14ac:dyDescent="0.25">
      <c r="A357" s="77" t="s">
        <v>126</v>
      </c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64"/>
      <c r="Y357" s="64"/>
    </row>
    <row r="358" spans="1:25" ht="27" customHeight="1" x14ac:dyDescent="0.25">
      <c r="A358" s="61" t="s">
        <v>654</v>
      </c>
      <c r="B358" s="61" t="s">
        <v>655</v>
      </c>
      <c r="C358" s="35">
        <v>4301011371</v>
      </c>
      <c r="D358" s="78">
        <v>4607091389067</v>
      </c>
      <c r="E358" s="78"/>
      <c r="F358" s="60">
        <v>0.85</v>
      </c>
      <c r="G358" s="36">
        <v>6</v>
      </c>
      <c r="H358" s="60">
        <v>5.0999999999999996</v>
      </c>
      <c r="I358" s="60">
        <v>5.46</v>
      </c>
      <c r="J358" s="36">
        <v>104</v>
      </c>
      <c r="K358" s="37" t="s">
        <v>157</v>
      </c>
      <c r="L358" s="36">
        <v>55</v>
      </c>
      <c r="M358" s="79" t="s">
        <v>656</v>
      </c>
      <c r="N358" s="80"/>
      <c r="O358" s="80"/>
      <c r="P358" s="80"/>
      <c r="Q358" s="81"/>
      <c r="R358" s="38" t="s">
        <v>48</v>
      </c>
      <c r="S358" s="38" t="s">
        <v>48</v>
      </c>
      <c r="T358" s="39" t="s">
        <v>0</v>
      </c>
      <c r="U358" s="57">
        <v>0</v>
      </c>
      <c r="V358" s="54">
        <f t="shared" ref="V358:V363" si="15">IFERROR(IF(U358="",0,CEILING((U358/$H358),1)*$H358),"")</f>
        <v>0</v>
      </c>
      <c r="W358" s="40" t="str">
        <f>IFERROR(IF(V358=0,"",ROUNDUP(V358/H358,0)*0.01196),"")</f>
        <v/>
      </c>
      <c r="X358" s="66" t="s">
        <v>48</v>
      </c>
      <c r="Y358" s="67" t="s">
        <v>48</v>
      </c>
    </row>
    <row r="359" spans="1:25" ht="27" customHeight="1" x14ac:dyDescent="0.25">
      <c r="A359" s="61" t="s">
        <v>657</v>
      </c>
      <c r="B359" s="61" t="s">
        <v>658</v>
      </c>
      <c r="C359" s="35">
        <v>4301011363</v>
      </c>
      <c r="D359" s="78">
        <v>4607091383522</v>
      </c>
      <c r="E359" s="78"/>
      <c r="F359" s="60">
        <v>0.85</v>
      </c>
      <c r="G359" s="36">
        <v>6</v>
      </c>
      <c r="H359" s="60">
        <v>5.0999999999999996</v>
      </c>
      <c r="I359" s="60">
        <v>5.46</v>
      </c>
      <c r="J359" s="36">
        <v>104</v>
      </c>
      <c r="K359" s="37" t="s">
        <v>121</v>
      </c>
      <c r="L359" s="36">
        <v>55</v>
      </c>
      <c r="M359" s="79" t="s">
        <v>659</v>
      </c>
      <c r="N359" s="80"/>
      <c r="O359" s="80"/>
      <c r="P359" s="80"/>
      <c r="Q359" s="81"/>
      <c r="R359" s="38" t="s">
        <v>48</v>
      </c>
      <c r="S359" s="38" t="s">
        <v>48</v>
      </c>
      <c r="T359" s="39" t="s">
        <v>0</v>
      </c>
      <c r="U359" s="57">
        <v>0</v>
      </c>
      <c r="V359" s="54">
        <f t="shared" si="15"/>
        <v>0</v>
      </c>
      <c r="W359" s="40" t="str">
        <f>IFERROR(IF(V359=0,"",ROUNDUP(V359/H359,0)*0.01196),"")</f>
        <v/>
      </c>
      <c r="X359" s="66" t="s">
        <v>48</v>
      </c>
      <c r="Y359" s="67" t="s">
        <v>48</v>
      </c>
    </row>
    <row r="360" spans="1:25" ht="27" customHeight="1" x14ac:dyDescent="0.25">
      <c r="A360" s="61" t="s">
        <v>660</v>
      </c>
      <c r="B360" s="61" t="s">
        <v>661</v>
      </c>
      <c r="C360" s="35">
        <v>4301011431</v>
      </c>
      <c r="D360" s="78">
        <v>4607091384437</v>
      </c>
      <c r="E360" s="78"/>
      <c r="F360" s="60">
        <v>0.85</v>
      </c>
      <c r="G360" s="36">
        <v>6</v>
      </c>
      <c r="H360" s="60">
        <v>5.0999999999999996</v>
      </c>
      <c r="I360" s="60">
        <v>5.46</v>
      </c>
      <c r="J360" s="36">
        <v>104</v>
      </c>
      <c r="K360" s="37" t="s">
        <v>121</v>
      </c>
      <c r="L360" s="36">
        <v>50</v>
      </c>
      <c r="M360" s="79" t="s">
        <v>662</v>
      </c>
      <c r="N360" s="80"/>
      <c r="O360" s="80"/>
      <c r="P360" s="80"/>
      <c r="Q360" s="81"/>
      <c r="R360" s="38" t="s">
        <v>48</v>
      </c>
      <c r="S360" s="38" t="s">
        <v>48</v>
      </c>
      <c r="T360" s="39" t="s">
        <v>0</v>
      </c>
      <c r="U360" s="57">
        <v>0</v>
      </c>
      <c r="V360" s="54">
        <f t="shared" si="15"/>
        <v>0</v>
      </c>
      <c r="W360" s="40" t="str">
        <f>IFERROR(IF(V360=0,"",ROUNDUP(V360/H360,0)*0.01196),"")</f>
        <v/>
      </c>
      <c r="X360" s="66" t="s">
        <v>48</v>
      </c>
      <c r="Y360" s="67" t="s">
        <v>48</v>
      </c>
    </row>
    <row r="361" spans="1:25" ht="27" customHeight="1" x14ac:dyDescent="0.25">
      <c r="A361" s="61" t="s">
        <v>663</v>
      </c>
      <c r="B361" s="61" t="s">
        <v>664</v>
      </c>
      <c r="C361" s="35">
        <v>4301011365</v>
      </c>
      <c r="D361" s="78">
        <v>4607091389104</v>
      </c>
      <c r="E361" s="78"/>
      <c r="F361" s="60">
        <v>0.85</v>
      </c>
      <c r="G361" s="36">
        <v>6</v>
      </c>
      <c r="H361" s="60">
        <v>5.0999999999999996</v>
      </c>
      <c r="I361" s="60">
        <v>5.46</v>
      </c>
      <c r="J361" s="36">
        <v>104</v>
      </c>
      <c r="K361" s="37" t="s">
        <v>121</v>
      </c>
      <c r="L361" s="36">
        <v>55</v>
      </c>
      <c r="M361" s="79" t="s">
        <v>665</v>
      </c>
      <c r="N361" s="80"/>
      <c r="O361" s="80"/>
      <c r="P361" s="80"/>
      <c r="Q361" s="81"/>
      <c r="R361" s="38" t="s">
        <v>48</v>
      </c>
      <c r="S361" s="38" t="s">
        <v>48</v>
      </c>
      <c r="T361" s="39" t="s">
        <v>0</v>
      </c>
      <c r="U361" s="57">
        <v>0</v>
      </c>
      <c r="V361" s="54">
        <f t="shared" si="15"/>
        <v>0</v>
      </c>
      <c r="W361" s="40" t="str">
        <f>IFERROR(IF(V361=0,"",ROUNDUP(V361/H361,0)*0.01196),"")</f>
        <v/>
      </c>
      <c r="X361" s="66" t="s">
        <v>48</v>
      </c>
      <c r="Y361" s="67" t="s">
        <v>48</v>
      </c>
    </row>
    <row r="362" spans="1:25" ht="27" customHeight="1" x14ac:dyDescent="0.25">
      <c r="A362" s="61" t="s">
        <v>666</v>
      </c>
      <c r="B362" s="61" t="s">
        <v>667</v>
      </c>
      <c r="C362" s="35">
        <v>4301011142</v>
      </c>
      <c r="D362" s="78">
        <v>4607091389036</v>
      </c>
      <c r="E362" s="78"/>
      <c r="F362" s="60">
        <v>0.4</v>
      </c>
      <c r="G362" s="36">
        <v>6</v>
      </c>
      <c r="H362" s="60">
        <v>2.4</v>
      </c>
      <c r="I362" s="60">
        <v>2.6</v>
      </c>
      <c r="J362" s="36">
        <v>156</v>
      </c>
      <c r="K362" s="37" t="s">
        <v>157</v>
      </c>
      <c r="L362" s="36">
        <v>50</v>
      </c>
      <c r="M362" s="79" t="s">
        <v>668</v>
      </c>
      <c r="N362" s="80"/>
      <c r="O362" s="80"/>
      <c r="P362" s="80"/>
      <c r="Q362" s="81"/>
      <c r="R362" s="38" t="s">
        <v>48</v>
      </c>
      <c r="S362" s="38" t="s">
        <v>48</v>
      </c>
      <c r="T362" s="39" t="s">
        <v>0</v>
      </c>
      <c r="U362" s="57">
        <v>2</v>
      </c>
      <c r="V362" s="54">
        <f t="shared" si="15"/>
        <v>2.4</v>
      </c>
      <c r="W362" s="40">
        <f>IFERROR(IF(V362=0,"",ROUNDUP(V362/H362,0)*0.00753),"")</f>
        <v>7.5300000000000002E-3</v>
      </c>
      <c r="X362" s="66" t="s">
        <v>48</v>
      </c>
      <c r="Y362" s="67" t="s">
        <v>48</v>
      </c>
    </row>
    <row r="363" spans="1:25" ht="27" customHeight="1" x14ac:dyDescent="0.25">
      <c r="A363" s="61" t="s">
        <v>669</v>
      </c>
      <c r="B363" s="61" t="s">
        <v>670</v>
      </c>
      <c r="C363" s="35">
        <v>4301011190</v>
      </c>
      <c r="D363" s="78">
        <v>4607091389098</v>
      </c>
      <c r="E363" s="78"/>
      <c r="F363" s="60">
        <v>0.4</v>
      </c>
      <c r="G363" s="36">
        <v>6</v>
      </c>
      <c r="H363" s="60">
        <v>2.4</v>
      </c>
      <c r="I363" s="60">
        <v>2.6</v>
      </c>
      <c r="J363" s="36">
        <v>156</v>
      </c>
      <c r="K363" s="37" t="s">
        <v>157</v>
      </c>
      <c r="L363" s="36">
        <v>50</v>
      </c>
      <c r="M363" s="79" t="s">
        <v>671</v>
      </c>
      <c r="N363" s="80"/>
      <c r="O363" s="80"/>
      <c r="P363" s="80"/>
      <c r="Q363" s="81"/>
      <c r="R363" s="38" t="s">
        <v>48</v>
      </c>
      <c r="S363" s="38" t="s">
        <v>48</v>
      </c>
      <c r="T363" s="39" t="s">
        <v>0</v>
      </c>
      <c r="U363" s="57">
        <v>2</v>
      </c>
      <c r="V363" s="54">
        <f t="shared" si="15"/>
        <v>2.4</v>
      </c>
      <c r="W363" s="40">
        <f>IFERROR(IF(V363=0,"",ROUNDUP(V363/H363,0)*0.00753),"")</f>
        <v>7.5300000000000002E-3</v>
      </c>
      <c r="X363" s="66" t="s">
        <v>48</v>
      </c>
      <c r="Y363" s="67" t="s">
        <v>48</v>
      </c>
    </row>
    <row r="364" spans="1:25" x14ac:dyDescent="0.2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85"/>
      <c r="M364" s="82" t="s">
        <v>43</v>
      </c>
      <c r="N364" s="83"/>
      <c r="O364" s="83"/>
      <c r="P364" s="83"/>
      <c r="Q364" s="83"/>
      <c r="R364" s="83"/>
      <c r="S364" s="84"/>
      <c r="T364" s="41" t="s">
        <v>42</v>
      </c>
      <c r="U364" s="42">
        <f>IFERROR(U358/H358,"0")+IFERROR(U359/H359,"0")+IFERROR(U360/H360,"0")+IFERROR(U361/H361,"0")+IFERROR(U362/H362,"0")+IFERROR(U363/H363,"0")</f>
        <v>1.6666666666666667</v>
      </c>
      <c r="V364" s="42">
        <f>IFERROR(V358/H358,"0")+IFERROR(V359/H359,"0")+IFERROR(V360/H360,"0")+IFERROR(V361/H361,"0")+IFERROR(V362/H362,"0")+IFERROR(V363/H363,"0")</f>
        <v>2</v>
      </c>
      <c r="W364" s="42">
        <f>IFERROR(IF(W358="",0,W358),"0")+IFERROR(IF(W359="",0,W359),"0")+IFERROR(IF(W360="",0,W360),"0")+IFERROR(IF(W361="",0,W361),"0")+IFERROR(IF(W362="",0,W362),"0")+IFERROR(IF(W363="",0,W363),"0")</f>
        <v>1.506E-2</v>
      </c>
      <c r="X364" s="65"/>
      <c r="Y364" s="65"/>
    </row>
    <row r="365" spans="1:25" x14ac:dyDescent="0.2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85"/>
      <c r="M365" s="82" t="s">
        <v>43</v>
      </c>
      <c r="N365" s="83"/>
      <c r="O365" s="83"/>
      <c r="P365" s="83"/>
      <c r="Q365" s="83"/>
      <c r="R365" s="83"/>
      <c r="S365" s="84"/>
      <c r="T365" s="41" t="s">
        <v>0</v>
      </c>
      <c r="U365" s="42">
        <f>IFERROR(SUM(U358:U363),"0")</f>
        <v>4</v>
      </c>
      <c r="V365" s="42">
        <f>IFERROR(SUM(V358:V363),"0")</f>
        <v>4.8</v>
      </c>
      <c r="W365" s="41"/>
      <c r="X365" s="65"/>
      <c r="Y365" s="65"/>
    </row>
    <row r="366" spans="1:25" ht="14.25" customHeight="1" x14ac:dyDescent="0.25">
      <c r="A366" s="77" t="s">
        <v>117</v>
      </c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64"/>
      <c r="Y366" s="64"/>
    </row>
    <row r="367" spans="1:25" ht="16.5" customHeight="1" x14ac:dyDescent="0.25">
      <c r="A367" s="61" t="s">
        <v>672</v>
      </c>
      <c r="B367" s="61" t="s">
        <v>673</v>
      </c>
      <c r="C367" s="35">
        <v>4301020222</v>
      </c>
      <c r="D367" s="78">
        <v>4607091388930</v>
      </c>
      <c r="E367" s="78"/>
      <c r="F367" s="60">
        <v>0.85</v>
      </c>
      <c r="G367" s="36">
        <v>6</v>
      </c>
      <c r="H367" s="60">
        <v>5.0999999999999996</v>
      </c>
      <c r="I367" s="60">
        <v>5.46</v>
      </c>
      <c r="J367" s="36">
        <v>104</v>
      </c>
      <c r="K367" s="37" t="s">
        <v>121</v>
      </c>
      <c r="L367" s="36">
        <v>55</v>
      </c>
      <c r="M367" s="79" t="s">
        <v>674</v>
      </c>
      <c r="N367" s="80"/>
      <c r="O367" s="80"/>
      <c r="P367" s="80"/>
      <c r="Q367" s="81"/>
      <c r="R367" s="38" t="s">
        <v>48</v>
      </c>
      <c r="S367" s="38" t="s">
        <v>48</v>
      </c>
      <c r="T367" s="39" t="s">
        <v>0</v>
      </c>
      <c r="U367" s="57">
        <v>0</v>
      </c>
      <c r="V367" s="54">
        <f>IFERROR(IF(U367="",0,CEILING((U367/$H367),1)*$H367),"")</f>
        <v>0</v>
      </c>
      <c r="W367" s="40" t="str">
        <f>IFERROR(IF(V367=0,"",ROUNDUP(V367/H367,0)*0.01196),"")</f>
        <v/>
      </c>
      <c r="X367" s="66" t="s">
        <v>48</v>
      </c>
      <c r="Y367" s="67" t="s">
        <v>48</v>
      </c>
    </row>
    <row r="368" spans="1:25" x14ac:dyDescent="0.2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85"/>
      <c r="M368" s="82" t="s">
        <v>43</v>
      </c>
      <c r="N368" s="83"/>
      <c r="O368" s="83"/>
      <c r="P368" s="83"/>
      <c r="Q368" s="83"/>
      <c r="R368" s="83"/>
      <c r="S368" s="84"/>
      <c r="T368" s="41" t="s">
        <v>42</v>
      </c>
      <c r="U368" s="42">
        <f>IFERROR(U367/H367,"0")</f>
        <v>0</v>
      </c>
      <c r="V368" s="42">
        <f>IFERROR(V367/H367,"0")</f>
        <v>0</v>
      </c>
      <c r="W368" s="42">
        <f>IFERROR(IF(W367="",0,W367),"0")</f>
        <v>0</v>
      </c>
      <c r="X368" s="65"/>
      <c r="Y368" s="65"/>
    </row>
    <row r="369" spans="1:25" x14ac:dyDescent="0.2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85"/>
      <c r="M369" s="82" t="s">
        <v>43</v>
      </c>
      <c r="N369" s="83"/>
      <c r="O369" s="83"/>
      <c r="P369" s="83"/>
      <c r="Q369" s="83"/>
      <c r="R369" s="83"/>
      <c r="S369" s="84"/>
      <c r="T369" s="41" t="s">
        <v>0</v>
      </c>
      <c r="U369" s="42">
        <f>IFERROR(SUM(U367:U367),"0")</f>
        <v>0</v>
      </c>
      <c r="V369" s="42">
        <f>IFERROR(SUM(V367:V367),"0")</f>
        <v>0</v>
      </c>
      <c r="W369" s="41"/>
      <c r="X369" s="65"/>
      <c r="Y369" s="65"/>
    </row>
    <row r="370" spans="1:25" ht="14.25" customHeight="1" x14ac:dyDescent="0.25">
      <c r="A370" s="77" t="s">
        <v>73</v>
      </c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64"/>
      <c r="Y370" s="64"/>
    </row>
    <row r="371" spans="1:25" ht="27" customHeight="1" x14ac:dyDescent="0.25">
      <c r="A371" s="61" t="s">
        <v>675</v>
      </c>
      <c r="B371" s="61" t="s">
        <v>676</v>
      </c>
      <c r="C371" s="35">
        <v>4301031198</v>
      </c>
      <c r="D371" s="78">
        <v>4607091383348</v>
      </c>
      <c r="E371" s="78"/>
      <c r="F371" s="60">
        <v>0.85</v>
      </c>
      <c r="G371" s="36">
        <v>6</v>
      </c>
      <c r="H371" s="60">
        <v>5.0999999999999996</v>
      </c>
      <c r="I371" s="60">
        <v>5.46</v>
      </c>
      <c r="J371" s="36">
        <v>104</v>
      </c>
      <c r="K371" s="37" t="s">
        <v>121</v>
      </c>
      <c r="L371" s="36">
        <v>55</v>
      </c>
      <c r="M371" s="79" t="s">
        <v>677</v>
      </c>
      <c r="N371" s="80"/>
      <c r="O371" s="80"/>
      <c r="P371" s="80"/>
      <c r="Q371" s="81"/>
      <c r="R371" s="38" t="s">
        <v>48</v>
      </c>
      <c r="S371" s="38" t="s">
        <v>48</v>
      </c>
      <c r="T371" s="39" t="s">
        <v>0</v>
      </c>
      <c r="U371" s="57">
        <v>5</v>
      </c>
      <c r="V371" s="54">
        <f>IFERROR(IF(U371="",0,CEILING((U371/$H371),1)*$H371),"")</f>
        <v>5.0999999999999996</v>
      </c>
      <c r="W371" s="40">
        <f>IFERROR(IF(V371=0,"",ROUNDUP(V371/H371,0)*0.01196),"")</f>
        <v>1.196E-2</v>
      </c>
      <c r="X371" s="66" t="s">
        <v>48</v>
      </c>
      <c r="Y371" s="67" t="s">
        <v>48</v>
      </c>
    </row>
    <row r="372" spans="1:25" ht="27" customHeight="1" x14ac:dyDescent="0.25">
      <c r="A372" s="61" t="s">
        <v>678</v>
      </c>
      <c r="B372" s="61" t="s">
        <v>679</v>
      </c>
      <c r="C372" s="35">
        <v>4301031188</v>
      </c>
      <c r="D372" s="78">
        <v>4607091383386</v>
      </c>
      <c r="E372" s="78"/>
      <c r="F372" s="60">
        <v>0.85</v>
      </c>
      <c r="G372" s="36">
        <v>6</v>
      </c>
      <c r="H372" s="60">
        <v>5.0999999999999996</v>
      </c>
      <c r="I372" s="60">
        <v>5.46</v>
      </c>
      <c r="J372" s="36">
        <v>104</v>
      </c>
      <c r="K372" s="37" t="s">
        <v>77</v>
      </c>
      <c r="L372" s="36">
        <v>55</v>
      </c>
      <c r="M372" s="79" t="s">
        <v>680</v>
      </c>
      <c r="N372" s="80"/>
      <c r="O372" s="80"/>
      <c r="P372" s="80"/>
      <c r="Q372" s="81"/>
      <c r="R372" s="38" t="s">
        <v>48</v>
      </c>
      <c r="S372" s="38" t="s">
        <v>48</v>
      </c>
      <c r="T372" s="39" t="s">
        <v>0</v>
      </c>
      <c r="U372" s="57">
        <v>5</v>
      </c>
      <c r="V372" s="54">
        <f>IFERROR(IF(U372="",0,CEILING((U372/$H372),1)*$H372),"")</f>
        <v>5.0999999999999996</v>
      </c>
      <c r="W372" s="40">
        <f>IFERROR(IF(V372=0,"",ROUNDUP(V372/H372,0)*0.01196),"")</f>
        <v>1.196E-2</v>
      </c>
      <c r="X372" s="66" t="s">
        <v>48</v>
      </c>
      <c r="Y372" s="67" t="s">
        <v>48</v>
      </c>
    </row>
    <row r="373" spans="1:25" ht="27" customHeight="1" x14ac:dyDescent="0.25">
      <c r="A373" s="61" t="s">
        <v>681</v>
      </c>
      <c r="B373" s="61" t="s">
        <v>682</v>
      </c>
      <c r="C373" s="35">
        <v>4301031189</v>
      </c>
      <c r="D373" s="78">
        <v>4607091383355</v>
      </c>
      <c r="E373" s="78"/>
      <c r="F373" s="60">
        <v>0.85</v>
      </c>
      <c r="G373" s="36">
        <v>6</v>
      </c>
      <c r="H373" s="60">
        <v>5.0999999999999996</v>
      </c>
      <c r="I373" s="60">
        <v>5.46</v>
      </c>
      <c r="J373" s="36">
        <v>104</v>
      </c>
      <c r="K373" s="37" t="s">
        <v>77</v>
      </c>
      <c r="L373" s="36">
        <v>55</v>
      </c>
      <c r="M373" s="79" t="s">
        <v>683</v>
      </c>
      <c r="N373" s="80"/>
      <c r="O373" s="80"/>
      <c r="P373" s="80"/>
      <c r="Q373" s="81"/>
      <c r="R373" s="38" t="s">
        <v>48</v>
      </c>
      <c r="S373" s="38" t="s">
        <v>48</v>
      </c>
      <c r="T373" s="39" t="s">
        <v>0</v>
      </c>
      <c r="U373" s="57">
        <v>5</v>
      </c>
      <c r="V373" s="54">
        <f>IFERROR(IF(U373="",0,CEILING((U373/$H373),1)*$H373),"")</f>
        <v>5.0999999999999996</v>
      </c>
      <c r="W373" s="40">
        <f>IFERROR(IF(V373=0,"",ROUNDUP(V373/H373,0)*0.01196),"")</f>
        <v>1.196E-2</v>
      </c>
      <c r="X373" s="66" t="s">
        <v>48</v>
      </c>
      <c r="Y373" s="67" t="s">
        <v>48</v>
      </c>
    </row>
    <row r="374" spans="1:25" x14ac:dyDescent="0.2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85"/>
      <c r="M374" s="82" t="s">
        <v>43</v>
      </c>
      <c r="N374" s="83"/>
      <c r="O374" s="83"/>
      <c r="P374" s="83"/>
      <c r="Q374" s="83"/>
      <c r="R374" s="83"/>
      <c r="S374" s="84"/>
      <c r="T374" s="41" t="s">
        <v>42</v>
      </c>
      <c r="U374" s="42">
        <f>IFERROR(U371/H371,"0")+IFERROR(U372/H372,"0")+IFERROR(U373/H373,"0")</f>
        <v>2.9411764705882355</v>
      </c>
      <c r="V374" s="42">
        <f>IFERROR(V371/H371,"0")+IFERROR(V372/H372,"0")+IFERROR(V373/H373,"0")</f>
        <v>3</v>
      </c>
      <c r="W374" s="42">
        <f>IFERROR(IF(W371="",0,W371),"0")+IFERROR(IF(W372="",0,W372),"0")+IFERROR(IF(W373="",0,W373),"0")</f>
        <v>3.5880000000000002E-2</v>
      </c>
      <c r="X374" s="65"/>
      <c r="Y374" s="65"/>
    </row>
    <row r="375" spans="1:25" x14ac:dyDescent="0.2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85"/>
      <c r="M375" s="82" t="s">
        <v>43</v>
      </c>
      <c r="N375" s="83"/>
      <c r="O375" s="83"/>
      <c r="P375" s="83"/>
      <c r="Q375" s="83"/>
      <c r="R375" s="83"/>
      <c r="S375" s="84"/>
      <c r="T375" s="41" t="s">
        <v>0</v>
      </c>
      <c r="U375" s="42">
        <f>IFERROR(SUM(U371:U373),"0")</f>
        <v>15</v>
      </c>
      <c r="V375" s="42">
        <f>IFERROR(SUM(V371:V373),"0")</f>
        <v>15.299999999999999</v>
      </c>
      <c r="W375" s="41"/>
      <c r="X375" s="65"/>
      <c r="Y375" s="65"/>
    </row>
    <row r="376" spans="1:25" ht="14.25" customHeight="1" x14ac:dyDescent="0.25">
      <c r="A376" s="77" t="s">
        <v>78</v>
      </c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64"/>
      <c r="Y376" s="64"/>
    </row>
    <row r="377" spans="1:25" ht="16.5" customHeight="1" x14ac:dyDescent="0.25">
      <c r="A377" s="61" t="s">
        <v>684</v>
      </c>
      <c r="B377" s="61" t="s">
        <v>685</v>
      </c>
      <c r="C377" s="35">
        <v>4301051230</v>
      </c>
      <c r="D377" s="78">
        <v>4607091383409</v>
      </c>
      <c r="E377" s="78"/>
      <c r="F377" s="60">
        <v>1.3</v>
      </c>
      <c r="G377" s="36">
        <v>6</v>
      </c>
      <c r="H377" s="60">
        <v>7.8</v>
      </c>
      <c r="I377" s="60">
        <v>8.3460000000000001</v>
      </c>
      <c r="J377" s="36">
        <v>56</v>
      </c>
      <c r="K377" s="37" t="s">
        <v>77</v>
      </c>
      <c r="L377" s="36">
        <v>45</v>
      </c>
      <c r="M377" s="79" t="s">
        <v>686</v>
      </c>
      <c r="N377" s="80"/>
      <c r="O377" s="80"/>
      <c r="P377" s="80"/>
      <c r="Q377" s="81"/>
      <c r="R377" s="38" t="s">
        <v>48</v>
      </c>
      <c r="S377" s="38" t="s">
        <v>48</v>
      </c>
      <c r="T377" s="39" t="s">
        <v>0</v>
      </c>
      <c r="U377" s="57">
        <v>0</v>
      </c>
      <c r="V377" s="54">
        <f>IFERROR(IF(U377="",0,CEILING((U377/$H377),1)*$H377),"")</f>
        <v>0</v>
      </c>
      <c r="W377" s="40" t="str">
        <f>IFERROR(IF(V377=0,"",ROUNDUP(V377/H377,0)*0.02175),"")</f>
        <v/>
      </c>
      <c r="X377" s="66" t="s">
        <v>48</v>
      </c>
      <c r="Y377" s="67" t="s">
        <v>48</v>
      </c>
    </row>
    <row r="378" spans="1:25" ht="16.5" customHeight="1" x14ac:dyDescent="0.25">
      <c r="A378" s="61" t="s">
        <v>687</v>
      </c>
      <c r="B378" s="61" t="s">
        <v>688</v>
      </c>
      <c r="C378" s="35">
        <v>4301051231</v>
      </c>
      <c r="D378" s="78">
        <v>4607091383416</v>
      </c>
      <c r="E378" s="78"/>
      <c r="F378" s="60">
        <v>1.3</v>
      </c>
      <c r="G378" s="36">
        <v>6</v>
      </c>
      <c r="H378" s="60">
        <v>7.8</v>
      </c>
      <c r="I378" s="60">
        <v>8.3460000000000001</v>
      </c>
      <c r="J378" s="36">
        <v>56</v>
      </c>
      <c r="K378" s="37" t="s">
        <v>77</v>
      </c>
      <c r="L378" s="36">
        <v>45</v>
      </c>
      <c r="M378" s="79" t="s">
        <v>689</v>
      </c>
      <c r="N378" s="80"/>
      <c r="O378" s="80"/>
      <c r="P378" s="80"/>
      <c r="Q378" s="81"/>
      <c r="R378" s="38" t="s">
        <v>48</v>
      </c>
      <c r="S378" s="38" t="s">
        <v>48</v>
      </c>
      <c r="T378" s="39" t="s">
        <v>0</v>
      </c>
      <c r="U378" s="57">
        <v>0</v>
      </c>
      <c r="V378" s="54">
        <f>IFERROR(IF(U378="",0,CEILING((U378/$H378),1)*$H378),"")</f>
        <v>0</v>
      </c>
      <c r="W378" s="40" t="str">
        <f>IFERROR(IF(V378=0,"",ROUNDUP(V378/H378,0)*0.02175),"")</f>
        <v/>
      </c>
      <c r="X378" s="66" t="s">
        <v>48</v>
      </c>
      <c r="Y378" s="67" t="s">
        <v>48</v>
      </c>
    </row>
    <row r="379" spans="1:25" x14ac:dyDescent="0.2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85"/>
      <c r="M379" s="82" t="s">
        <v>43</v>
      </c>
      <c r="N379" s="83"/>
      <c r="O379" s="83"/>
      <c r="P379" s="83"/>
      <c r="Q379" s="83"/>
      <c r="R379" s="83"/>
      <c r="S379" s="84"/>
      <c r="T379" s="41" t="s">
        <v>42</v>
      </c>
      <c r="U379" s="42">
        <f>IFERROR(U377/H377,"0")+IFERROR(U378/H378,"0")</f>
        <v>0</v>
      </c>
      <c r="V379" s="42">
        <f>IFERROR(V377/H377,"0")+IFERROR(V378/H378,"0")</f>
        <v>0</v>
      </c>
      <c r="W379" s="42">
        <f>IFERROR(IF(W377="",0,W377),"0")+IFERROR(IF(W378="",0,W378),"0")</f>
        <v>0</v>
      </c>
      <c r="X379" s="65"/>
      <c r="Y379" s="65"/>
    </row>
    <row r="380" spans="1:25" x14ac:dyDescent="0.2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85"/>
      <c r="M380" s="82" t="s">
        <v>43</v>
      </c>
      <c r="N380" s="83"/>
      <c r="O380" s="83"/>
      <c r="P380" s="83"/>
      <c r="Q380" s="83"/>
      <c r="R380" s="83"/>
      <c r="S380" s="84"/>
      <c r="T380" s="41" t="s">
        <v>0</v>
      </c>
      <c r="U380" s="42">
        <f>IFERROR(SUM(U377:U378),"0")</f>
        <v>0</v>
      </c>
      <c r="V380" s="42">
        <f>IFERROR(SUM(V377:V378),"0")</f>
        <v>0</v>
      </c>
      <c r="W380" s="41"/>
      <c r="X380" s="65"/>
      <c r="Y380" s="65"/>
    </row>
    <row r="381" spans="1:25" ht="27.75" customHeight="1" x14ac:dyDescent="0.2">
      <c r="A381" s="86" t="s">
        <v>690</v>
      </c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53"/>
      <c r="Y381" s="53"/>
    </row>
    <row r="382" spans="1:25" ht="16.5" customHeight="1" x14ac:dyDescent="0.25">
      <c r="A382" s="87" t="s">
        <v>691</v>
      </c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63"/>
      <c r="Y382" s="63"/>
    </row>
    <row r="383" spans="1:25" ht="14.25" customHeight="1" x14ac:dyDescent="0.25">
      <c r="A383" s="77" t="s">
        <v>126</v>
      </c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64"/>
      <c r="Y383" s="64"/>
    </row>
    <row r="384" spans="1:25" ht="27" customHeight="1" x14ac:dyDescent="0.25">
      <c r="A384" s="61" t="s">
        <v>692</v>
      </c>
      <c r="B384" s="61" t="s">
        <v>693</v>
      </c>
      <c r="C384" s="35">
        <v>4301011434</v>
      </c>
      <c r="D384" s="78">
        <v>4680115881099</v>
      </c>
      <c r="E384" s="78"/>
      <c r="F384" s="60">
        <v>1.5</v>
      </c>
      <c r="G384" s="36">
        <v>8</v>
      </c>
      <c r="H384" s="60">
        <v>12</v>
      </c>
      <c r="I384" s="60">
        <v>12.48</v>
      </c>
      <c r="J384" s="36">
        <v>56</v>
      </c>
      <c r="K384" s="37" t="s">
        <v>121</v>
      </c>
      <c r="L384" s="36">
        <v>50</v>
      </c>
      <c r="M384" s="79" t="s">
        <v>694</v>
      </c>
      <c r="N384" s="80"/>
      <c r="O384" s="80"/>
      <c r="P384" s="80"/>
      <c r="Q384" s="81"/>
      <c r="R384" s="38" t="s">
        <v>48</v>
      </c>
      <c r="S384" s="38" t="s">
        <v>48</v>
      </c>
      <c r="T384" s="39" t="s">
        <v>0</v>
      </c>
      <c r="U384" s="57">
        <v>0</v>
      </c>
      <c r="V384" s="54">
        <f>IFERROR(IF(U384="",0,CEILING((U384/$H384),1)*$H384),"")</f>
        <v>0</v>
      </c>
      <c r="W384" s="40" t="str">
        <f>IFERROR(IF(V384=0,"",ROUNDUP(V384/H384,0)*0.02175),"")</f>
        <v/>
      </c>
      <c r="X384" s="66" t="s">
        <v>48</v>
      </c>
      <c r="Y384" s="67" t="s">
        <v>48</v>
      </c>
    </row>
    <row r="385" spans="1:25" ht="27" customHeight="1" x14ac:dyDescent="0.25">
      <c r="A385" s="61" t="s">
        <v>695</v>
      </c>
      <c r="B385" s="61" t="s">
        <v>696</v>
      </c>
      <c r="C385" s="35">
        <v>4301011435</v>
      </c>
      <c r="D385" s="78">
        <v>4680115881150</v>
      </c>
      <c r="E385" s="78"/>
      <c r="F385" s="60">
        <v>1.5</v>
      </c>
      <c r="G385" s="36">
        <v>8</v>
      </c>
      <c r="H385" s="60">
        <v>12</v>
      </c>
      <c r="I385" s="60">
        <v>12.48</v>
      </c>
      <c r="J385" s="36">
        <v>56</v>
      </c>
      <c r="K385" s="37" t="s">
        <v>121</v>
      </c>
      <c r="L385" s="36">
        <v>50</v>
      </c>
      <c r="M385" s="79" t="s">
        <v>697</v>
      </c>
      <c r="N385" s="80"/>
      <c r="O385" s="80"/>
      <c r="P385" s="80"/>
      <c r="Q385" s="81"/>
      <c r="R385" s="38" t="s">
        <v>48</v>
      </c>
      <c r="S385" s="38" t="s">
        <v>48</v>
      </c>
      <c r="T385" s="39" t="s">
        <v>0</v>
      </c>
      <c r="U385" s="57">
        <v>0</v>
      </c>
      <c r="V385" s="54">
        <f>IFERROR(IF(U385="",0,CEILING((U385/$H385),1)*$H385),"")</f>
        <v>0</v>
      </c>
      <c r="W385" s="40" t="str">
        <f>IFERROR(IF(V385=0,"",ROUNDUP(V385/H385,0)*0.02175),"")</f>
        <v/>
      </c>
      <c r="X385" s="66" t="s">
        <v>48</v>
      </c>
      <c r="Y385" s="67" t="s">
        <v>48</v>
      </c>
    </row>
    <row r="386" spans="1:25" x14ac:dyDescent="0.2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85"/>
      <c r="M386" s="82" t="s">
        <v>43</v>
      </c>
      <c r="N386" s="83"/>
      <c r="O386" s="83"/>
      <c r="P386" s="83"/>
      <c r="Q386" s="83"/>
      <c r="R386" s="83"/>
      <c r="S386" s="84"/>
      <c r="T386" s="41" t="s">
        <v>42</v>
      </c>
      <c r="U386" s="42">
        <f>IFERROR(U384/H384,"0")+IFERROR(U385/H385,"0")</f>
        <v>0</v>
      </c>
      <c r="V386" s="42">
        <f>IFERROR(V384/H384,"0")+IFERROR(V385/H385,"0")</f>
        <v>0</v>
      </c>
      <c r="W386" s="42">
        <f>IFERROR(IF(W384="",0,W384),"0")+IFERROR(IF(W385="",0,W385),"0")</f>
        <v>0</v>
      </c>
      <c r="X386" s="65"/>
      <c r="Y386" s="65"/>
    </row>
    <row r="387" spans="1:25" x14ac:dyDescent="0.2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85"/>
      <c r="M387" s="82" t="s">
        <v>43</v>
      </c>
      <c r="N387" s="83"/>
      <c r="O387" s="83"/>
      <c r="P387" s="83"/>
      <c r="Q387" s="83"/>
      <c r="R387" s="83"/>
      <c r="S387" s="84"/>
      <c r="T387" s="41" t="s">
        <v>0</v>
      </c>
      <c r="U387" s="42">
        <f>IFERROR(SUM(U384:U385),"0")</f>
        <v>0</v>
      </c>
      <c r="V387" s="42">
        <f>IFERROR(SUM(V384:V385),"0")</f>
        <v>0</v>
      </c>
      <c r="W387" s="41"/>
      <c r="X387" s="65"/>
      <c r="Y387" s="65"/>
    </row>
    <row r="388" spans="1:25" ht="14.25" customHeight="1" x14ac:dyDescent="0.25">
      <c r="A388" s="77" t="s">
        <v>117</v>
      </c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64"/>
      <c r="Y388" s="64"/>
    </row>
    <row r="389" spans="1:25" ht="16.5" customHeight="1" x14ac:dyDescent="0.25">
      <c r="A389" s="61" t="s">
        <v>698</v>
      </c>
      <c r="B389" s="61" t="s">
        <v>699</v>
      </c>
      <c r="C389" s="35">
        <v>4301020230</v>
      </c>
      <c r="D389" s="78">
        <v>4680115881112</v>
      </c>
      <c r="E389" s="78"/>
      <c r="F389" s="60">
        <v>1.35</v>
      </c>
      <c r="G389" s="36">
        <v>8</v>
      </c>
      <c r="H389" s="60">
        <v>10.8</v>
      </c>
      <c r="I389" s="60">
        <v>11.28</v>
      </c>
      <c r="J389" s="36">
        <v>56</v>
      </c>
      <c r="K389" s="37" t="s">
        <v>121</v>
      </c>
      <c r="L389" s="36">
        <v>50</v>
      </c>
      <c r="M389" s="79" t="s">
        <v>700</v>
      </c>
      <c r="N389" s="80"/>
      <c r="O389" s="80"/>
      <c r="P389" s="80"/>
      <c r="Q389" s="81"/>
      <c r="R389" s="38" t="s">
        <v>48</v>
      </c>
      <c r="S389" s="38" t="s">
        <v>48</v>
      </c>
      <c r="T389" s="39" t="s">
        <v>0</v>
      </c>
      <c r="U389" s="57">
        <v>0</v>
      </c>
      <c r="V389" s="54">
        <f>IFERROR(IF(U389="",0,CEILING((U389/$H389),1)*$H389),"")</f>
        <v>0</v>
      </c>
      <c r="W389" s="40" t="str">
        <f>IFERROR(IF(V389=0,"",ROUNDUP(V389/H389,0)*0.02175),"")</f>
        <v/>
      </c>
      <c r="X389" s="66" t="s">
        <v>48</v>
      </c>
      <c r="Y389" s="67" t="s">
        <v>48</v>
      </c>
    </row>
    <row r="390" spans="1:25" ht="27" customHeight="1" x14ac:dyDescent="0.25">
      <c r="A390" s="61" t="s">
        <v>701</v>
      </c>
      <c r="B390" s="61" t="s">
        <v>702</v>
      </c>
      <c r="C390" s="35">
        <v>4301020231</v>
      </c>
      <c r="D390" s="78">
        <v>4680115881129</v>
      </c>
      <c r="E390" s="78"/>
      <c r="F390" s="60">
        <v>1.8</v>
      </c>
      <c r="G390" s="36">
        <v>6</v>
      </c>
      <c r="H390" s="60">
        <v>10.8</v>
      </c>
      <c r="I390" s="60">
        <v>11.28</v>
      </c>
      <c r="J390" s="36">
        <v>56</v>
      </c>
      <c r="K390" s="37" t="s">
        <v>121</v>
      </c>
      <c r="L390" s="36">
        <v>50</v>
      </c>
      <c r="M390" s="79" t="s">
        <v>703</v>
      </c>
      <c r="N390" s="80"/>
      <c r="O390" s="80"/>
      <c r="P390" s="80"/>
      <c r="Q390" s="81"/>
      <c r="R390" s="38" t="s">
        <v>48</v>
      </c>
      <c r="S390" s="38" t="s">
        <v>48</v>
      </c>
      <c r="T390" s="39" t="s">
        <v>0</v>
      </c>
      <c r="U390" s="57">
        <v>0</v>
      </c>
      <c r="V390" s="54">
        <f>IFERROR(IF(U390="",0,CEILING((U390/$H390),1)*$H390),"")</f>
        <v>0</v>
      </c>
      <c r="W390" s="40" t="str">
        <f>IFERROR(IF(V390=0,"",ROUNDUP(V390/H390,0)*0.02175),"")</f>
        <v/>
      </c>
      <c r="X390" s="66" t="s">
        <v>48</v>
      </c>
      <c r="Y390" s="67" t="s">
        <v>48</v>
      </c>
    </row>
    <row r="391" spans="1:25" x14ac:dyDescent="0.2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85"/>
      <c r="M391" s="82" t="s">
        <v>43</v>
      </c>
      <c r="N391" s="83"/>
      <c r="O391" s="83"/>
      <c r="P391" s="83"/>
      <c r="Q391" s="83"/>
      <c r="R391" s="83"/>
      <c r="S391" s="84"/>
      <c r="T391" s="41" t="s">
        <v>42</v>
      </c>
      <c r="U391" s="42">
        <f>IFERROR(U389/H389,"0")+IFERROR(U390/H390,"0")</f>
        <v>0</v>
      </c>
      <c r="V391" s="42">
        <f>IFERROR(V389/H389,"0")+IFERROR(V390/H390,"0")</f>
        <v>0</v>
      </c>
      <c r="W391" s="42">
        <f>IFERROR(IF(W389="",0,W389),"0")+IFERROR(IF(W390="",0,W390),"0")</f>
        <v>0</v>
      </c>
      <c r="X391" s="65"/>
      <c r="Y391" s="65"/>
    </row>
    <row r="392" spans="1:25" x14ac:dyDescent="0.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85"/>
      <c r="M392" s="82" t="s">
        <v>43</v>
      </c>
      <c r="N392" s="83"/>
      <c r="O392" s="83"/>
      <c r="P392" s="83"/>
      <c r="Q392" s="83"/>
      <c r="R392" s="83"/>
      <c r="S392" s="84"/>
      <c r="T392" s="41" t="s">
        <v>0</v>
      </c>
      <c r="U392" s="42">
        <f>IFERROR(SUM(U389:U390),"0")</f>
        <v>0</v>
      </c>
      <c r="V392" s="42">
        <f>IFERROR(SUM(V389:V390),"0")</f>
        <v>0</v>
      </c>
      <c r="W392" s="41"/>
      <c r="X392" s="65"/>
      <c r="Y392" s="65"/>
    </row>
    <row r="393" spans="1:25" ht="14.25" customHeight="1" x14ac:dyDescent="0.25">
      <c r="A393" s="77" t="s">
        <v>73</v>
      </c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64"/>
      <c r="Y393" s="64"/>
    </row>
    <row r="394" spans="1:25" ht="27" customHeight="1" x14ac:dyDescent="0.25">
      <c r="A394" s="61" t="s">
        <v>704</v>
      </c>
      <c r="B394" s="61" t="s">
        <v>705</v>
      </c>
      <c r="C394" s="35">
        <v>4301031193</v>
      </c>
      <c r="D394" s="78">
        <v>4680115881136</v>
      </c>
      <c r="E394" s="78"/>
      <c r="F394" s="60">
        <v>0.63</v>
      </c>
      <c r="G394" s="36">
        <v>6</v>
      </c>
      <c r="H394" s="60">
        <v>3.78</v>
      </c>
      <c r="I394" s="60">
        <v>4.04</v>
      </c>
      <c r="J394" s="36">
        <v>156</v>
      </c>
      <c r="K394" s="37" t="s">
        <v>77</v>
      </c>
      <c r="L394" s="36">
        <v>40</v>
      </c>
      <c r="M394" s="79" t="s">
        <v>706</v>
      </c>
      <c r="N394" s="80"/>
      <c r="O394" s="80"/>
      <c r="P394" s="80"/>
      <c r="Q394" s="81"/>
      <c r="R394" s="38" t="s">
        <v>48</v>
      </c>
      <c r="S394" s="38" t="s">
        <v>48</v>
      </c>
      <c r="T394" s="39" t="s">
        <v>0</v>
      </c>
      <c r="U394" s="57">
        <v>0</v>
      </c>
      <c r="V394" s="54">
        <f>IFERROR(IF(U394="",0,CEILING((U394/$H394),1)*$H394),"")</f>
        <v>0</v>
      </c>
      <c r="W394" s="40" t="str">
        <f>IFERROR(IF(V394=0,"",ROUNDUP(V394/H394,0)*0.00753),"")</f>
        <v/>
      </c>
      <c r="X394" s="66" t="s">
        <v>48</v>
      </c>
      <c r="Y394" s="67" t="s">
        <v>48</v>
      </c>
    </row>
    <row r="395" spans="1:25" ht="27" customHeight="1" x14ac:dyDescent="0.25">
      <c r="A395" s="61" t="s">
        <v>707</v>
      </c>
      <c r="B395" s="61" t="s">
        <v>708</v>
      </c>
      <c r="C395" s="35">
        <v>4301031192</v>
      </c>
      <c r="D395" s="78">
        <v>4680115881167</v>
      </c>
      <c r="E395" s="78"/>
      <c r="F395" s="60">
        <v>0.63</v>
      </c>
      <c r="G395" s="36">
        <v>6</v>
      </c>
      <c r="H395" s="60">
        <v>3.78</v>
      </c>
      <c r="I395" s="60">
        <v>4.04</v>
      </c>
      <c r="J395" s="36">
        <v>156</v>
      </c>
      <c r="K395" s="37" t="s">
        <v>77</v>
      </c>
      <c r="L395" s="36">
        <v>40</v>
      </c>
      <c r="M395" s="79" t="s">
        <v>709</v>
      </c>
      <c r="N395" s="80"/>
      <c r="O395" s="80"/>
      <c r="P395" s="80"/>
      <c r="Q395" s="81"/>
      <c r="R395" s="38" t="s">
        <v>48</v>
      </c>
      <c r="S395" s="38" t="s">
        <v>48</v>
      </c>
      <c r="T395" s="39" t="s">
        <v>0</v>
      </c>
      <c r="U395" s="57">
        <v>0</v>
      </c>
      <c r="V395" s="54">
        <f>IFERROR(IF(U395="",0,CEILING((U395/$H395),1)*$H395),"")</f>
        <v>0</v>
      </c>
      <c r="W395" s="40" t="str">
        <f>IFERROR(IF(V395=0,"",ROUNDUP(V395/H395,0)*0.00753),"")</f>
        <v/>
      </c>
      <c r="X395" s="66" t="s">
        <v>48</v>
      </c>
      <c r="Y395" s="67" t="s">
        <v>48</v>
      </c>
    </row>
    <row r="396" spans="1:25" x14ac:dyDescent="0.2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85"/>
      <c r="M396" s="82" t="s">
        <v>43</v>
      </c>
      <c r="N396" s="83"/>
      <c r="O396" s="83"/>
      <c r="P396" s="83"/>
      <c r="Q396" s="83"/>
      <c r="R396" s="83"/>
      <c r="S396" s="84"/>
      <c r="T396" s="41" t="s">
        <v>42</v>
      </c>
      <c r="U396" s="42">
        <f>IFERROR(U394/H394,"0")+IFERROR(U395/H395,"0")</f>
        <v>0</v>
      </c>
      <c r="V396" s="42">
        <f>IFERROR(V394/H394,"0")+IFERROR(V395/H395,"0")</f>
        <v>0</v>
      </c>
      <c r="W396" s="42">
        <f>IFERROR(IF(W394="",0,W394),"0")+IFERROR(IF(W395="",0,W395),"0")</f>
        <v>0</v>
      </c>
      <c r="X396" s="65"/>
      <c r="Y396" s="65"/>
    </row>
    <row r="397" spans="1:25" x14ac:dyDescent="0.2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85"/>
      <c r="M397" s="82" t="s">
        <v>43</v>
      </c>
      <c r="N397" s="83"/>
      <c r="O397" s="83"/>
      <c r="P397" s="83"/>
      <c r="Q397" s="83"/>
      <c r="R397" s="83"/>
      <c r="S397" s="84"/>
      <c r="T397" s="41" t="s">
        <v>0</v>
      </c>
      <c r="U397" s="42">
        <f>IFERROR(SUM(U394:U395),"0")</f>
        <v>0</v>
      </c>
      <c r="V397" s="42">
        <f>IFERROR(SUM(V394:V395),"0")</f>
        <v>0</v>
      </c>
      <c r="W397" s="41"/>
      <c r="X397" s="65"/>
      <c r="Y397" s="65"/>
    </row>
    <row r="398" spans="1:25" ht="14.25" customHeight="1" x14ac:dyDescent="0.25">
      <c r="A398" s="77" t="s">
        <v>78</v>
      </c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64"/>
      <c r="Y398" s="64"/>
    </row>
    <row r="399" spans="1:25" ht="27" customHeight="1" x14ac:dyDescent="0.25">
      <c r="A399" s="61" t="s">
        <v>710</v>
      </c>
      <c r="B399" s="61" t="s">
        <v>711</v>
      </c>
      <c r="C399" s="35">
        <v>4301051383</v>
      </c>
      <c r="D399" s="78">
        <v>4680115881143</v>
      </c>
      <c r="E399" s="78"/>
      <c r="F399" s="60">
        <v>1.3</v>
      </c>
      <c r="G399" s="36">
        <v>6</v>
      </c>
      <c r="H399" s="60">
        <v>7.8</v>
      </c>
      <c r="I399" s="60">
        <v>8.3640000000000008</v>
      </c>
      <c r="J399" s="36">
        <v>56</v>
      </c>
      <c r="K399" s="37" t="s">
        <v>77</v>
      </c>
      <c r="L399" s="36">
        <v>40</v>
      </c>
      <c r="M399" s="79" t="s">
        <v>712</v>
      </c>
      <c r="N399" s="80"/>
      <c r="O399" s="80"/>
      <c r="P399" s="80"/>
      <c r="Q399" s="81"/>
      <c r="R399" s="38" t="s">
        <v>48</v>
      </c>
      <c r="S399" s="38" t="s">
        <v>48</v>
      </c>
      <c r="T399" s="39" t="s">
        <v>0</v>
      </c>
      <c r="U399" s="57">
        <v>150</v>
      </c>
      <c r="V399" s="54">
        <f>IFERROR(IF(U399="",0,CEILING((U399/$H399),1)*$H399),"")</f>
        <v>156</v>
      </c>
      <c r="W399" s="40">
        <f>IFERROR(IF(V399=0,"",ROUNDUP(V399/H399,0)*0.02175),"")</f>
        <v>0.43499999999999994</v>
      </c>
      <c r="X399" s="66" t="s">
        <v>48</v>
      </c>
      <c r="Y399" s="67" t="s">
        <v>48</v>
      </c>
    </row>
    <row r="400" spans="1:25" ht="27" customHeight="1" x14ac:dyDescent="0.25">
      <c r="A400" s="61" t="s">
        <v>713</v>
      </c>
      <c r="B400" s="61" t="s">
        <v>714</v>
      </c>
      <c r="C400" s="35">
        <v>4301051381</v>
      </c>
      <c r="D400" s="78">
        <v>4680115881068</v>
      </c>
      <c r="E400" s="78"/>
      <c r="F400" s="60">
        <v>1.3</v>
      </c>
      <c r="G400" s="36">
        <v>6</v>
      </c>
      <c r="H400" s="60">
        <v>7.8</v>
      </c>
      <c r="I400" s="60">
        <v>8.2799999999999994</v>
      </c>
      <c r="J400" s="36">
        <v>56</v>
      </c>
      <c r="K400" s="37" t="s">
        <v>77</v>
      </c>
      <c r="L400" s="36">
        <v>30</v>
      </c>
      <c r="M400" s="79" t="s">
        <v>715</v>
      </c>
      <c r="N400" s="80"/>
      <c r="O400" s="80"/>
      <c r="P400" s="80"/>
      <c r="Q400" s="81"/>
      <c r="R400" s="38" t="s">
        <v>48</v>
      </c>
      <c r="S400" s="38" t="s">
        <v>48</v>
      </c>
      <c r="T400" s="39" t="s">
        <v>0</v>
      </c>
      <c r="U400" s="57">
        <v>0</v>
      </c>
      <c r="V400" s="54">
        <f>IFERROR(IF(U400="",0,CEILING((U400/$H400),1)*$H400),"")</f>
        <v>0</v>
      </c>
      <c r="W400" s="40" t="str">
        <f>IFERROR(IF(V400=0,"",ROUNDUP(V400/H400,0)*0.02175),"")</f>
        <v/>
      </c>
      <c r="X400" s="66" t="s">
        <v>48</v>
      </c>
      <c r="Y400" s="67" t="s">
        <v>48</v>
      </c>
    </row>
    <row r="401" spans="1:28" ht="27" customHeight="1" x14ac:dyDescent="0.25">
      <c r="A401" s="61" t="s">
        <v>716</v>
      </c>
      <c r="B401" s="61" t="s">
        <v>717</v>
      </c>
      <c r="C401" s="35">
        <v>4301051382</v>
      </c>
      <c r="D401" s="78">
        <v>4680115881075</v>
      </c>
      <c r="E401" s="78"/>
      <c r="F401" s="60">
        <v>0.5</v>
      </c>
      <c r="G401" s="36">
        <v>6</v>
      </c>
      <c r="H401" s="60">
        <v>3</v>
      </c>
      <c r="I401" s="60">
        <v>3.2</v>
      </c>
      <c r="J401" s="36">
        <v>156</v>
      </c>
      <c r="K401" s="37" t="s">
        <v>77</v>
      </c>
      <c r="L401" s="36">
        <v>30</v>
      </c>
      <c r="M401" s="79" t="s">
        <v>718</v>
      </c>
      <c r="N401" s="80"/>
      <c r="O401" s="80"/>
      <c r="P401" s="80"/>
      <c r="Q401" s="81"/>
      <c r="R401" s="38" t="s">
        <v>48</v>
      </c>
      <c r="S401" s="38" t="s">
        <v>48</v>
      </c>
      <c r="T401" s="39" t="s">
        <v>0</v>
      </c>
      <c r="U401" s="57">
        <v>0</v>
      </c>
      <c r="V401" s="54">
        <f>IFERROR(IF(U401="",0,CEILING((U401/$H401),1)*$H401),"")</f>
        <v>0</v>
      </c>
      <c r="W401" s="40" t="str">
        <f>IFERROR(IF(V401=0,"",ROUNDUP(V401/H401,0)*0.00753),"")</f>
        <v/>
      </c>
      <c r="X401" s="66" t="s">
        <v>48</v>
      </c>
      <c r="Y401" s="67" t="s">
        <v>48</v>
      </c>
    </row>
    <row r="402" spans="1:28" x14ac:dyDescent="0.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85"/>
      <c r="M402" s="82" t="s">
        <v>43</v>
      </c>
      <c r="N402" s="83"/>
      <c r="O402" s="83"/>
      <c r="P402" s="83"/>
      <c r="Q402" s="83"/>
      <c r="R402" s="83"/>
      <c r="S402" s="84"/>
      <c r="T402" s="41" t="s">
        <v>42</v>
      </c>
      <c r="U402" s="42">
        <f>IFERROR(U399/H399,"0")+IFERROR(U400/H400,"0")+IFERROR(U401/H401,"0")</f>
        <v>19.23076923076923</v>
      </c>
      <c r="V402" s="42">
        <f>IFERROR(V399/H399,"0")+IFERROR(V400/H400,"0")+IFERROR(V401/H401,"0")</f>
        <v>20</v>
      </c>
      <c r="W402" s="42">
        <f>IFERROR(IF(W399="",0,W399),"0")+IFERROR(IF(W400="",0,W400),"0")+IFERROR(IF(W401="",0,W401),"0")</f>
        <v>0.43499999999999994</v>
      </c>
      <c r="X402" s="65"/>
      <c r="Y402" s="65"/>
    </row>
    <row r="403" spans="1:28" x14ac:dyDescent="0.2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85"/>
      <c r="M403" s="82" t="s">
        <v>43</v>
      </c>
      <c r="N403" s="83"/>
      <c r="O403" s="83"/>
      <c r="P403" s="83"/>
      <c r="Q403" s="83"/>
      <c r="R403" s="83"/>
      <c r="S403" s="84"/>
      <c r="T403" s="41" t="s">
        <v>0</v>
      </c>
      <c r="U403" s="42">
        <f>IFERROR(SUM(U399:U401),"0")</f>
        <v>150</v>
      </c>
      <c r="V403" s="42">
        <f>IFERROR(SUM(V399:V401),"0")</f>
        <v>156</v>
      </c>
      <c r="W403" s="41"/>
      <c r="X403" s="65"/>
      <c r="Y403" s="65"/>
    </row>
    <row r="404" spans="1:28" ht="15" customHeight="1" x14ac:dyDescent="0.2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6"/>
      <c r="M404" s="72" t="s">
        <v>36</v>
      </c>
      <c r="N404" s="73"/>
      <c r="O404" s="73"/>
      <c r="P404" s="73"/>
      <c r="Q404" s="73"/>
      <c r="R404" s="73"/>
      <c r="S404" s="74"/>
      <c r="T404" s="41" t="s">
        <v>0</v>
      </c>
      <c r="U404" s="42">
        <f>IFERROR(U24+U33+U38+U42+U46+U53+U59+U82+U92+U104+U115+U122+U130+U138+U156+U160+U175+U196+U205+U212+U217+U228+U233+U239+U247+U251+U255+U259+U272+U277+U282+U286+U290+U297+U302+U307+U311+U318+U328+U336+U340+U346+U354+U365+U369+U375+U380+U387+U392+U397+U403,"0")</f>
        <v>6011.8600000000006</v>
      </c>
      <c r="V404" s="42">
        <f>IFERROR(V24+V33+V38+V42+V46+V53+V59+V82+V92+V104+V115+V122+V130+V138+V156+V160+V175+V196+V205+V212+V217+V228+V233+V239+V247+V251+V255+V259+V272+V277+V282+V286+V290+V297+V302+V307+V311+V318+V328+V336+V340+V346+V354+V365+V369+V375+V380+V387+V392+V397+V403,"0")</f>
        <v>6093.3000000000011</v>
      </c>
      <c r="W404" s="41"/>
      <c r="X404" s="65"/>
      <c r="Y404" s="65"/>
    </row>
    <row r="405" spans="1:28" x14ac:dyDescent="0.2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6"/>
      <c r="M405" s="72" t="s">
        <v>37</v>
      </c>
      <c r="N405" s="73"/>
      <c r="O405" s="73"/>
      <c r="P405" s="73"/>
      <c r="Q405" s="73"/>
      <c r="R405" s="73"/>
      <c r="S405" s="74"/>
      <c r="T405" s="41" t="s">
        <v>0</v>
      </c>
      <c r="U405" s="42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80*I80/H80,"0")+IFERROR(U84*I84/H84,"0")+IFERROR(U85*I85/H85,"0")+IFERROR(U86*I86/H86,"0")+IFERROR(U87*I87/H87,"0")+IFERROR(U88*I88/H88,"0")+IFERROR(U89*I89/H89,"0")+IFERROR(U90*I90/H90,"0")+IFERROR(U94*I94/H94,"0")+IFERROR(U95*I95/H95,"0")+IFERROR(U96*I96/H96,"0")+IFERROR(U97*I97/H97,"0")+IFERROR(U98*I98/H98,"0")+IFERROR(U99*I99/H99,"0")+IFERROR(U100*I100/H100,"0")+IFERROR(U101*I101/H101,"0")+IFERROR(U102*I102/H102,"0")+IFERROR(U106*I106/H106,"0")+IFERROR(U107*I107/H107,"0")+IFERROR(U108*I108/H108,"0")+IFERROR(U109*I109/H109,"0")+IFERROR(U110*I110/H110,"0")+IFERROR(U111*I111/H111,"0")+IFERROR(U112*I112/H112,"0")+IFERROR(U113*I113/H113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214*I214/H214,"0")+IFERROR(U215*I215/H215,"0")+IFERROR(U220*I220/H220,"0")+IFERROR(U221*I221/H221,"0")+IFERROR(U222*I222/H222,"0")+IFERROR(U223*I223/H223,"0")+IFERROR(U224*I224/H224,"0")+IFERROR(U225*I225/H225,"0")+IFERROR(U226*I226/H226,"0")+IFERROR(U230*I230/H230,"0")+IFERROR(U231*I231/H231,"0")+IFERROR(U236*I236/H236,"0")+IFERROR(U237*I237/H237,"0")+IFERROR(U241*I241/H241,"0")+IFERROR(U242*I242/H242,"0")+IFERROR(U243*I243/H243,"0")+IFERROR(U244*I244/H244,"0")+IFERROR(U245*I245/H245,"0")+IFERROR(U249*I249/H249,"0")+IFERROR(U253*I253/H253,"0")+IFERROR(U257*I257/H257,"0")+IFERROR(U263*I263/H263,"0")+IFERROR(U264*I264/H264,"0")+IFERROR(U265*I265/H265,"0")+IFERROR(U266*I266/H266,"0")+IFERROR(U267*I267/H267,"0")+IFERROR(U268*I268/H268,"0")+IFERROR(U269*I269/H269,"0")+IFERROR(U270*I270/H270,"0")+IFERROR(U274*I274/H274,"0")+IFERROR(U275*I275/H275,"0")+IFERROR(U279*I279/H279,"0")+IFERROR(U280*I280/H280,"0")+IFERROR(U284*I284/H284,"0")+IFERROR(U288*I288/H288,"0")+IFERROR(U293*I293/H293,"0")+IFERROR(U294*I294/H294,"0")+IFERROR(U295*I295/H295,"0")+IFERROR(U299*I299/H299,"0")+IFERROR(U300*I300/H300,"0")+IFERROR(U304*I304/H304,"0")+IFERROR(U305*I305/H305,"0")+IFERROR(U309*I309/H309,"0")+IFERROR(U315*I315/H315,"0")+IFERROR(U316*I316/H316,"0")+IFERROR(U320*I320/H320,"0")+IFERROR(U321*I321/H321,"0")+IFERROR(U322*I322/H322,"0")+IFERROR(U323*I323/H323,"0")+IFERROR(U324*I324/H324,"0")+IFERROR(U325*I325/H325,"0")+IFERROR(U326*I326/H326,"0")+IFERROR(U330*I330/H330,"0")+IFERROR(U331*I331/H331,"0")+IFERROR(U332*I332/H332,"0")+IFERROR(U333*I333/H333,"0")+IFERROR(U334*I334/H334,"0")+IFERROR(U338*I338/H338,"0")+IFERROR(U343*I343/H343,"0")+IFERROR(U344*I344/H344,"0")+IFERROR(U348*I348/H348,"0")+IFERROR(U349*I349/H349,"0")+IFERROR(U350*I350/H350,"0")+IFERROR(U351*I351/H351,"0")+IFERROR(U352*I352/H352,"0")+IFERROR(U358*I358/H358,"0")+IFERROR(U359*I359/H359,"0")+IFERROR(U360*I360/H360,"0")+IFERROR(U361*I361/H361,"0")+IFERROR(U362*I362/H362,"0")+IFERROR(U363*I363/H363,"0")+IFERROR(U367*I367/H367,"0")+IFERROR(U371*I371/H371,"0")+IFERROR(U372*I372/H372,"0")+IFERROR(U373*I373/H373,"0")+IFERROR(U377*I377/H377,"0")+IFERROR(U378*I378/H378,"0")+IFERROR(U384*I384/H384,"0")+IFERROR(U385*I385/H385,"0")+IFERROR(U389*I389/H389,"0")+IFERROR(U390*I390/H390,"0")+IFERROR(U394*I394/H394,"0")+IFERROR(U395*I395/H395,"0")+IFERROR(U399*I399/H399,"0")+IFERROR(U400*I400/H400,"0")+IFERROR(U401*I401/H401,"0"),"0")</f>
        <v>6410.6918198185258</v>
      </c>
      <c r="V405" s="42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214*I214/H214,"0")+IFERROR(V215*I215/H215,"0")+IFERROR(V220*I220/H220,"0")+IFERROR(V221*I221/H221,"0")+IFERROR(V222*I222/H222,"0")+IFERROR(V223*I223/H223,"0")+IFERROR(V224*I224/H224,"0")+IFERROR(V225*I225/H225,"0")+IFERROR(V226*I226/H226,"0")+IFERROR(V230*I230/H230,"0")+IFERROR(V231*I231/H231,"0")+IFERROR(V236*I236/H236,"0")+IFERROR(V237*I237/H237,"0")+IFERROR(V241*I241/H241,"0")+IFERROR(V242*I242/H242,"0")+IFERROR(V243*I243/H243,"0")+IFERROR(V244*I244/H244,"0")+IFERROR(V245*I245/H245,"0")+IFERROR(V249*I249/H249,"0")+IFERROR(V253*I253/H253,"0")+IFERROR(V257*I257/H257,"0")+IFERROR(V263*I263/H263,"0")+IFERROR(V264*I264/H264,"0")+IFERROR(V265*I265/H265,"0")+IFERROR(V266*I266/H266,"0")+IFERROR(V267*I267/H267,"0")+IFERROR(V268*I268/H268,"0")+IFERROR(V269*I269/H269,"0")+IFERROR(V270*I270/H270,"0")+IFERROR(V274*I274/H274,"0")+IFERROR(V275*I275/H275,"0")+IFERROR(V279*I279/H279,"0")+IFERROR(V280*I280/H280,"0")+IFERROR(V284*I284/H284,"0")+IFERROR(V288*I288/H288,"0")+IFERROR(V293*I293/H293,"0")+IFERROR(V294*I294/H294,"0")+IFERROR(V295*I295/H295,"0")+IFERROR(V299*I299/H299,"0")+IFERROR(V300*I300/H300,"0")+IFERROR(V304*I304/H304,"0")+IFERROR(V305*I305/H305,"0")+IFERROR(V309*I309/H309,"0")+IFERROR(V315*I315/H315,"0")+IFERROR(V316*I316/H316,"0")+IFERROR(V320*I320/H320,"0")+IFERROR(V321*I321/H321,"0")+IFERROR(V322*I322/H322,"0")+IFERROR(V323*I323/H323,"0")+IFERROR(V324*I324/H324,"0")+IFERROR(V325*I325/H325,"0")+IFERROR(V326*I326/H326,"0")+IFERROR(V330*I330/H330,"0")+IFERROR(V331*I331/H331,"0")+IFERROR(V332*I332/H332,"0")+IFERROR(V333*I333/H333,"0")+IFERROR(V334*I334/H334,"0")+IFERROR(V338*I338/H338,"0")+IFERROR(V343*I343/H343,"0")+IFERROR(V344*I344/H344,"0")+IFERROR(V348*I348/H348,"0")+IFERROR(V349*I349/H349,"0")+IFERROR(V350*I350/H350,"0")+IFERROR(V351*I351/H351,"0")+IFERROR(V352*I352/H352,"0")+IFERROR(V358*I358/H358,"0")+IFERROR(V359*I359/H359,"0")+IFERROR(V360*I360/H360,"0")+IFERROR(V361*I361/H361,"0")+IFERROR(V362*I362/H362,"0")+IFERROR(V363*I363/H363,"0")+IFERROR(V367*I367/H367,"0")+IFERROR(V371*I371/H371,"0")+IFERROR(V372*I372/H372,"0")+IFERROR(V373*I373/H373,"0")+IFERROR(V377*I377/H377,"0")+IFERROR(V378*I378/H378,"0")+IFERROR(V384*I384/H384,"0")+IFERROR(V385*I385/H385,"0")+IFERROR(V389*I389/H389,"0")+IFERROR(V390*I390/H390,"0")+IFERROR(V394*I394/H394,"0")+IFERROR(V395*I395/H395,"0")+IFERROR(V399*I399/H399,"0")+IFERROR(V400*I400/H400,"0")+IFERROR(V401*I401/H401,"0"),"0")</f>
        <v>6497.0740000000023</v>
      </c>
      <c r="W405" s="41"/>
      <c r="X405" s="65"/>
      <c r="Y405" s="65"/>
    </row>
    <row r="406" spans="1:28" x14ac:dyDescent="0.2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6"/>
      <c r="M406" s="72" t="s">
        <v>38</v>
      </c>
      <c r="N406" s="73"/>
      <c r="O406" s="73"/>
      <c r="P406" s="73"/>
      <c r="Q406" s="73"/>
      <c r="R406" s="73"/>
      <c r="S406" s="74"/>
      <c r="T406" s="41" t="s">
        <v>23</v>
      </c>
      <c r="U406" s="43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57*(U56:U57/H56:H57)),"0")+IFERROR(SUMPRODUCT(1/J62:J80*(U62:U80/H62:H80)),"0")+IFERROR(SUMPRODUCT(1/J84:J90*(U84:U90/H84:H90)),"0")+IFERROR(SUMPRODUCT(1/J94:J102*(U94:U102/H94:H102)),"0")+IFERROR(SUMPRODUCT(1/J106:J113*(U106:U113/H106:H113)),"0")+IFERROR(SUMPRODUCT(1/J117:J120*(U117:U120/H117:H120)),"0")+IFERROR(SUMPRODUCT(1/J125:J128*(U125:U128/H125:H128)),"0")+IFERROR(SUMPRODUCT(1/J134:J136*(U134:U136/H134:H136)),"0")+IFERROR(SUMPRODUCT(1/J141:J154*(U141:U154/H141:H154)),"0")+IFERROR(SUMPRODUCT(1/J158:J158*(U158:U158/H158:H158)),"0")+IFERROR(SUMPRODUCT(1/J162:J173*(U162:U173/H162:H173)),"0")+IFERROR(SUMPRODUCT(1/J177:J194*(U177:U194/H177:H194)),"0")+IFERROR(SUMPRODUCT(1/J198:J203*(U198:U203/H198:H203)),"0")+IFERROR(SUMPRODUCT(1/J207:J210*(U207:U210/H207:H210)),"0")+IFERROR(SUMPRODUCT(1/J214:J215*(U214:U215/H214:H215)),"0")+IFERROR(SUMPRODUCT(1/J220:J226*(U220:U226/H220:H226)),"0")+IFERROR(SUMPRODUCT(1/J230:J231*(U230:U231/H230:H231)),"0")+IFERROR(SUMPRODUCT(1/J236:J237*(U236:U237/H236:H237)),"0")+IFERROR(SUMPRODUCT(1/J241:J245*(U241:U245/H241:H245)),"0")+IFERROR(SUMPRODUCT(1/J249:J249*(U249:U249/H249:H249)),"0")+IFERROR(SUMPRODUCT(1/J253:J253*(U253:U253/H253:H253)),"0")+IFERROR(SUMPRODUCT(1/J257:J257*(U257:U257/H257:H257)),"0")+IFERROR(SUMPRODUCT(1/J263:J270*(U263:U270/H263:H270)),"0")+IFERROR(SUMPRODUCT(1/J274:J275*(U274:U275/H274:H275)),"0")+IFERROR(SUMPRODUCT(1/J279:J280*(U279:U280/H279:H280)),"0")+IFERROR(SUMPRODUCT(1/J284:J284*(U284:U284/H284:H284)),"0")+IFERROR(SUMPRODUCT(1/J288:J288*(U288:U288/H288:H288)),"0")+IFERROR(SUMPRODUCT(1/J293:J295*(U293:U295/H293:H295)),"0")+IFERROR(SUMPRODUCT(1/J299:J300*(U299:U300/H299:H300)),"0")+IFERROR(SUMPRODUCT(1/J304:J305*(U304:U305/H304:H305)),"0")+IFERROR(SUMPRODUCT(1/J309:J309*(U309:U309/H309:H309)),"0")+IFERROR(SUMPRODUCT(1/J315:J316*(U315:U316/H315:H316)),"0")+IFERROR(SUMPRODUCT(1/J320:J326*(U320:U326/H320:H326)),"0")+IFERROR(SUMPRODUCT(1/J330:J334*(U330:U334/H330:H334)),"0")+IFERROR(SUMPRODUCT(1/J338:J338*(U338:U338/H338:H338)),"0")+IFERROR(SUMPRODUCT(1/J343:J344*(U343:U344/H343:H344)),"0")+IFERROR(SUMPRODUCT(1/J348:J352*(U348:U352/H348:H352)),"0")+IFERROR(SUMPRODUCT(1/J358:J363*(U358:U363/H358:H363)),"0")+IFERROR(SUMPRODUCT(1/J367:J367*(U367:U367/H367:H367)),"0")+IFERROR(SUMPRODUCT(1/J371:J373*(U371:U373/H371:H373)),"0")+IFERROR(SUMPRODUCT(1/J377:J378*(U377:U378/H377:H378)),"0")+IFERROR(SUMPRODUCT(1/J384:J385*(U384:U385/H384:H385)),"0")+IFERROR(SUMPRODUCT(1/J389:J390*(U389:U390/H389:H390)),"0")+IFERROR(SUMPRODUCT(1/J394:J395*(U394:U395/H394:H395)),"0")+IFERROR(SUMPRODUCT(1/J399:J401*(U399:U401/H399:H401)),"0"),0)</f>
        <v>13</v>
      </c>
      <c r="V406" s="43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57*(V56:V57/H56:H57)),"0")+IFERROR(SUMPRODUCT(1/J62:J80*(V62:V80/H62:H80)),"0")+IFERROR(SUMPRODUCT(1/J84:J90*(V84:V90/H84:H90)),"0")+IFERROR(SUMPRODUCT(1/J94:J102*(V94:V102/H94:H102)),"0")+IFERROR(SUMPRODUCT(1/J106:J113*(V106:V113/H106:H113)),"0")+IFERROR(SUMPRODUCT(1/J117:J120*(V117:V120/H117:H120)),"0")+IFERROR(SUMPRODUCT(1/J125:J128*(V125:V128/H125:H128)),"0")+IFERROR(SUMPRODUCT(1/J134:J136*(V134:V136/H134:H136)),"0")+IFERROR(SUMPRODUCT(1/J141:J154*(V141:V154/H141:H154)),"0")+IFERROR(SUMPRODUCT(1/J158:J158*(V158:V158/H158:H158)),"0")+IFERROR(SUMPRODUCT(1/J162:J173*(V162:V173/H162:H173)),"0")+IFERROR(SUMPRODUCT(1/J177:J194*(V177:V194/H177:H194)),"0")+IFERROR(SUMPRODUCT(1/J198:J203*(V198:V203/H198:H203)),"0")+IFERROR(SUMPRODUCT(1/J207:J210*(V207:V210/H207:H210)),"0")+IFERROR(SUMPRODUCT(1/J214:J215*(V214:V215/H214:H215)),"0")+IFERROR(SUMPRODUCT(1/J220:J226*(V220:V226/H220:H226)),"0")+IFERROR(SUMPRODUCT(1/J230:J231*(V230:V231/H230:H231)),"0")+IFERROR(SUMPRODUCT(1/J236:J237*(V236:V237/H236:H237)),"0")+IFERROR(SUMPRODUCT(1/J241:J245*(V241:V245/H241:H245)),"0")+IFERROR(SUMPRODUCT(1/J249:J249*(V249:V249/H249:H249)),"0")+IFERROR(SUMPRODUCT(1/J253:J253*(V253:V253/H253:H253)),"0")+IFERROR(SUMPRODUCT(1/J257:J257*(V257:V257/H257:H257)),"0")+IFERROR(SUMPRODUCT(1/J263:J270*(V263:V270/H263:H270)),"0")+IFERROR(SUMPRODUCT(1/J274:J275*(V274:V275/H274:H275)),"0")+IFERROR(SUMPRODUCT(1/J279:J280*(V279:V280/H279:H280)),"0")+IFERROR(SUMPRODUCT(1/J284:J284*(V284:V284/H284:H284)),"0")+IFERROR(SUMPRODUCT(1/J288:J288*(V288:V288/H288:H288)),"0")+IFERROR(SUMPRODUCT(1/J293:J295*(V293:V295/H293:H295)),"0")+IFERROR(SUMPRODUCT(1/J299:J300*(V299:V300/H299:H300)),"0")+IFERROR(SUMPRODUCT(1/J304:J305*(V304:V305/H304:H305)),"0")+IFERROR(SUMPRODUCT(1/J309:J309*(V309:V309/H309:H309)),"0")+IFERROR(SUMPRODUCT(1/J315:J316*(V315:V316/H315:H316)),"0")+IFERROR(SUMPRODUCT(1/J320:J326*(V320:V326/H320:H326)),"0")+IFERROR(SUMPRODUCT(1/J330:J334*(V330:V334/H330:H334)),"0")+IFERROR(SUMPRODUCT(1/J338:J338*(V338:V338/H338:H338)),"0")+IFERROR(SUMPRODUCT(1/J343:J344*(V343:V344/H343:H344)),"0")+IFERROR(SUMPRODUCT(1/J348:J352*(V348:V352/H348:H352)),"0")+IFERROR(SUMPRODUCT(1/J358:J363*(V358:V363/H358:H363)),"0")+IFERROR(SUMPRODUCT(1/J367:J367*(V367:V367/H367:H367)),"0")+IFERROR(SUMPRODUCT(1/J371:J373*(V371:V373/H371:H373)),"0")+IFERROR(SUMPRODUCT(1/J377:J378*(V377:V378/H377:H378)),"0")+IFERROR(SUMPRODUCT(1/J384:J385*(V384:V385/H384:H385)),"0")+IFERROR(SUMPRODUCT(1/J389:J390*(V389:V390/H389:H390)),"0")+IFERROR(SUMPRODUCT(1/J394:J395*(V394:V395/H394:H395)),"0")+IFERROR(SUMPRODUCT(1/J399:J401*(V399:V401/H399:H401)),"0"),0)</f>
        <v>13</v>
      </c>
      <c r="W406" s="41"/>
      <c r="X406" s="65"/>
      <c r="Y406" s="65"/>
    </row>
    <row r="407" spans="1:28" x14ac:dyDescent="0.2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6"/>
      <c r="M407" s="72" t="s">
        <v>39</v>
      </c>
      <c r="N407" s="73"/>
      <c r="O407" s="73"/>
      <c r="P407" s="73"/>
      <c r="Q407" s="73"/>
      <c r="R407" s="73"/>
      <c r="S407" s="74"/>
      <c r="T407" s="41" t="s">
        <v>0</v>
      </c>
      <c r="U407" s="42">
        <f>GrossWeightTotal+PalletQtyTotal*25</f>
        <v>6735.6918198185258</v>
      </c>
      <c r="V407" s="42">
        <f>GrossWeightTotalR+PalletQtyTotalR*25</f>
        <v>6822.0740000000023</v>
      </c>
      <c r="W407" s="41"/>
      <c r="X407" s="65"/>
      <c r="Y407" s="65"/>
    </row>
    <row r="408" spans="1:28" x14ac:dyDescent="0.2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6"/>
      <c r="M408" s="72" t="s">
        <v>40</v>
      </c>
      <c r="N408" s="73"/>
      <c r="O408" s="73"/>
      <c r="P408" s="73"/>
      <c r="Q408" s="73"/>
      <c r="R408" s="73"/>
      <c r="S408" s="74"/>
      <c r="T408" s="41" t="s">
        <v>23</v>
      </c>
      <c r="U408" s="42">
        <f>IFERROR(U23+U32+U37+U41+U45+U52+U58+U81+U91+U103+U114+U121+U129+U137+U155+U159+U174+U195+U204+U211+U216+U227+U232+U238+U246+U250+U254+U258+U271+U276+U281+U285+U289+U296+U301+U306+U310+U317+U327+U335+U339+U345+U353+U364+U368+U374+U379+U386+U391+U396+U402,"0")</f>
        <v>1409.3276632590359</v>
      </c>
      <c r="V408" s="42">
        <f>IFERROR(V23+V32+V37+V41+V45+V52+V58+V81+V91+V103+V114+V121+V129+V137+V155+V159+V174+V195+V204+V211+V216+V227+V232+V238+V246+V250+V254+V258+V271+V276+V281+V285+V289+V296+V301+V306+V310+V317+V327+V335+V339+V345+V353+V364+V368+V374+V379+V386+V391+V396+V402,"0")</f>
        <v>1422</v>
      </c>
      <c r="W408" s="41"/>
      <c r="X408" s="65"/>
      <c r="Y408" s="65"/>
    </row>
    <row r="409" spans="1:28" ht="14.25" x14ac:dyDescent="0.2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6"/>
      <c r="M409" s="72" t="s">
        <v>41</v>
      </c>
      <c r="N409" s="73"/>
      <c r="O409" s="73"/>
      <c r="P409" s="73"/>
      <c r="Q409" s="73"/>
      <c r="R409" s="73"/>
      <c r="S409" s="74"/>
      <c r="T409" s="44" t="s">
        <v>54</v>
      </c>
      <c r="U409" s="41"/>
      <c r="V409" s="41"/>
      <c r="W409" s="41">
        <f>IFERROR(W23+W32+W37+W41+W45+W52+W58+W81+W91+W103+W114+W121+W129+W137+W155+W159+W174+W195+W204+W211+W216+W227+W232+W238+W246+W250+W254+W258+W271+W276+W281+W285+W289+W296+W301+W306+W310+W317+W327+W335+W339+W345+W353+W364+W368+W374+W379+W386+W391+W396+W402,"0")</f>
        <v>13.997299999999999</v>
      </c>
      <c r="X409" s="65"/>
      <c r="Y409" s="65"/>
    </row>
    <row r="410" spans="1:28" ht="13.5" thickBot="1" x14ac:dyDescent="0.25"/>
    <row r="411" spans="1:28" ht="27" thickTop="1" thickBot="1" x14ac:dyDescent="0.25">
      <c r="A411" s="45" t="s">
        <v>9</v>
      </c>
      <c r="B411" s="68" t="s">
        <v>72</v>
      </c>
      <c r="C411" s="69" t="s">
        <v>115</v>
      </c>
      <c r="D411" s="69" t="s">
        <v>115</v>
      </c>
      <c r="E411" s="69" t="s">
        <v>115</v>
      </c>
      <c r="F411" s="69" t="s">
        <v>115</v>
      </c>
      <c r="G411" s="69" t="s">
        <v>285</v>
      </c>
      <c r="H411" s="69" t="s">
        <v>285</v>
      </c>
      <c r="I411" s="69" t="s">
        <v>285</v>
      </c>
      <c r="J411" s="69" t="s">
        <v>285</v>
      </c>
      <c r="K411" s="69" t="s">
        <v>523</v>
      </c>
      <c r="L411" s="69" t="s">
        <v>523</v>
      </c>
      <c r="M411" s="69" t="s">
        <v>586</v>
      </c>
      <c r="N411" s="69" t="s">
        <v>586</v>
      </c>
      <c r="O411" s="68" t="s">
        <v>653</v>
      </c>
      <c r="P411" s="68" t="s">
        <v>690</v>
      </c>
      <c r="Q411" s="1"/>
      <c r="R411" s="1"/>
      <c r="S411" s="1"/>
      <c r="T411" s="1"/>
      <c r="Y411" s="9"/>
      <c r="AB411" s="1"/>
    </row>
    <row r="412" spans="1:28" ht="14.25" customHeight="1" thickTop="1" x14ac:dyDescent="0.2">
      <c r="A412" s="70" t="s">
        <v>10</v>
      </c>
      <c r="B412" s="69" t="s">
        <v>72</v>
      </c>
      <c r="C412" s="69" t="s">
        <v>116</v>
      </c>
      <c r="D412" s="69" t="s">
        <v>125</v>
      </c>
      <c r="E412" s="69" t="s">
        <v>115</v>
      </c>
      <c r="F412" s="69" t="s">
        <v>272</v>
      </c>
      <c r="G412" s="69" t="s">
        <v>286</v>
      </c>
      <c r="H412" s="69" t="s">
        <v>296</v>
      </c>
      <c r="I412" s="69" t="s">
        <v>467</v>
      </c>
      <c r="J412" s="69" t="s">
        <v>491</v>
      </c>
      <c r="K412" s="69" t="s">
        <v>524</v>
      </c>
      <c r="L412" s="69" t="s">
        <v>561</v>
      </c>
      <c r="M412" s="69" t="s">
        <v>587</v>
      </c>
      <c r="N412" s="69" t="s">
        <v>631</v>
      </c>
      <c r="O412" s="69" t="s">
        <v>653</v>
      </c>
      <c r="P412" s="69" t="s">
        <v>691</v>
      </c>
      <c r="Q412" s="1"/>
      <c r="R412" s="1"/>
      <c r="S412" s="1"/>
      <c r="T412" s="1"/>
      <c r="Y412" s="9"/>
      <c r="AB412" s="1"/>
    </row>
    <row r="413" spans="1:28" ht="13.5" thickBot="1" x14ac:dyDescent="0.25">
      <c r="A413" s="71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1"/>
      <c r="R413" s="1"/>
      <c r="S413" s="1"/>
      <c r="T413" s="1"/>
      <c r="Y413" s="9"/>
      <c r="AB413" s="1"/>
    </row>
    <row r="414" spans="1:28" ht="18" thickTop="1" thickBot="1" x14ac:dyDescent="0.25">
      <c r="A414" s="45" t="s">
        <v>13</v>
      </c>
      <c r="B414" s="51">
        <f>IFERROR(V22*1,"0")+IFERROR(V26*1,"0")+IFERROR(V27*1,"0")+IFERROR(V28*1,"0")+IFERROR(V29*1,"0")+IFERROR(V30*1,"0")+IFERROR(V31*1,"0")+IFERROR(V35*1,"0")+IFERROR(V36*1,"0")+IFERROR(V40*1,"0")+IFERROR(V44*1,"0")</f>
        <v>0</v>
      </c>
      <c r="C414" s="51">
        <f>IFERROR(V50*1,"0")+IFERROR(V51*1,"0")</f>
        <v>440.1</v>
      </c>
      <c r="D414" s="51">
        <f>IFERROR(V56*1,"0")+IFERROR(V57*1,"0")</f>
        <v>460</v>
      </c>
      <c r="E414" s="51">
        <f>IFERROR(V62*1,"0")+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80*1,"0")+IFERROR(V84*1,"0")+IFERROR(V85*1,"0")+IFERROR(V86*1,"0")+IFERROR(V87*1,"0")+IFERROR(V88*1,"0")+IFERROR(V89*1,"0")+IFERROR(V90*1,"0")+IFERROR(V94*1,"0")+IFERROR(V95*1,"0")+IFERROR(V96*1,"0")+IFERROR(V97*1,"0")+IFERROR(V98*1,"0")+IFERROR(V99*1,"0")+IFERROR(V100*1,"0")+IFERROR(V101*1,"0")+IFERROR(V102*1,"0")+IFERROR(V106*1,"0")+IFERROR(V107*1,"0")+IFERROR(V108*1,"0")+IFERROR(V109*1,"0")+IFERROR(V110*1,"0")+IFERROR(V111*1,"0")+IFERROR(V112*1,"0")+IFERROR(V113*1,"0")+IFERROR(V117*1,"0")+IFERROR(V118*1,"0")+IFERROR(V119*1,"0")+IFERROR(V120*1,"0")</f>
        <v>1451.6</v>
      </c>
      <c r="F414" s="51">
        <f>IFERROR(V125*1,"0")+IFERROR(V126*1,"0")+IFERROR(V127*1,"0")+IFERROR(V128*1,"0")</f>
        <v>243</v>
      </c>
      <c r="G414" s="51">
        <f>IFERROR(V134*1,"0")+IFERROR(V135*1,"0")+IFERROR(V136*1,"0")</f>
        <v>0</v>
      </c>
      <c r="H414" s="51">
        <f>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162*1,"0")+IFERROR(V163*1,"0")+IFERROR(V164*1,"0")+IFERROR(V165*1,"0")+IFERROR(V166*1,"0")+IFERROR(V167*1,"0")+IFERROR(V168*1,"0")+IFERROR(V169*1,"0")+IFERROR(V170*1,"0")+IFERROR(V171*1,"0")+IFERROR(V172*1,"0")+IFERROR(V173*1,"0")+IFERROR(V177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198*1,"0")+IFERROR(V199*1,"0")+IFERROR(V200*1,"0")+IFERROR(V201*1,"0")+IFERROR(V202*1,"0")+IFERROR(V203*1,"0")+IFERROR(V207*1,"0")+IFERROR(V208*1,"0")+IFERROR(V209*1,"0")+IFERROR(V210*1,"0")+IFERROR(V214*1,"0")+IFERROR(V215*1,"0")</f>
        <v>1190.3</v>
      </c>
      <c r="I414" s="51">
        <f>IFERROR(V220*1,"0")+IFERROR(V221*1,"0")+IFERROR(V222*1,"0")+IFERROR(V223*1,"0")+IFERROR(V224*1,"0")+IFERROR(V225*1,"0")+IFERROR(V226*1,"0")+IFERROR(V230*1,"0")+IFERROR(V231*1,"0")</f>
        <v>30</v>
      </c>
      <c r="J414" s="51">
        <f>IFERROR(V236*1,"0")+IFERROR(V237*1,"0")+IFERROR(V241*1,"0")+IFERROR(V242*1,"0")+IFERROR(V243*1,"0")+IFERROR(V244*1,"0")+IFERROR(V245*1,"0")+IFERROR(V249*1,"0")+IFERROR(V253*1,"0")+IFERROR(V257*1,"0")</f>
        <v>350.09999999999997</v>
      </c>
      <c r="K414" s="51">
        <f>IFERROR(V263*1,"0")+IFERROR(V264*1,"0")+IFERROR(V265*1,"0")+IFERROR(V266*1,"0")+IFERROR(V267*1,"0")+IFERROR(V268*1,"0")+IFERROR(V269*1,"0")+IFERROR(V270*1,"0")+IFERROR(V274*1,"0")+IFERROR(V275*1,"0")+IFERROR(V279*1,"0")+IFERROR(V280*1,"0")+IFERROR(V284*1,"0")+IFERROR(V288*1,"0")</f>
        <v>1475.3999999999999</v>
      </c>
      <c r="L414" s="51">
        <f>IFERROR(V293*1,"0")+IFERROR(V294*1,"0")+IFERROR(V295*1,"0")+IFERROR(V299*1,"0")+IFERROR(V300*1,"0")+IFERROR(V304*1,"0")+IFERROR(V305*1,"0")+IFERROR(V309*1,"0")</f>
        <v>119.2</v>
      </c>
      <c r="M414" s="51">
        <f>IFERROR(V315*1,"0")+IFERROR(V316*1,"0")+IFERROR(V320*1,"0")+IFERROR(V321*1,"0")+IFERROR(V322*1,"0")+IFERROR(V323*1,"0")+IFERROR(V324*1,"0")+IFERROR(V325*1,"0")+IFERROR(V326*1,"0")+IFERROR(V330*1,"0")+IFERROR(V331*1,"0")+IFERROR(V332*1,"0")+IFERROR(V333*1,"0")+IFERROR(V334*1,"0")+IFERROR(V338*1,"0")</f>
        <v>157.5</v>
      </c>
      <c r="N414" s="51">
        <f>IFERROR(V343*1,"0")+IFERROR(V344*1,"0")+IFERROR(V348*1,"0")+IFERROR(V349*1,"0")+IFERROR(V350*1,"0")+IFERROR(V351*1,"0")+IFERROR(V352*1,"0")</f>
        <v>0</v>
      </c>
      <c r="O414" s="51">
        <f>IFERROR(V358*1,"0")+IFERROR(V359*1,"0")+IFERROR(V360*1,"0")+IFERROR(V361*1,"0")+IFERROR(V362*1,"0")+IFERROR(V363*1,"0")+IFERROR(V367*1,"0")+IFERROR(V371*1,"0")+IFERROR(V372*1,"0")+IFERROR(V373*1,"0")+IFERROR(V377*1,"0")+IFERROR(V378*1,"0")</f>
        <v>20.099999999999998</v>
      </c>
      <c r="P414" s="51">
        <f>IFERROR(V384*1,"0")+IFERROR(V385*1,"0")+IFERROR(V389*1,"0")+IFERROR(V390*1,"0")+IFERROR(V394*1,"0")+IFERROR(V395*1,"0")+IFERROR(V399*1,"0")+IFERROR(V400*1,"0")+IFERROR(V401*1,"0")</f>
        <v>156</v>
      </c>
      <c r="Q414" s="1"/>
      <c r="R414" s="1"/>
      <c r="S414" s="1"/>
      <c r="T414" s="1"/>
      <c r="Y414" s="9"/>
      <c r="AB414" s="1"/>
    </row>
  </sheetData>
  <sheetProtection algorithmName="SHA-512" hashValue="OJKOSZ0AhH7dS4MLf/KdhfeUlS0Q+74bEv1qaPfTx4ZB+tQWgLVIihvfd4IqpzFCi9UJB3R1ul9czMXgx8uiaA==" saltValue="5CUq86Ky9BQNeMepK/uqH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58:S58"/>
    <mergeCell ref="A58:L59"/>
    <mergeCell ref="M59:S59"/>
    <mergeCell ref="A60:W60"/>
    <mergeCell ref="A61:W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M81:S81"/>
    <mergeCell ref="A81:L82"/>
    <mergeCell ref="M82:S82"/>
    <mergeCell ref="A83:W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M103:S103"/>
    <mergeCell ref="A103:L104"/>
    <mergeCell ref="M104:S104"/>
    <mergeCell ref="A105:W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M174:S174"/>
    <mergeCell ref="A174:L175"/>
    <mergeCell ref="M175:S175"/>
    <mergeCell ref="A176:W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M195:S195"/>
    <mergeCell ref="A195:L196"/>
    <mergeCell ref="M196:S196"/>
    <mergeCell ref="A197:W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A235:W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A261:W261"/>
    <mergeCell ref="A262:W262"/>
    <mergeCell ref="D263:E263"/>
    <mergeCell ref="M263:Q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M327:S327"/>
    <mergeCell ref="A327:L328"/>
    <mergeCell ref="M328:S32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M339:S339"/>
    <mergeCell ref="A339:L340"/>
    <mergeCell ref="M340:S340"/>
    <mergeCell ref="A341:W341"/>
    <mergeCell ref="A342:W342"/>
    <mergeCell ref="D343:E343"/>
    <mergeCell ref="M343:Q343"/>
    <mergeCell ref="D344:E344"/>
    <mergeCell ref="M344:Q344"/>
    <mergeCell ref="M345:S345"/>
    <mergeCell ref="A345:L346"/>
    <mergeCell ref="M346:S346"/>
    <mergeCell ref="A347:W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A356:W356"/>
    <mergeCell ref="A357:W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A382:W382"/>
    <mergeCell ref="A383:W383"/>
    <mergeCell ref="D384:E384"/>
    <mergeCell ref="M384:Q384"/>
    <mergeCell ref="D385:E385"/>
    <mergeCell ref="M385:Q385"/>
    <mergeCell ref="M386:S386"/>
    <mergeCell ref="A386:L387"/>
    <mergeCell ref="M387:S387"/>
    <mergeCell ref="A388:W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D401:E401"/>
    <mergeCell ref="M401:Q401"/>
    <mergeCell ref="M402:S402"/>
    <mergeCell ref="A402:L403"/>
    <mergeCell ref="M403:S403"/>
    <mergeCell ref="M404:S404"/>
    <mergeCell ref="A404:L409"/>
    <mergeCell ref="M405:S405"/>
    <mergeCell ref="M406:S406"/>
    <mergeCell ref="M407:S407"/>
    <mergeCell ref="M408:S408"/>
    <mergeCell ref="M409:S409"/>
    <mergeCell ref="C411:F411"/>
    <mergeCell ref="G411:J411"/>
    <mergeCell ref="K411:L411"/>
    <mergeCell ref="M411:N411"/>
    <mergeCell ref="J412:J413"/>
    <mergeCell ref="K412:K413"/>
    <mergeCell ref="L412:L413"/>
    <mergeCell ref="M412:M413"/>
    <mergeCell ref="N412:N413"/>
    <mergeCell ref="O412:O413"/>
    <mergeCell ref="P412:P413"/>
    <mergeCell ref="A412:A413"/>
    <mergeCell ref="B412:B413"/>
    <mergeCell ref="C412:C413"/>
    <mergeCell ref="D412:D413"/>
    <mergeCell ref="E412:E413"/>
    <mergeCell ref="F412:F413"/>
    <mergeCell ref="G412:G413"/>
    <mergeCell ref="H412:H413"/>
    <mergeCell ref="I412:I413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53" fitToHeight="0" orientation="landscape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719</v>
      </c>
      <c r="H1" s="9"/>
    </row>
    <row r="3" spans="2:8" x14ac:dyDescent="0.2">
      <c r="B3" s="52" t="s">
        <v>720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721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722</v>
      </c>
      <c r="C6" s="52" t="s">
        <v>723</v>
      </c>
      <c r="D6" s="52" t="s">
        <v>724</v>
      </c>
      <c r="E6" s="52" t="s">
        <v>48</v>
      </c>
    </row>
    <row r="7" spans="2:8" x14ac:dyDescent="0.2">
      <c r="B7" s="52" t="s">
        <v>725</v>
      </c>
      <c r="C7" s="52" t="s">
        <v>726</v>
      </c>
      <c r="D7" s="52" t="s">
        <v>727</v>
      </c>
      <c r="E7" s="52" t="s">
        <v>48</v>
      </c>
    </row>
    <row r="8" spans="2:8" x14ac:dyDescent="0.2">
      <c r="B8" s="52" t="s">
        <v>728</v>
      </c>
      <c r="C8" s="52" t="s">
        <v>729</v>
      </c>
      <c r="D8" s="52" t="s">
        <v>730</v>
      </c>
      <c r="E8" s="52" t="s">
        <v>48</v>
      </c>
    </row>
    <row r="9" spans="2:8" x14ac:dyDescent="0.2">
      <c r="B9" s="52" t="s">
        <v>731</v>
      </c>
      <c r="C9" s="52" t="s">
        <v>732</v>
      </c>
      <c r="D9" s="52" t="s">
        <v>733</v>
      </c>
      <c r="E9" s="52" t="s">
        <v>48</v>
      </c>
    </row>
    <row r="10" spans="2:8" x14ac:dyDescent="0.2">
      <c r="B10" s="52" t="s">
        <v>734</v>
      </c>
      <c r="C10" s="52" t="s">
        <v>735</v>
      </c>
      <c r="D10" s="52" t="s">
        <v>736</v>
      </c>
      <c r="E10" s="52" t="s">
        <v>48</v>
      </c>
    </row>
    <row r="11" spans="2:8" x14ac:dyDescent="0.2">
      <c r="B11" s="52" t="s">
        <v>737</v>
      </c>
      <c r="C11" s="52" t="s">
        <v>738</v>
      </c>
      <c r="D11" s="52" t="s">
        <v>739</v>
      </c>
      <c r="E11" s="52" t="s">
        <v>48</v>
      </c>
    </row>
    <row r="12" spans="2:8" x14ac:dyDescent="0.2">
      <c r="B12" s="52" t="s">
        <v>740</v>
      </c>
      <c r="C12" s="52" t="s">
        <v>741</v>
      </c>
      <c r="D12" s="52" t="s">
        <v>742</v>
      </c>
      <c r="E12" s="52" t="s">
        <v>48</v>
      </c>
    </row>
    <row r="14" spans="2:8" x14ac:dyDescent="0.2">
      <c r="B14" s="52" t="s">
        <v>743</v>
      </c>
      <c r="C14" s="52" t="s">
        <v>723</v>
      </c>
      <c r="D14" s="52" t="s">
        <v>48</v>
      </c>
      <c r="E14" s="52" t="s">
        <v>48</v>
      </c>
    </row>
    <row r="16" spans="2:8" x14ac:dyDescent="0.2">
      <c r="B16" s="52" t="s">
        <v>744</v>
      </c>
      <c r="C16" s="52" t="s">
        <v>726</v>
      </c>
      <c r="D16" s="52" t="s">
        <v>48</v>
      </c>
      <c r="E16" s="52" t="s">
        <v>48</v>
      </c>
    </row>
    <row r="18" spans="2:5" x14ac:dyDescent="0.2">
      <c r="B18" s="52" t="s">
        <v>745</v>
      </c>
      <c r="C18" s="52" t="s">
        <v>729</v>
      </c>
      <c r="D18" s="52" t="s">
        <v>48</v>
      </c>
      <c r="E18" s="52" t="s">
        <v>48</v>
      </c>
    </row>
    <row r="20" spans="2:5" x14ac:dyDescent="0.2">
      <c r="B20" s="52" t="s">
        <v>746</v>
      </c>
      <c r="C20" s="52" t="s">
        <v>732</v>
      </c>
      <c r="D20" s="52" t="s">
        <v>48</v>
      </c>
      <c r="E20" s="52" t="s">
        <v>48</v>
      </c>
    </row>
    <row r="22" spans="2:5" x14ac:dyDescent="0.2">
      <c r="B22" s="52" t="s">
        <v>747</v>
      </c>
      <c r="C22" s="52" t="s">
        <v>735</v>
      </c>
      <c r="D22" s="52" t="s">
        <v>48</v>
      </c>
      <c r="E22" s="52" t="s">
        <v>48</v>
      </c>
    </row>
    <row r="24" spans="2:5" x14ac:dyDescent="0.2">
      <c r="B24" s="52" t="s">
        <v>748</v>
      </c>
      <c r="C24" s="52" t="s">
        <v>738</v>
      </c>
      <c r="D24" s="52" t="s">
        <v>48</v>
      </c>
      <c r="E24" s="52" t="s">
        <v>48</v>
      </c>
    </row>
    <row r="26" spans="2:5" x14ac:dyDescent="0.2">
      <c r="B26" s="52" t="s">
        <v>749</v>
      </c>
      <c r="C26" s="52" t="s">
        <v>741</v>
      </c>
      <c r="D26" s="52" t="s">
        <v>48</v>
      </c>
      <c r="E26" s="52" t="s">
        <v>48</v>
      </c>
    </row>
    <row r="28" spans="2:5" x14ac:dyDescent="0.2">
      <c r="B28" s="52" t="s">
        <v>750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751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752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753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757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758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759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760</v>
      </c>
      <c r="C38" s="52" t="s">
        <v>48</v>
      </c>
      <c r="D38" s="52" t="s">
        <v>48</v>
      </c>
      <c r="E38" s="52" t="s">
        <v>48</v>
      </c>
    </row>
  </sheetData>
  <sheetProtection algorithmName="SHA-512" hashValue="GiDkcYJypUuw/wxNEzSRF5fL1PpBY8B25eaBPLw8Il3/nrJZb7Djz5BjYb1XrKLBZdTcuRRFIXrUDCR8JHj+IQ==" saltValue="ZVeKtyFjDN17YDK41FrBc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bb0b2827-4eb3-461f-8866-28597c48f473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894</vt:i4>
      </vt:variant>
    </vt:vector>
  </HeadingPairs>
  <TitlesOfParts>
    <vt:vector size="89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lastPrinted>2023-05-29T05:51:48Z</cp:lastPrinted>
  <dcterms:created xsi:type="dcterms:W3CDTF">2021-11-12T12:13:19Z</dcterms:created>
  <dcterms:modified xsi:type="dcterms:W3CDTF">2023-07-03T11:07:47Z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