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2023\07,23\04,07,23 на 06,07,23 заявка\"/>
    </mc:Choice>
  </mc:AlternateContent>
  <xr:revisionPtr revIDLastSave="0" documentId="13_ncr:1_{ED0139CE-61EB-4067-9A5A-EA3A174174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заказа'!$B$18:$W$414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1" i="2" l="1"/>
  <c r="U410" i="2"/>
  <c r="U408" i="2"/>
  <c r="U407" i="2"/>
  <c r="V406" i="2"/>
  <c r="W406" i="2" s="1"/>
  <c r="W405" i="2"/>
  <c r="V405" i="2"/>
  <c r="V404" i="2"/>
  <c r="V408" i="2" s="1"/>
  <c r="U402" i="2"/>
  <c r="U401" i="2"/>
  <c r="V400" i="2"/>
  <c r="W400" i="2" s="1"/>
  <c r="V399" i="2"/>
  <c r="U397" i="2"/>
  <c r="U396" i="2"/>
  <c r="V395" i="2"/>
  <c r="W395" i="2" s="1"/>
  <c r="V394" i="2"/>
  <c r="U392" i="2"/>
  <c r="U391" i="2"/>
  <c r="V390" i="2"/>
  <c r="W390" i="2" s="1"/>
  <c r="V389" i="2"/>
  <c r="U385" i="2"/>
  <c r="U384" i="2"/>
  <c r="V383" i="2"/>
  <c r="W383" i="2" s="1"/>
  <c r="V382" i="2"/>
  <c r="U380" i="2"/>
  <c r="U379" i="2"/>
  <c r="V378" i="2"/>
  <c r="W378" i="2" s="1"/>
  <c r="V377" i="2"/>
  <c r="W377" i="2" s="1"/>
  <c r="V376" i="2"/>
  <c r="W376" i="2" s="1"/>
  <c r="V375" i="2"/>
  <c r="W375" i="2" s="1"/>
  <c r="V374" i="2"/>
  <c r="W374" i="2" s="1"/>
  <c r="U372" i="2"/>
  <c r="U371" i="2"/>
  <c r="V370" i="2"/>
  <c r="U368" i="2"/>
  <c r="U367" i="2"/>
  <c r="V366" i="2"/>
  <c r="W366" i="2" s="1"/>
  <c r="V365" i="2"/>
  <c r="W365" i="2" s="1"/>
  <c r="V364" i="2"/>
  <c r="W364" i="2" s="1"/>
  <c r="V363" i="2"/>
  <c r="W363" i="2" s="1"/>
  <c r="V362" i="2"/>
  <c r="W362" i="2" s="1"/>
  <c r="V361" i="2"/>
  <c r="U357" i="2"/>
  <c r="U356" i="2"/>
  <c r="V355" i="2"/>
  <c r="W355" i="2" s="1"/>
  <c r="V354" i="2"/>
  <c r="W354" i="2" s="1"/>
  <c r="V353" i="2"/>
  <c r="W353" i="2" s="1"/>
  <c r="V352" i="2"/>
  <c r="W352" i="2" s="1"/>
  <c r="V351" i="2"/>
  <c r="U349" i="2"/>
  <c r="U348" i="2"/>
  <c r="V347" i="2"/>
  <c r="W347" i="2" s="1"/>
  <c r="V346" i="2"/>
  <c r="U343" i="2"/>
  <c r="U342" i="2"/>
  <c r="V341" i="2"/>
  <c r="V343" i="2" s="1"/>
  <c r="U339" i="2"/>
  <c r="U338" i="2"/>
  <c r="V337" i="2"/>
  <c r="W337" i="2" s="1"/>
  <c r="V336" i="2"/>
  <c r="W336" i="2" s="1"/>
  <c r="V335" i="2"/>
  <c r="W335" i="2" s="1"/>
  <c r="V334" i="2"/>
  <c r="U332" i="2"/>
  <c r="U331" i="2"/>
  <c r="V330" i="2"/>
  <c r="W330" i="2" s="1"/>
  <c r="V329" i="2"/>
  <c r="W329" i="2" s="1"/>
  <c r="V328" i="2"/>
  <c r="W328" i="2" s="1"/>
  <c r="V327" i="2"/>
  <c r="V326" i="2"/>
  <c r="W326" i="2" s="1"/>
  <c r="V325" i="2"/>
  <c r="W325" i="2" s="1"/>
  <c r="V324" i="2"/>
  <c r="W324" i="2" s="1"/>
  <c r="U322" i="2"/>
  <c r="U321" i="2"/>
  <c r="V320" i="2"/>
  <c r="W320" i="2" s="1"/>
  <c r="V319" i="2"/>
  <c r="W319" i="2" s="1"/>
  <c r="U315" i="2"/>
  <c r="U314" i="2"/>
  <c r="V313" i="2"/>
  <c r="V315" i="2" s="1"/>
  <c r="U311" i="2"/>
  <c r="U310" i="2"/>
  <c r="V309" i="2"/>
  <c r="W309" i="2" s="1"/>
  <c r="V308" i="2"/>
  <c r="U306" i="2"/>
  <c r="U305" i="2"/>
  <c r="V304" i="2"/>
  <c r="W304" i="2" s="1"/>
  <c r="V303" i="2"/>
  <c r="U301" i="2"/>
  <c r="U300" i="2"/>
  <c r="V299" i="2"/>
  <c r="W299" i="2" s="1"/>
  <c r="V298" i="2"/>
  <c r="W298" i="2" s="1"/>
  <c r="V297" i="2"/>
  <c r="W297" i="2" s="1"/>
  <c r="V296" i="2"/>
  <c r="W296" i="2" s="1"/>
  <c r="U293" i="2"/>
  <c r="U292" i="2"/>
  <c r="V291" i="2"/>
  <c r="V293" i="2" s="1"/>
  <c r="U289" i="2"/>
  <c r="U288" i="2"/>
  <c r="V287" i="2"/>
  <c r="U285" i="2"/>
  <c r="U284" i="2"/>
  <c r="V283" i="2"/>
  <c r="V282" i="2"/>
  <c r="U280" i="2"/>
  <c r="U279" i="2"/>
  <c r="V278" i="2"/>
  <c r="W278" i="2" s="1"/>
  <c r="V277" i="2"/>
  <c r="U275" i="2"/>
  <c r="U274" i="2"/>
  <c r="V273" i="2"/>
  <c r="W273" i="2" s="1"/>
  <c r="V272" i="2"/>
  <c r="W272" i="2" s="1"/>
  <c r="V271" i="2"/>
  <c r="W271" i="2" s="1"/>
  <c r="V270" i="2"/>
  <c r="W270" i="2" s="1"/>
  <c r="V269" i="2"/>
  <c r="W269" i="2" s="1"/>
  <c r="V268" i="2"/>
  <c r="W268" i="2" s="1"/>
  <c r="V267" i="2"/>
  <c r="W267" i="2" s="1"/>
  <c r="V266" i="2"/>
  <c r="U262" i="2"/>
  <c r="U261" i="2"/>
  <c r="V260" i="2"/>
  <c r="V262" i="2" s="1"/>
  <c r="U258" i="2"/>
  <c r="U257" i="2"/>
  <c r="V256" i="2"/>
  <c r="V258" i="2" s="1"/>
  <c r="U254" i="2"/>
  <c r="U253" i="2"/>
  <c r="V252" i="2"/>
  <c r="U250" i="2"/>
  <c r="U249" i="2"/>
  <c r="V248" i="2"/>
  <c r="W248" i="2" s="1"/>
  <c r="V247" i="2"/>
  <c r="W247" i="2" s="1"/>
  <c r="V246" i="2"/>
  <c r="W246" i="2" s="1"/>
  <c r="U244" i="2"/>
  <c r="U243" i="2"/>
  <c r="V242" i="2"/>
  <c r="W242" i="2" s="1"/>
  <c r="V241" i="2"/>
  <c r="W241" i="2" s="1"/>
  <c r="U238" i="2"/>
  <c r="U237" i="2"/>
  <c r="V236" i="2"/>
  <c r="W236" i="2" s="1"/>
  <c r="V235" i="2"/>
  <c r="U233" i="2"/>
  <c r="U232" i="2"/>
  <c r="V231" i="2"/>
  <c r="W231" i="2" s="1"/>
  <c r="V230" i="2"/>
  <c r="W230" i="2" s="1"/>
  <c r="V229" i="2"/>
  <c r="W229" i="2" s="1"/>
  <c r="V228" i="2"/>
  <c r="W228" i="2" s="1"/>
  <c r="V227" i="2"/>
  <c r="V226" i="2"/>
  <c r="W226" i="2" s="1"/>
  <c r="V225" i="2"/>
  <c r="U222" i="2"/>
  <c r="U221" i="2"/>
  <c r="V220" i="2"/>
  <c r="W220" i="2" s="1"/>
  <c r="V219" i="2"/>
  <c r="W219" i="2" s="1"/>
  <c r="V218" i="2"/>
  <c r="W218" i="2" s="1"/>
  <c r="V217" i="2"/>
  <c r="W217" i="2" s="1"/>
  <c r="U215" i="2"/>
  <c r="U214" i="2"/>
  <c r="V213" i="2"/>
  <c r="W213" i="2" s="1"/>
  <c r="V212" i="2"/>
  <c r="W212" i="2" s="1"/>
  <c r="V211" i="2"/>
  <c r="U209" i="2"/>
  <c r="U208" i="2"/>
  <c r="V207" i="2"/>
  <c r="W207" i="2" s="1"/>
  <c r="V206" i="2"/>
  <c r="W206" i="2" s="1"/>
  <c r="V205" i="2"/>
  <c r="W205" i="2" s="1"/>
  <c r="V204" i="2"/>
  <c r="W204" i="2" s="1"/>
  <c r="V203" i="2"/>
  <c r="W203" i="2" s="1"/>
  <c r="V202" i="2"/>
  <c r="W202" i="2" s="1"/>
  <c r="U200" i="2"/>
  <c r="U199" i="2"/>
  <c r="V198" i="2"/>
  <c r="W198" i="2" s="1"/>
  <c r="V197" i="2"/>
  <c r="W197" i="2" s="1"/>
  <c r="V196" i="2"/>
  <c r="W196" i="2" s="1"/>
  <c r="V195" i="2"/>
  <c r="W195" i="2" s="1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W178" i="2" s="1"/>
  <c r="V177" i="2"/>
  <c r="W177" i="2" s="1"/>
  <c r="V176" i="2"/>
  <c r="V175" i="2"/>
  <c r="W175" i="2" s="1"/>
  <c r="U173" i="2"/>
  <c r="U172" i="2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W159" i="2" s="1"/>
  <c r="V158" i="2"/>
  <c r="W158" i="2" s="1"/>
  <c r="U156" i="2"/>
  <c r="U155" i="2"/>
  <c r="V154" i="2"/>
  <c r="V155" i="2" s="1"/>
  <c r="U152" i="2"/>
  <c r="U151" i="2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W137" i="2" s="1"/>
  <c r="U134" i="2"/>
  <c r="U133" i="2"/>
  <c r="V132" i="2"/>
  <c r="W132" i="2" s="1"/>
  <c r="V131" i="2"/>
  <c r="W131" i="2" s="1"/>
  <c r="V130" i="2"/>
  <c r="U126" i="2"/>
  <c r="U125" i="2"/>
  <c r="V124" i="2"/>
  <c r="V123" i="2"/>
  <c r="W123" i="2" s="1"/>
  <c r="V122" i="2"/>
  <c r="W122" i="2" s="1"/>
  <c r="V121" i="2"/>
  <c r="W121" i="2" s="1"/>
  <c r="U118" i="2"/>
  <c r="U117" i="2"/>
  <c r="V116" i="2"/>
  <c r="W116" i="2" s="1"/>
  <c r="V115" i="2"/>
  <c r="W115" i="2" s="1"/>
  <c r="V114" i="2"/>
  <c r="W114" i="2" s="1"/>
  <c r="V113" i="2"/>
  <c r="U111" i="2"/>
  <c r="U110" i="2"/>
  <c r="V109" i="2"/>
  <c r="W109" i="2" s="1"/>
  <c r="V108" i="2"/>
  <c r="W108" i="2" s="1"/>
  <c r="V107" i="2"/>
  <c r="W107" i="2" s="1"/>
  <c r="V106" i="2"/>
  <c r="W106" i="2" s="1"/>
  <c r="V105" i="2"/>
  <c r="W105" i="2" s="1"/>
  <c r="V104" i="2"/>
  <c r="W104" i="2" s="1"/>
  <c r="V103" i="2"/>
  <c r="U101" i="2"/>
  <c r="U100" i="2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W92" i="2" s="1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U80" i="2"/>
  <c r="U79" i="2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U53" i="2"/>
  <c r="U52" i="2"/>
  <c r="V51" i="2"/>
  <c r="W51" i="2" s="1"/>
  <c r="V50" i="2"/>
  <c r="U46" i="2"/>
  <c r="U45" i="2"/>
  <c r="V44" i="2"/>
  <c r="V46" i="2" s="1"/>
  <c r="U42" i="2"/>
  <c r="U41" i="2"/>
  <c r="V40" i="2"/>
  <c r="U38" i="2"/>
  <c r="U37" i="2"/>
  <c r="V36" i="2"/>
  <c r="V35" i="2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V26" i="2"/>
  <c r="W26" i="2" s="1"/>
  <c r="U24" i="2"/>
  <c r="U23" i="2"/>
  <c r="V22" i="2"/>
  <c r="H10" i="2"/>
  <c r="A9" i="2"/>
  <c r="F10" i="2" s="1"/>
  <c r="D7" i="2"/>
  <c r="N6" i="2"/>
  <c r="M2" i="2"/>
  <c r="N419" i="2" l="1"/>
  <c r="V385" i="2"/>
  <c r="V402" i="2"/>
  <c r="W404" i="2"/>
  <c r="W407" i="2" s="1"/>
  <c r="V38" i="2"/>
  <c r="V214" i="2"/>
  <c r="V238" i="2"/>
  <c r="W249" i="2"/>
  <c r="V280" i="2"/>
  <c r="V305" i="2"/>
  <c r="B419" i="2"/>
  <c r="W303" i="2"/>
  <c r="W305" i="2" s="1"/>
  <c r="V311" i="2"/>
  <c r="W172" i="2"/>
  <c r="W35" i="2"/>
  <c r="V89" i="2"/>
  <c r="V156" i="2"/>
  <c r="W211" i="2"/>
  <c r="W214" i="2" s="1"/>
  <c r="W235" i="2"/>
  <c r="W237" i="2" s="1"/>
  <c r="W243" i="2"/>
  <c r="W256" i="2"/>
  <c r="W257" i="2" s="1"/>
  <c r="W260" i="2"/>
  <c r="W261" i="2" s="1"/>
  <c r="V261" i="2"/>
  <c r="V275" i="2"/>
  <c r="W277" i="2"/>
  <c r="W291" i="2"/>
  <c r="W292" i="2" s="1"/>
  <c r="W308" i="2"/>
  <c r="W310" i="2" s="1"/>
  <c r="V310" i="2"/>
  <c r="V357" i="2"/>
  <c r="W382" i="2"/>
  <c r="W384" i="2" s="1"/>
  <c r="C419" i="2"/>
  <c r="U413" i="2"/>
  <c r="U412" i="2"/>
  <c r="V134" i="2"/>
  <c r="W130" i="2"/>
  <c r="W133" i="2" s="1"/>
  <c r="V285" i="2"/>
  <c r="W283" i="2"/>
  <c r="V288" i="2"/>
  <c r="W287" i="2"/>
  <c r="W288" i="2" s="1"/>
  <c r="V289" i="2"/>
  <c r="V332" i="2"/>
  <c r="W327" i="2"/>
  <c r="W331" i="2" s="1"/>
  <c r="V372" i="2"/>
  <c r="W370" i="2"/>
  <c r="W371" i="2" s="1"/>
  <c r="W22" i="2"/>
  <c r="W23" i="2" s="1"/>
  <c r="V23" i="2"/>
  <c r="W32" i="2"/>
  <c r="V41" i="2"/>
  <c r="W40" i="2"/>
  <c r="W41" i="2" s="1"/>
  <c r="V42" i="2"/>
  <c r="V111" i="2"/>
  <c r="W103" i="2"/>
  <c r="W110" i="2" s="1"/>
  <c r="V110" i="2"/>
  <c r="V118" i="2"/>
  <c r="W113" i="2"/>
  <c r="W117" i="2" s="1"/>
  <c r="V125" i="2"/>
  <c r="W124" i="2"/>
  <c r="W125" i="2" s="1"/>
  <c r="V133" i="2"/>
  <c r="W151" i="2"/>
  <c r="V221" i="2"/>
  <c r="I419" i="2"/>
  <c r="W225" i="2"/>
  <c r="V233" i="2"/>
  <c r="V243" i="2"/>
  <c r="V249" i="2"/>
  <c r="V253" i="2"/>
  <c r="W252" i="2"/>
  <c r="W253" i="2" s="1"/>
  <c r="V254" i="2"/>
  <c r="V284" i="2"/>
  <c r="W282" i="2"/>
  <c r="V348" i="2"/>
  <c r="U409" i="2"/>
  <c r="V37" i="2"/>
  <c r="D419" i="2"/>
  <c r="V59" i="2"/>
  <c r="V80" i="2"/>
  <c r="V101" i="2"/>
  <c r="V117" i="2"/>
  <c r="V151" i="2"/>
  <c r="V173" i="2"/>
  <c r="V172" i="2"/>
  <c r="V200" i="2"/>
  <c r="V209" i="2"/>
  <c r="V208" i="2"/>
  <c r="L419" i="2"/>
  <c r="V306" i="2"/>
  <c r="W321" i="2"/>
  <c r="V321" i="2"/>
  <c r="V338" i="2"/>
  <c r="O419" i="2"/>
  <c r="V380" i="2"/>
  <c r="P419" i="2"/>
  <c r="V391" i="2"/>
  <c r="V396" i="2"/>
  <c r="V397" i="2"/>
  <c r="W221" i="2"/>
  <c r="W279" i="2"/>
  <c r="W300" i="2"/>
  <c r="W100" i="2"/>
  <c r="W208" i="2"/>
  <c r="W379" i="2"/>
  <c r="W79" i="2"/>
  <c r="W36" i="2"/>
  <c r="V339" i="2"/>
  <c r="V368" i="2"/>
  <c r="E419" i="2"/>
  <c r="W334" i="2"/>
  <c r="W338" i="2" s="1"/>
  <c r="V410" i="2"/>
  <c r="F419" i="2"/>
  <c r="G419" i="2"/>
  <c r="V215" i="2"/>
  <c r="W266" i="2"/>
  <c r="W274" i="2" s="1"/>
  <c r="W313" i="2"/>
  <c r="W314" i="2" s="1"/>
  <c r="W341" i="2"/>
  <c r="W342" i="2" s="1"/>
  <c r="F9" i="2"/>
  <c r="V60" i="2"/>
  <c r="W154" i="2"/>
  <c r="W155" i="2" s="1"/>
  <c r="V222" i="2"/>
  <c r="V250" i="2"/>
  <c r="V279" i="2"/>
  <c r="V300" i="2"/>
  <c r="W399" i="2"/>
  <c r="W401" i="2" s="1"/>
  <c r="V411" i="2"/>
  <c r="H419" i="2"/>
  <c r="V52" i="2"/>
  <c r="V152" i="2"/>
  <c r="W44" i="2"/>
  <c r="W45" i="2" s="1"/>
  <c r="V257" i="2"/>
  <c r="V292" i="2"/>
  <c r="V24" i="2"/>
  <c r="H9" i="2"/>
  <c r="V45" i="2"/>
  <c r="V53" i="2"/>
  <c r="V237" i="2"/>
  <c r="V244" i="2"/>
  <c r="V314" i="2"/>
  <c r="V322" i="2"/>
  <c r="V342" i="2"/>
  <c r="V349" i="2"/>
  <c r="V356" i="2"/>
  <c r="V371" i="2"/>
  <c r="V384" i="2"/>
  <c r="V392" i="2"/>
  <c r="V79" i="2"/>
  <c r="V100" i="2"/>
  <c r="J419" i="2"/>
  <c r="J9" i="2"/>
  <c r="V32" i="2"/>
  <c r="V126" i="2"/>
  <c r="A10" i="2"/>
  <c r="W56" i="2"/>
  <c r="W59" i="2" s="1"/>
  <c r="W82" i="2"/>
  <c r="W88" i="2" s="1"/>
  <c r="V88" i="2"/>
  <c r="V274" i="2"/>
  <c r="V301" i="2"/>
  <c r="W351" i="2"/>
  <c r="W356" i="2" s="1"/>
  <c r="W394" i="2"/>
  <c r="W396" i="2" s="1"/>
  <c r="V407" i="2"/>
  <c r="K419" i="2"/>
  <c r="V199" i="2"/>
  <c r="V232" i="2"/>
  <c r="V379" i="2"/>
  <c r="V401" i="2"/>
  <c r="V331" i="2"/>
  <c r="M419" i="2"/>
  <c r="V33" i="2"/>
  <c r="W50" i="2"/>
  <c r="W52" i="2" s="1"/>
  <c r="W176" i="2"/>
  <c r="W199" i="2" s="1"/>
  <c r="W227" i="2"/>
  <c r="W346" i="2"/>
  <c r="W348" i="2" s="1"/>
  <c r="W361" i="2"/>
  <c r="W367" i="2" s="1"/>
  <c r="V367" i="2"/>
  <c r="W389" i="2"/>
  <c r="W391" i="2" s="1"/>
  <c r="W232" i="2" l="1"/>
  <c r="W37" i="2"/>
  <c r="V413" i="2"/>
  <c r="W284" i="2"/>
  <c r="V412" i="2"/>
  <c r="V409" i="2"/>
  <c r="W414" i="2" l="1"/>
</calcChain>
</file>

<file path=xl/sharedStrings.xml><?xml version="1.0" encoding="utf-8"?>
<sst xmlns="http://schemas.openxmlformats.org/spreadsheetml/2006/main" count="2438" uniqueCount="788">
  <si>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</si>
  <si>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</si>
  <si>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</si>
  <si>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</si>
  <si>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</si>
  <si>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</si>
  <si>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</si>
  <si>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</si>
  <si>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</si>
  <si>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</si>
  <si>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</si>
  <si>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</si>
  <si>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</si>
  <si>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</si>
  <si>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</si>
  <si>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</si>
  <si>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</si>
  <si>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</si>
  <si>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</si>
  <si>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</si>
  <si>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</si>
  <si>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</si>
  <si>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</si>
  <si>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</si>
  <si>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</si>
  <si>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</si>
  <si>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</si>
  <si>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</si>
  <si>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</si>
  <si>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</si>
  <si>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</si>
  <si>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</si>
  <si>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</si>
  <si>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</si>
  <si>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</si>
  <si>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</si>
  <si>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</si>
  <si>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</si>
  <si>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</si>
  <si>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</si>
  <si>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</si>
  <si>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</si>
  <si>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</si>
  <si>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</si>
  <si>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</si>
  <si>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</si>
  <si>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</si>
  <si>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</si>
  <si>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</si>
  <si>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</si>
  <si>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</si>
  <si>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</si>
  <si>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</si>
  <si>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</si>
  <si>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</si>
  <si>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</si>
  <si>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</si>
  <si>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</si>
  <si>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</si>
  <si>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</si>
  <si>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</si>
  <si>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</si>
  <si>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</si>
  <si>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</si>
  <si>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</si>
  <si>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03.07.2023</t>
  </si>
  <si>
    <t>29.06.2023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</si>
  <si>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</si>
  <si>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</si>
  <si>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</si>
  <si>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</si>
  <si>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</si>
  <si>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</si>
  <si>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</si>
  <si>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</si>
  <si>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</si>
  <si>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</si>
  <si>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</si>
  <si>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</si>
  <si>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</si>
  <si>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</si>
  <si>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</si>
  <si>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</si>
  <si>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</si>
  <si>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</si>
  <si>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</si>
  <si>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</si>
  <si>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</si>
  <si>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</si>
  <si>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</si>
  <si>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</si>
  <si>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</si>
  <si>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</si>
  <si>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</si>
  <si>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</si>
  <si>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</si>
  <si>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</si>
  <si>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</si>
  <si>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</si>
  <si>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</si>
  <si>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</si>
  <si>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</si>
  <si>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</si>
  <si>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</si>
  <si>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</si>
  <si>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</si>
  <si>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</si>
  <si>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</si>
  <si>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</si>
  <si>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</si>
  <si>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</si>
  <si>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</si>
  <si>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</si>
  <si>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</si>
  <si>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</si>
  <si>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</si>
  <si>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</si>
  <si>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</si>
  <si>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</si>
  <si>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</si>
  <si>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</si>
  <si>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</si>
  <si>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</si>
  <si>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</si>
  <si>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</si>
  <si>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</si>
  <si>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</si>
  <si>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</si>
  <si>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</si>
  <si>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</si>
  <si>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</si>
  <si>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</si>
  <si>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</si>
  <si>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</si>
  <si>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</si>
  <si>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</si>
  <si>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</si>
  <si>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</si>
  <si>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</si>
  <si>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</si>
  <si>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</si>
  <si>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</si>
  <si>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</si>
  <si>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</si>
  <si>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</si>
  <si>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</si>
  <si>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</si>
  <si>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</si>
  <si>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</si>
  <si>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</si>
  <si>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</si>
  <si>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</si>
  <si>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</si>
  <si>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</si>
  <si>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</si>
  <si>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</si>
  <si>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</si>
  <si>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</si>
  <si>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</si>
  <si>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</si>
  <si>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</si>
  <si>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</si>
  <si>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</si>
  <si>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</si>
  <si>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</si>
  <si>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</si>
  <si>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</si>
  <si>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</si>
  <si>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</si>
  <si>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</si>
  <si>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</si>
  <si>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</si>
  <si>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</si>
  <si>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</si>
  <si>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</si>
  <si>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</si>
  <si>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</si>
  <si>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</si>
  <si>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</si>
  <si>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</si>
  <si>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</si>
  <si>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</si>
  <si>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</si>
  <si>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</si>
  <si>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</si>
  <si>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</si>
  <si>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</si>
  <si>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</si>
  <si>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</si>
  <si>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</si>
  <si>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</si>
  <si>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</si>
  <si>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</si>
  <si>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</si>
  <si>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</si>
  <si>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</si>
  <si>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</si>
  <si>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</si>
  <si>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</si>
  <si>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</si>
  <si>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</si>
  <si>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</si>
  <si>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</si>
  <si>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</si>
  <si>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</si>
  <si>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</si>
  <si>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</si>
  <si>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</si>
  <si>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</si>
  <si>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</si>
  <si>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</si>
  <si>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</si>
  <si>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</si>
  <si>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</si>
  <si>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</si>
  <si>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</si>
  <si>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</si>
  <si>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</si>
  <si>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</si>
  <si>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</si>
  <si>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</si>
  <si>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</si>
  <si>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</si>
  <si>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</si>
  <si>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</si>
  <si>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</si>
  <si>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</si>
  <si>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</si>
  <si>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</si>
  <si>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</si>
  <si>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</si>
  <si>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</si>
  <si>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</si>
  <si>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</si>
  <si>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</si>
  <si>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</si>
  <si>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</si>
  <si>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</si>
  <si>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</si>
  <si>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</si>
  <si>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</si>
  <si>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</si>
  <si>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</si>
  <si>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</si>
  <si>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</si>
  <si>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</si>
  <si>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</si>
  <si>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</si>
  <si>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</si>
  <si>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</si>
  <si>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</si>
  <si>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</si>
  <si>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</si>
  <si>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</si>
  <si>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</si>
  <si>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</si>
  <si>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</si>
  <si>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</si>
  <si>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</si>
  <si>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</si>
  <si>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</si>
  <si>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</si>
  <si>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</si>
  <si>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</si>
  <si>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</si>
  <si>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</si>
  <si>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</si>
  <si>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</si>
  <si>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</si>
  <si>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</si>
  <si>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</si>
  <si>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</si>
  <si>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</si>
  <si>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</si>
  <si>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</si>
  <si>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</si>
  <si>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</si>
  <si>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</si>
  <si>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</si>
  <si>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</si>
  <si>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</si>
  <si>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</si>
  <si>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</si>
  <si>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</si>
  <si>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</si>
  <si>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</si>
  <si>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</si>
  <si>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</si>
  <si>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</si>
  <si>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</si>
  <si>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</si>
  <si>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</si>
  <si>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</si>
  <si>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</si>
  <si>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</si>
  <si>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</si>
  <si>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</si>
  <si>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</si>
  <si>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</si>
  <si>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</si>
  <si>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</si>
  <si>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</si>
  <si>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</si>
  <si>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</si>
  <si>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</si>
  <si>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</si>
  <si>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</si>
  <si>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</si>
  <si>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</si>
  <si>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</si>
  <si>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</si>
  <si>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</si>
  <si>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</si>
  <si>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</si>
  <si>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</si>
  <si>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</si>
  <si>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</si>
  <si>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</si>
  <si>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</si>
  <si>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</si>
  <si>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</si>
  <si>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</si>
  <si>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</si>
  <si>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</si>
  <si>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</si>
  <si>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</si>
  <si>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</si>
  <si>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</si>
  <si>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</si>
  <si>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</si>
  <si>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</si>
  <si>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</si>
  <si>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</si>
  <si>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</si>
  <si>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</si>
  <si>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</si>
  <si>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</si>
  <si>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</si>
  <si>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</si>
  <si>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</si>
  <si>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</si>
  <si>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</si>
  <si>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</si>
  <si>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</si>
  <si>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</si>
  <si>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</si>
  <si>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</si>
  <si>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</si>
  <si>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</si>
  <si>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</si>
  <si>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</si>
  <si>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</si>
  <si>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</si>
  <si>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</si>
  <si>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</si>
  <si>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</si>
  <si>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</si>
  <si>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</si>
  <si>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</si>
  <si>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</si>
  <si>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</si>
  <si>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</si>
  <si>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</si>
  <si>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</si>
  <si>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</si>
  <si>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</si>
  <si>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</si>
  <si>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</si>
  <si>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</si>
  <si>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</si>
  <si>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</si>
  <si>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</si>
  <si>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</si>
  <si>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</si>
  <si>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</si>
  <si>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</si>
  <si>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</si>
  <si>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</si>
  <si>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</si>
  <si>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</si>
  <si>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</si>
  <si>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</si>
  <si>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</si>
  <si>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</si>
  <si>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</si>
  <si>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</si>
  <si>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</si>
  <si>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</si>
  <si>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</si>
  <si>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</si>
  <si>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</si>
  <si>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</si>
  <si>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</si>
  <si>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</si>
  <si>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</si>
  <si>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</si>
  <si>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</si>
  <si>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</si>
  <si>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</si>
  <si>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</si>
  <si>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06.07.2023</t>
  </si>
  <si>
    <t>SU002725</t>
  </si>
  <si>
    <t>P003404</t>
  </si>
  <si>
    <t>Сосиски "Сочинки" Весовой п/а ТМ "Стародворье"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</si>
  <si>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</si>
  <si>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</si>
  <si>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</si>
  <si>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</si>
  <si>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</si>
  <si>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</si>
  <si>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</si>
  <si>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</si>
  <si>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</si>
  <si>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</si>
  <si>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</si>
  <si>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</si>
  <si>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</si>
  <si>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</si>
  <si>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</si>
  <si>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</si>
  <si>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</si>
  <si>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</si>
  <si>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</si>
  <si>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</si>
  <si>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</si>
  <si>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</si>
  <si>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</si>
  <si>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</si>
  <si>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</si>
  <si>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</si>
  <si>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</si>
  <si>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</si>
  <si>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</si>
  <si>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</si>
  <si>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</si>
  <si>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</si>
  <si>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</si>
  <si>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</si>
  <si>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</si>
  <si>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</si>
  <si>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</si>
  <si>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</si>
  <si>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</si>
  <si>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</si>
  <si>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</si>
  <si>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</si>
  <si>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</si>
  <si>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</si>
  <si>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</si>
  <si>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</si>
  <si>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</si>
  <si>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</si>
  <si>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</si>
  <si>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</si>
  <si>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</si>
  <si>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</si>
  <si>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</si>
  <si>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</si>
  <si>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</si>
  <si>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</si>
  <si>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</si>
  <si>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</si>
  <si>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</si>
  <si>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</si>
  <si>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</si>
  <si>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</si>
  <si>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</si>
  <si>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</si>
  <si>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</si>
  <si>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</si>
  <si>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</si>
  <si>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</si>
  <si>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</si>
  <si>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</si>
  <si>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</si>
  <si>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</si>
  <si>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</si>
  <si>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</si>
  <si>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</si>
  <si>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</si>
  <si>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</si>
  <si>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</si>
  <si>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</si>
  <si>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</si>
  <si>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</si>
  <si>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</si>
  <si>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</si>
  <si>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</si>
  <si>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</si>
  <si>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</si>
  <si>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</si>
  <si>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</si>
  <si>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</si>
  <si>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</si>
  <si>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</si>
  <si>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</si>
  <si>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</si>
  <si>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</si>
  <si>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</si>
  <si>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</si>
  <si>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</si>
  <si>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</si>
  <si>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</si>
  <si>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</si>
  <si>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</si>
  <si>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</si>
  <si>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</si>
  <si>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</si>
  <si>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</si>
  <si>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</si>
  <si>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</si>
  <si>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</si>
  <si>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</si>
  <si>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</si>
  <si>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</si>
  <si>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</si>
  <si>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</si>
  <si>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</si>
  <si>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</si>
  <si>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</si>
  <si>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</si>
  <si>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</si>
  <si>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</si>
  <si>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</si>
  <si>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</si>
  <si>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</si>
  <si>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</si>
  <si>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</si>
  <si>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</si>
  <si>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</si>
  <si>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</si>
  <si>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</si>
  <si>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</si>
  <si>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</si>
  <si>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</si>
  <si>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</si>
  <si>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</si>
  <si>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</si>
  <si>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</si>
  <si>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</si>
  <si>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</si>
  <si>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</si>
  <si>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</si>
  <si>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</si>
  <si>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</si>
  <si>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</si>
  <si>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</si>
  <si>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</si>
  <si>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</si>
  <si>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</si>
  <si>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</si>
  <si>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</si>
  <si>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</si>
  <si>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</si>
  <si>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</si>
  <si>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</si>
  <si>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</si>
  <si>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</si>
  <si>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</si>
  <si>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</si>
  <si>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</si>
  <si>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</si>
  <si>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</si>
  <si>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</si>
  <si>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</si>
  <si>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</si>
  <si>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</si>
  <si>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</si>
  <si>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</si>
  <si>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</si>
  <si>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</si>
  <si>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</si>
  <si>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</si>
  <si>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</si>
  <si>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</si>
  <si>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05.07.2023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</si>
  <si>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</si>
  <si>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</si>
  <si>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</si>
  <si>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</si>
  <si>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</si>
  <si>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</si>
  <si>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</si>
  <si>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</si>
  <si>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</si>
  <si>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</si>
  <si>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</si>
  <si>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</si>
  <si>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</si>
  <si>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</si>
  <si>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</si>
  <si>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</si>
  <si>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</si>
  <si>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</si>
  <si>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</si>
  <si>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</si>
  <si>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</si>
  <si>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</si>
  <si>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</si>
  <si>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</si>
  <si>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</si>
  <si>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</si>
  <si>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</si>
  <si>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</si>
  <si>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</si>
  <si>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</si>
  <si>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</si>
  <si>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</si>
  <si>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</si>
  <si>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</si>
  <si>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</si>
  <si>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</si>
  <si>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</si>
  <si>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</si>
  <si>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</si>
  <si>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</si>
  <si>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</si>
  <si>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</si>
  <si>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</si>
  <si>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</si>
  <si>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</si>
  <si>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</si>
  <si>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</si>
  <si>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</si>
  <si>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</si>
  <si>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</si>
  <si>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</si>
  <si>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</si>
  <si>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</si>
  <si>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</si>
  <si>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</si>
  <si>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</si>
  <si>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</si>
  <si>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</si>
  <si>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</si>
  <si>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</si>
  <si>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</si>
  <si>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</si>
  <si>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</si>
  <si>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</si>
  <si>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</si>
  <si>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</si>
  <si>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</si>
  <si>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</si>
  <si>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</si>
  <si>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</si>
  <si>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</si>
  <si>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</si>
  <si>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</si>
  <si>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</si>
  <si>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</si>
  <si>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</si>
  <si>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</si>
  <si>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</si>
  <si>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</si>
  <si>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</si>
  <si>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</si>
  <si>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</si>
  <si>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</si>
  <si>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</si>
  <si>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</si>
  <si>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</si>
  <si>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</si>
  <si>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</si>
  <si>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</si>
  <si>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</si>
  <si>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</si>
  <si>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</si>
  <si>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</si>
  <si>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</si>
  <si>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</si>
  <si>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</si>
  <si>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</si>
  <si>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</si>
  <si>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</si>
  <si>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</si>
  <si>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</si>
  <si>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</si>
  <si>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</si>
  <si>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</si>
  <si>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</si>
  <si>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</si>
  <si>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</si>
  <si>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</si>
  <si>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</si>
  <si>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</si>
  <si>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</si>
  <si>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</si>
  <si>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</si>
  <si>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</si>
  <si>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</si>
  <si>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</si>
  <si>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</si>
  <si>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</si>
  <si>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</si>
  <si>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</si>
  <si>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</si>
  <si>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</si>
  <si>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</si>
  <si>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</si>
  <si>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</si>
  <si>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</si>
  <si>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</si>
  <si>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</si>
  <si>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</si>
  <si>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</si>
  <si>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</si>
  <si>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</si>
  <si>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</si>
  <si>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</si>
  <si>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</si>
  <si>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</si>
  <si>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</si>
  <si>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</si>
  <si>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</si>
  <si>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</si>
  <si>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</si>
  <si>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</si>
  <si>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</si>
  <si>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</si>
  <si>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</si>
  <si>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</si>
  <si>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</si>
  <si>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</si>
  <si>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</si>
  <si>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</si>
  <si>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</si>
  <si>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</si>
  <si>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</si>
  <si>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</si>
  <si>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</si>
  <si>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</si>
  <si>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</si>
  <si>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</si>
  <si>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</si>
  <si>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</si>
  <si>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</si>
  <si>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</si>
  <si>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</si>
  <si>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</si>
  <si>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</si>
  <si>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</si>
  <si>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</si>
  <si>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</si>
  <si>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</si>
  <si>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</si>
  <si>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</si>
  <si>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</si>
  <si>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</si>
  <si>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</si>
  <si>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</si>
  <si>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</si>
  <si>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</si>
  <si>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</si>
  <si>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</si>
  <si>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</si>
  <si>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</si>
  <si>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</si>
  <si>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</si>
  <si>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</si>
  <si>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</si>
  <si>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</si>
  <si>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</si>
  <si>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</si>
  <si>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</si>
  <si>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</si>
  <si>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</si>
  <si>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</si>
  <si>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</si>
  <si>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</si>
  <si>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</si>
  <si>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</si>
  <si>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</si>
  <si>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</si>
  <si>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</si>
  <si>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</si>
  <si>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</si>
  <si>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</si>
  <si>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</si>
  <si>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</si>
  <si>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</si>
  <si>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</si>
  <si>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</si>
  <si>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</si>
  <si>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</si>
  <si>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</si>
  <si>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</si>
  <si>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отдельно. Подписать №2.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</si>
</sst>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7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19"/>
  <sheetViews>
    <sheetView showGridLines="0" tabSelected="1" zoomScaleNormal="100" zoomScaleSheetLayoutView="100" workbookViewId="0">
      <selection activeCell="N11" sqref="N11:O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51" t="s">
        <v>29</v>
      </c>
      <c r="E1" s="351"/>
      <c r="F1" s="351"/>
      <c r="G1" s="14" t="s">
        <v>64</v>
      </c>
      <c r="H1" s="351" t="s">
        <v>49</v>
      </c>
      <c r="I1" s="351"/>
      <c r="J1" s="351"/>
      <c r="K1" s="351"/>
      <c r="L1" s="351"/>
      <c r="M1" s="351"/>
      <c r="N1" s="351"/>
      <c r="O1" s="352" t="s">
        <v>65</v>
      </c>
      <c r="P1" s="353"/>
      <c r="Q1" s="35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54"/>
      <c r="O2" s="354"/>
      <c r="P2" s="354"/>
      <c r="Q2" s="354"/>
      <c r="R2" s="354"/>
      <c r="S2" s="354"/>
      <c r="T2" s="35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54"/>
      <c r="N3" s="354"/>
      <c r="O3" s="354"/>
      <c r="P3" s="354"/>
      <c r="Q3" s="354"/>
      <c r="R3" s="354"/>
      <c r="S3" s="354"/>
      <c r="T3" s="35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33" t="s">
        <v>8</v>
      </c>
      <c r="B5" s="333"/>
      <c r="C5" s="333"/>
      <c r="D5" s="355"/>
      <c r="E5" s="355"/>
      <c r="F5" s="356" t="s">
        <v>14</v>
      </c>
      <c r="G5" s="356"/>
      <c r="H5" s="355" t="s">
        <v>787</v>
      </c>
      <c r="I5" s="355"/>
      <c r="J5" s="355"/>
      <c r="K5" s="355"/>
      <c r="M5" s="27" t="s">
        <v>4</v>
      </c>
      <c r="N5" s="350">
        <v>45113</v>
      </c>
      <c r="O5" s="350"/>
      <c r="Q5" s="357" t="s">
        <v>3</v>
      </c>
      <c r="R5" s="358"/>
      <c r="S5" s="359" t="s">
        <v>743</v>
      </c>
      <c r="T5" s="360"/>
      <c r="Y5" s="60"/>
      <c r="Z5" s="60"/>
      <c r="AA5" s="60"/>
    </row>
    <row r="6" spans="1:28" s="17" customFormat="1" ht="24" customHeight="1" x14ac:dyDescent="0.2">
      <c r="A6" s="333" t="s">
        <v>1</v>
      </c>
      <c r="B6" s="333"/>
      <c r="C6" s="333"/>
      <c r="D6" s="334" t="s">
        <v>762</v>
      </c>
      <c r="E6" s="334"/>
      <c r="F6" s="334"/>
      <c r="G6" s="334"/>
      <c r="H6" s="334"/>
      <c r="I6" s="334"/>
      <c r="J6" s="334"/>
      <c r="K6" s="334"/>
      <c r="M6" s="27" t="s">
        <v>30</v>
      </c>
      <c r="N6" s="335" t="str">
        <f>IF(N5=0," ",CHOOSE(WEEKDAY(N5,2),"Понедельник","Вторник","Среда","Четверг","Пятница","Суббота","Воскресенье"))</f>
        <v>Четверг</v>
      </c>
      <c r="O6" s="335"/>
      <c r="Q6" s="336" t="s">
        <v>5</v>
      </c>
      <c r="R6" s="337"/>
      <c r="S6" s="338" t="s">
        <v>67</v>
      </c>
      <c r="T6" s="33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44" t="str">
        <f>IFERROR(VLOOKUP(DeliveryAddress,Table,3,0),1)</f>
        <v>7</v>
      </c>
      <c r="E7" s="345"/>
      <c r="F7" s="345"/>
      <c r="G7" s="345"/>
      <c r="H7" s="345"/>
      <c r="I7" s="345"/>
      <c r="J7" s="345"/>
      <c r="K7" s="346"/>
      <c r="M7" s="29"/>
      <c r="N7" s="49"/>
      <c r="O7" s="49"/>
      <c r="Q7" s="336"/>
      <c r="R7" s="337"/>
      <c r="S7" s="340"/>
      <c r="T7" s="341"/>
      <c r="Y7" s="60"/>
      <c r="Z7" s="60"/>
      <c r="AA7" s="60"/>
    </row>
    <row r="8" spans="1:28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M8" s="27" t="s">
        <v>11</v>
      </c>
      <c r="N8" s="328">
        <v>0.5</v>
      </c>
      <c r="O8" s="328"/>
      <c r="Q8" s="336"/>
      <c r="R8" s="337"/>
      <c r="S8" s="340"/>
      <c r="T8" s="341"/>
      <c r="Y8" s="60"/>
      <c r="Z8" s="60"/>
      <c r="AA8" s="60"/>
    </row>
    <row r="9" spans="1:28" s="17" customFormat="1" ht="39.950000000000003" customHeight="1" x14ac:dyDescent="0.2">
      <c r="A9" s="3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325" t="s">
        <v>48</v>
      </c>
      <c r="E9" s="326"/>
      <c r="F9" s="3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31" t="s">
        <v>15</v>
      </c>
      <c r="N9" s="350"/>
      <c r="O9" s="350"/>
      <c r="Q9" s="336"/>
      <c r="R9" s="337"/>
      <c r="S9" s="342"/>
      <c r="T9" s="34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325"/>
      <c r="E10" s="326"/>
      <c r="F10" s="3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327" t="str">
        <f>IFERROR(VLOOKUP($D$10,Proxy,2,FALSE),"")</f>
        <v/>
      </c>
      <c r="I10" s="327"/>
      <c r="J10" s="327"/>
      <c r="K10" s="327"/>
      <c r="M10" s="31" t="s">
        <v>35</v>
      </c>
      <c r="N10" s="328"/>
      <c r="O10" s="328"/>
      <c r="R10" s="29" t="s">
        <v>12</v>
      </c>
      <c r="S10" s="329" t="s">
        <v>68</v>
      </c>
      <c r="T10" s="33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8"/>
      <c r="O11" s="328"/>
      <c r="R11" s="29" t="s">
        <v>31</v>
      </c>
      <c r="S11" s="316" t="s">
        <v>57</v>
      </c>
      <c r="T11" s="31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15" t="s">
        <v>69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M12" s="27" t="s">
        <v>33</v>
      </c>
      <c r="N12" s="331"/>
      <c r="O12" s="331"/>
      <c r="P12" s="28"/>
      <c r="Q12"/>
      <c r="R12" s="29" t="s">
        <v>48</v>
      </c>
      <c r="S12" s="332"/>
      <c r="T12" s="332"/>
      <c r="U12"/>
      <c r="Y12" s="60"/>
      <c r="Z12" s="60"/>
      <c r="AA12" s="60"/>
    </row>
    <row r="13" spans="1:28" s="17" customFormat="1" ht="23.25" customHeight="1" x14ac:dyDescent="0.2">
      <c r="A13" s="315" t="s">
        <v>70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"/>
      <c r="M13" s="31" t="s">
        <v>34</v>
      </c>
      <c r="N13" s="316"/>
      <c r="O13" s="31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15" t="s">
        <v>71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17" t="s">
        <v>72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/>
      <c r="M15" s="318" t="s">
        <v>63</v>
      </c>
      <c r="N15" s="318"/>
      <c r="O15" s="318"/>
      <c r="P15" s="318"/>
      <c r="Q15" s="31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19"/>
      <c r="N16" s="319"/>
      <c r="O16" s="319"/>
      <c r="P16" s="319"/>
      <c r="Q16" s="319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05" t="s">
        <v>61</v>
      </c>
      <c r="B17" s="305" t="s">
        <v>51</v>
      </c>
      <c r="C17" s="321" t="s">
        <v>50</v>
      </c>
      <c r="D17" s="305" t="s">
        <v>52</v>
      </c>
      <c r="E17" s="305"/>
      <c r="F17" s="305" t="s">
        <v>24</v>
      </c>
      <c r="G17" s="305" t="s">
        <v>27</v>
      </c>
      <c r="H17" s="305" t="s">
        <v>25</v>
      </c>
      <c r="I17" s="305" t="s">
        <v>26</v>
      </c>
      <c r="J17" s="322" t="s">
        <v>16</v>
      </c>
      <c r="K17" s="322" t="s">
        <v>2</v>
      </c>
      <c r="L17" s="305" t="s">
        <v>28</v>
      </c>
      <c r="M17" s="305" t="s">
        <v>17</v>
      </c>
      <c r="N17" s="305"/>
      <c r="O17" s="305"/>
      <c r="P17" s="305"/>
      <c r="Q17" s="305"/>
      <c r="R17" s="320" t="s">
        <v>58</v>
      </c>
      <c r="S17" s="305"/>
      <c r="T17" s="305" t="s">
        <v>6</v>
      </c>
      <c r="U17" s="305" t="s">
        <v>44</v>
      </c>
      <c r="V17" s="306" t="s">
        <v>56</v>
      </c>
      <c r="W17" s="305" t="s">
        <v>18</v>
      </c>
      <c r="X17" s="308" t="s">
        <v>62</v>
      </c>
      <c r="Y17" s="308" t="s">
        <v>19</v>
      </c>
      <c r="Z17" s="309" t="s">
        <v>59</v>
      </c>
      <c r="AA17" s="310"/>
      <c r="AB17" s="311"/>
    </row>
    <row r="18" spans="1:28" ht="14.25" customHeight="1" x14ac:dyDescent="0.2">
      <c r="A18" s="305"/>
      <c r="B18" s="305"/>
      <c r="C18" s="321"/>
      <c r="D18" s="305"/>
      <c r="E18" s="305"/>
      <c r="F18" s="305" t="s">
        <v>20</v>
      </c>
      <c r="G18" s="305" t="s">
        <v>21</v>
      </c>
      <c r="H18" s="305" t="s">
        <v>22</v>
      </c>
      <c r="I18" s="305" t="s">
        <v>22</v>
      </c>
      <c r="J18" s="323"/>
      <c r="K18" s="323"/>
      <c r="L18" s="305"/>
      <c r="M18" s="305"/>
      <c r="N18" s="305"/>
      <c r="O18" s="305"/>
      <c r="P18" s="305"/>
      <c r="Q18" s="305"/>
      <c r="R18" s="36" t="s">
        <v>47</v>
      </c>
      <c r="S18" s="36" t="s">
        <v>46</v>
      </c>
      <c r="T18" s="305"/>
      <c r="U18" s="305"/>
      <c r="V18" s="307"/>
      <c r="W18" s="305"/>
      <c r="X18" s="308"/>
      <c r="Y18" s="308"/>
      <c r="Z18" s="312"/>
      <c r="AA18" s="313"/>
      <c r="AB18" s="314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03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04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298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299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00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01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02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296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297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294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295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292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250</v>
      </c>
      <c r="V50" s="56">
        <f>IFERROR(IF(U50="",0,CEILING((U50/$H50),1)*$H50),"")</f>
        <v>259.20000000000005</v>
      </c>
      <c r="W50" s="42">
        <f>IFERROR(IF(V50=0,"",ROUNDUP(V50/H50,0)*0.02175),"")</f>
        <v>0.52200000000000002</v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293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180</v>
      </c>
      <c r="V51" s="56">
        <f>IFERROR(IF(U51="",0,CEILING((U51/$H51),1)*$H51),"")</f>
        <v>180.9</v>
      </c>
      <c r="W51" s="42">
        <f>IFERROR(IF(V51=0,"",ROUNDUP(V51/H51,0)*0.00753),"")</f>
        <v>0.50451000000000001</v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89.81481481481481</v>
      </c>
      <c r="V52" s="44">
        <f>IFERROR(V50/H50,"0")+IFERROR(V51/H51,"0")</f>
        <v>91</v>
      </c>
      <c r="W52" s="44">
        <f>IFERROR(IF(W50="",0,W50),"0")+IFERROR(IF(W51="",0,W51),"0")</f>
        <v>1.02651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430</v>
      </c>
      <c r="V53" s="44">
        <f>IFERROR(SUM(V50:V51),"0")</f>
        <v>440.1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290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291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360</v>
      </c>
      <c r="V57" s="56">
        <f>IFERROR(IF(U57="",0,CEILING((U57/$H57),1)*$H57),"")</f>
        <v>360</v>
      </c>
      <c r="W57" s="42">
        <f>IFERROR(IF(V57=0,"",ROUNDUP(V57/H57,0)*0.00937),"")</f>
        <v>0.74960000000000004</v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288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100</v>
      </c>
      <c r="V58" s="56">
        <f>IFERROR(IF(U58="",0,CEILING((U58/$H58),1)*$H58),"")</f>
        <v>100</v>
      </c>
      <c r="W58" s="42">
        <f>IFERROR(IF(V58=0,"",ROUNDUP(V58/H58,0)*0.00937),"")</f>
        <v>0.23424999999999999</v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105</v>
      </c>
      <c r="V59" s="44">
        <f>IFERROR(V56/H56,"0")+IFERROR(V57/H57,"0")+IFERROR(V58/H58,"0")</f>
        <v>105</v>
      </c>
      <c r="W59" s="44">
        <f>IFERROR(IF(W56="",0,W56),"0")+IFERROR(IF(W57="",0,W57),"0")+IFERROR(IF(W58="",0,W58),"0")</f>
        <v>0.98385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460</v>
      </c>
      <c r="V60" s="44">
        <f>IFERROR(SUM(V56:V58),"0")</f>
        <v>460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289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83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60</v>
      </c>
      <c r="V64" s="56">
        <f t="shared" si="2"/>
        <v>64.800000000000011</v>
      </c>
      <c r="W64" s="42">
        <f>IFERROR(IF(V64=0,"",ROUNDUP(V64/H64,0)*0.02175),"")</f>
        <v>0.1305</v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84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85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86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87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90</v>
      </c>
      <c r="V68" s="56">
        <f t="shared" si="2"/>
        <v>90</v>
      </c>
      <c r="W68" s="42">
        <f>IFERROR(IF(V68=0,"",ROUNDUP(V68/H68,0)*0.00753),"")</f>
        <v>0.22590000000000002</v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78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300</v>
      </c>
      <c r="V69" s="56">
        <f t="shared" si="2"/>
        <v>300</v>
      </c>
      <c r="W69" s="42">
        <f t="shared" ref="W69:W74" si="3">IFERROR(IF(V69=0,"",ROUNDUP(V69/H69,0)*0.00937),"")</f>
        <v>0.70274999999999999</v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79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200</v>
      </c>
      <c r="V70" s="56">
        <f t="shared" si="2"/>
        <v>200</v>
      </c>
      <c r="W70" s="42">
        <f t="shared" si="3"/>
        <v>0.46849999999999997</v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80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81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4301011443</v>
      </c>
      <c r="D73" s="80">
        <v>4680115881303</v>
      </c>
      <c r="E73" s="8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146</v>
      </c>
      <c r="L73" s="38">
        <v>50</v>
      </c>
      <c r="M73" s="282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300</v>
      </c>
      <c r="V73" s="56">
        <f t="shared" si="2"/>
        <v>301.5</v>
      </c>
      <c r="W73" s="42">
        <f t="shared" si="3"/>
        <v>0.62778999999999996</v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4301011414</v>
      </c>
      <c r="D74" s="80">
        <v>4607091381986</v>
      </c>
      <c r="E74" s="80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122</v>
      </c>
      <c r="L74" s="38">
        <v>45</v>
      </c>
      <c r="M74" s="273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74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75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76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135</v>
      </c>
      <c r="V77" s="56">
        <f t="shared" si="2"/>
        <v>135</v>
      </c>
      <c r="W77" s="42">
        <f>IFERROR(IF(V77=0,"",ROUNDUP(V77/H77,0)*0.00937),"")</f>
        <v>0.28110000000000002</v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77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257.22222222222223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258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2.4365399999999999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1085</v>
      </c>
      <c r="V80" s="44">
        <f>IFERROR(SUM(V63:V78),"0")</f>
        <v>1091.3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70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71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72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67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68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69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63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26</v>
      </c>
      <c r="V91" s="56">
        <f t="shared" ref="V91:V99" si="5">IFERROR(IF(U91="",0,CEILING((U91/$H91),1)*$H91),"")</f>
        <v>27</v>
      </c>
      <c r="W91" s="42">
        <f>IFERROR(IF(V91=0,"",ROUNDUP(V91/H91,0)*0.02175),"")</f>
        <v>6.5250000000000002E-2</v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64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65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66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58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59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60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61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62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2.8888888888888888</v>
      </c>
      <c r="V100" s="44">
        <f>IFERROR(V91/H91,"0")+IFERROR(V92/H92,"0")+IFERROR(V93/H93,"0")+IFERROR(V94/H94,"0")+IFERROR(V95/H95,"0")+IFERROR(V96/H96,"0")+IFERROR(V97/H97,"0")+IFERROR(V98/H98,"0")+IFERROR(V99/H99,"0")</f>
        <v>3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6.5250000000000002E-2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26</v>
      </c>
      <c r="V101" s="44">
        <f>IFERROR(SUM(V91:V99),"0")</f>
        <v>27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55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32</v>
      </c>
      <c r="V103" s="56">
        <f t="shared" ref="V103:V109" si="6">IFERROR(IF(U103="",0,CEILING((U103/$H103),1)*$H103),"")</f>
        <v>32.4</v>
      </c>
      <c r="W103" s="42">
        <f>IFERROR(IF(V103=0,"",ROUNDUP(V103/H103,0)*0.02175),"")</f>
        <v>8.6999999999999994E-2</v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56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8</v>
      </c>
      <c r="V104" s="56">
        <f t="shared" si="6"/>
        <v>8.1</v>
      </c>
      <c r="W104" s="42">
        <f>IFERROR(IF(V104=0,"",ROUNDUP(V104/H104,0)*0.02175),"")</f>
        <v>2.1749999999999999E-2</v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57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30</v>
      </c>
      <c r="V105" s="56">
        <f t="shared" si="6"/>
        <v>30</v>
      </c>
      <c r="W105" s="42">
        <f>IFERROR(IF(V105=0,"",ROUNDUP(V105/H105,0)*0.00753),"")</f>
        <v>7.5300000000000006E-2</v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51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225</v>
      </c>
      <c r="V106" s="56">
        <f t="shared" si="6"/>
        <v>226.8</v>
      </c>
      <c r="W106" s="42">
        <f>IFERROR(IF(V106=0,"",ROUNDUP(V106/H106,0)*0.00753),"")</f>
        <v>0.63251999999999997</v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52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53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54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36</v>
      </c>
      <c r="V109" s="56">
        <f t="shared" si="6"/>
        <v>36</v>
      </c>
      <c r="W109" s="42">
        <f>IFERROR(IF(V109=0,"",ROUNDUP(V109/H109,0)*0.00753),"")</f>
        <v>9.0359999999999996E-2</v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110.27160493827159</v>
      </c>
      <c r="V110" s="44">
        <f>IFERROR(V103/H103,"0")+IFERROR(V104/H104,"0")+IFERROR(V105/H105,"0")+IFERROR(V106/H106,"0")+IFERROR(V107/H107,"0")+IFERROR(V108/H108,"0")+IFERROR(V109/H109,"0")</f>
        <v>111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0.90693000000000001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331</v>
      </c>
      <c r="V111" s="44">
        <f>IFERROR(SUM(V103:V109),"0")</f>
        <v>333.3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47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48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49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50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45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15</v>
      </c>
      <c r="V121" s="56">
        <f>IFERROR(IF(U121="",0,CEILING((U121/$H121),1)*$H121),"")</f>
        <v>16.2</v>
      </c>
      <c r="W121" s="42">
        <f>IFERROR(IF(V121=0,"",ROUNDUP(V121/H121,0)*0.02175),"")</f>
        <v>4.3499999999999997E-2</v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46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43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225</v>
      </c>
      <c r="V123" s="56">
        <f>IFERROR(IF(U123="",0,CEILING((U123/$H123),1)*$H123),"")</f>
        <v>226.8</v>
      </c>
      <c r="W123" s="42">
        <f>IFERROR(IF(V123=0,"",ROUNDUP(V123/H123,0)*0.00753),"")</f>
        <v>0.63251999999999997</v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44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85.185185185185176</v>
      </c>
      <c r="V125" s="44">
        <f>IFERROR(V121/H121,"0")+IFERROR(V122/H122,"0")+IFERROR(V123/H123,"0")+IFERROR(V124/H124,"0")</f>
        <v>86</v>
      </c>
      <c r="W125" s="44">
        <f>IFERROR(IF(W121="",0,W121),"0")+IFERROR(IF(W122="",0,W122),"0")+IFERROR(IF(W123="",0,W123),"0")+IFERROR(IF(W124="",0,W124),"0")</f>
        <v>0.67601999999999995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240</v>
      </c>
      <c r="V126" s="44">
        <f>IFERROR(SUM(V121:V124),"0")</f>
        <v>243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40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41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42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27" customHeight="1" x14ac:dyDescent="0.25">
      <c r="A137" s="64" t="s">
        <v>291</v>
      </c>
      <c r="B137" s="64" t="s">
        <v>292</v>
      </c>
      <c r="C137" s="37">
        <v>4301011346</v>
      </c>
      <c r="D137" s="80">
        <v>4607091387445</v>
      </c>
      <c r="E137" s="80"/>
      <c r="F137" s="63">
        <v>0.9</v>
      </c>
      <c r="G137" s="38">
        <v>10</v>
      </c>
      <c r="H137" s="63">
        <v>9</v>
      </c>
      <c r="I137" s="63">
        <v>9.6300000000000008</v>
      </c>
      <c r="J137" s="38">
        <v>56</v>
      </c>
      <c r="K137" s="39" t="s">
        <v>122</v>
      </c>
      <c r="L137" s="38">
        <v>31</v>
      </c>
      <c r="M137" s="236" t="s">
        <v>293</v>
      </c>
      <c r="N137" s="82"/>
      <c r="O137" s="82"/>
      <c r="P137" s="82"/>
      <c r="Q137" s="8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0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</row>
    <row r="138" spans="1:25" ht="27" customHeight="1" x14ac:dyDescent="0.25">
      <c r="A138" s="64" t="s">
        <v>294</v>
      </c>
      <c r="B138" s="64" t="s">
        <v>295</v>
      </c>
      <c r="C138" s="37">
        <v>4301011362</v>
      </c>
      <c r="D138" s="80">
        <v>4607091386004</v>
      </c>
      <c r="E138" s="80"/>
      <c r="F138" s="63">
        <v>1.35</v>
      </c>
      <c r="G138" s="38">
        <v>8</v>
      </c>
      <c r="H138" s="63">
        <v>10.8</v>
      </c>
      <c r="I138" s="63">
        <v>11.28</v>
      </c>
      <c r="J138" s="38">
        <v>48</v>
      </c>
      <c r="K138" s="39" t="s">
        <v>297</v>
      </c>
      <c r="L138" s="38">
        <v>55</v>
      </c>
      <c r="M138" s="237" t="s">
        <v>296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IFERROR(IF(V138=0,"",ROUNDUP(V138/H138,0)*0.02039),"")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294</v>
      </c>
      <c r="B139" s="64" t="s">
        <v>298</v>
      </c>
      <c r="C139" s="37">
        <v>4301011308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56</v>
      </c>
      <c r="K139" s="39" t="s">
        <v>122</v>
      </c>
      <c r="L139" s="38">
        <v>55</v>
      </c>
      <c r="M139" s="238" t="s">
        <v>296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IFERROR(IF(V139=0,"",ROUNDUP(V139/H139,0)*0.02175),"")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300</v>
      </c>
      <c r="C140" s="37">
        <v>4301011347</v>
      </c>
      <c r="D140" s="80">
        <v>4607091386073</v>
      </c>
      <c r="E140" s="80"/>
      <c r="F140" s="63">
        <v>0.9</v>
      </c>
      <c r="G140" s="38">
        <v>10</v>
      </c>
      <c r="H140" s="63">
        <v>9</v>
      </c>
      <c r="I140" s="63">
        <v>9.6300000000000008</v>
      </c>
      <c r="J140" s="38">
        <v>56</v>
      </c>
      <c r="K140" s="39" t="s">
        <v>122</v>
      </c>
      <c r="L140" s="38">
        <v>31</v>
      </c>
      <c r="M140" s="239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302</v>
      </c>
      <c r="B141" s="64" t="s">
        <v>303</v>
      </c>
      <c r="C141" s="37">
        <v>4301010928</v>
      </c>
      <c r="D141" s="80">
        <v>4607091387322</v>
      </c>
      <c r="E141" s="80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122</v>
      </c>
      <c r="L141" s="38">
        <v>55</v>
      </c>
      <c r="M141" s="231" t="s">
        <v>304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302</v>
      </c>
      <c r="B142" s="64" t="s">
        <v>305</v>
      </c>
      <c r="C142" s="37">
        <v>4301011395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297</v>
      </c>
      <c r="L142" s="38">
        <v>55</v>
      </c>
      <c r="M142" s="232" t="s">
        <v>304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306</v>
      </c>
      <c r="B143" s="64" t="s">
        <v>307</v>
      </c>
      <c r="C143" s="37">
        <v>4301011311</v>
      </c>
      <c r="D143" s="80">
        <v>4607091387377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122</v>
      </c>
      <c r="L143" s="38">
        <v>55</v>
      </c>
      <c r="M143" s="233" t="s">
        <v>308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309</v>
      </c>
      <c r="B144" s="64" t="s">
        <v>310</v>
      </c>
      <c r="C144" s="37">
        <v>4301010945</v>
      </c>
      <c r="D144" s="80">
        <v>4607091387353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34" t="s">
        <v>311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312</v>
      </c>
      <c r="B145" s="64" t="s">
        <v>313</v>
      </c>
      <c r="C145" s="37">
        <v>4301011328</v>
      </c>
      <c r="D145" s="80">
        <v>4607091386011</v>
      </c>
      <c r="E145" s="80"/>
      <c r="F145" s="63">
        <v>0.5</v>
      </c>
      <c r="G145" s="38">
        <v>10</v>
      </c>
      <c r="H145" s="63">
        <v>5</v>
      </c>
      <c r="I145" s="63">
        <v>5.21</v>
      </c>
      <c r="J145" s="38">
        <v>120</v>
      </c>
      <c r="K145" s="39" t="s">
        <v>78</v>
      </c>
      <c r="L145" s="38">
        <v>55</v>
      </c>
      <c r="M145" s="235" t="s">
        <v>314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15</v>
      </c>
      <c r="V145" s="56">
        <f t="shared" si="7"/>
        <v>15</v>
      </c>
      <c r="W145" s="42">
        <f>IFERROR(IF(V145=0,"",ROUNDUP(V145/H145,0)*0.00937),"")</f>
        <v>2.811E-2</v>
      </c>
      <c r="X145" s="69" t="s">
        <v>48</v>
      </c>
      <c r="Y145" s="70" t="s">
        <v>48</v>
      </c>
    </row>
    <row r="146" spans="1:25" ht="27" customHeight="1" x14ac:dyDescent="0.25">
      <c r="A146" s="64" t="s">
        <v>315</v>
      </c>
      <c r="B146" s="64" t="s">
        <v>316</v>
      </c>
      <c r="C146" s="37">
        <v>4301011329</v>
      </c>
      <c r="D146" s="80">
        <v>4607091387308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26" t="s">
        <v>317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318</v>
      </c>
      <c r="B147" s="64" t="s">
        <v>319</v>
      </c>
      <c r="C147" s="37">
        <v>4301011049</v>
      </c>
      <c r="D147" s="80">
        <v>4607091387339</v>
      </c>
      <c r="E147" s="80"/>
      <c r="F147" s="63">
        <v>0.5</v>
      </c>
      <c r="G147" s="38">
        <v>10</v>
      </c>
      <c r="H147" s="63">
        <v>5</v>
      </c>
      <c r="I147" s="63">
        <v>5.24</v>
      </c>
      <c r="J147" s="38">
        <v>120</v>
      </c>
      <c r="K147" s="39" t="s">
        <v>122</v>
      </c>
      <c r="L147" s="38">
        <v>55</v>
      </c>
      <c r="M147" s="227" t="s">
        <v>320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10</v>
      </c>
      <c r="V147" s="56">
        <f t="shared" si="7"/>
        <v>10</v>
      </c>
      <c r="W147" s="42">
        <f>IFERROR(IF(V147=0,"",ROUNDUP(V147/H147,0)*0.00937),"")</f>
        <v>1.874E-2</v>
      </c>
      <c r="X147" s="69" t="s">
        <v>48</v>
      </c>
      <c r="Y147" s="70" t="s">
        <v>48</v>
      </c>
    </row>
    <row r="148" spans="1:25" ht="27" customHeight="1" x14ac:dyDescent="0.25">
      <c r="A148" s="64" t="s">
        <v>321</v>
      </c>
      <c r="B148" s="64" t="s">
        <v>322</v>
      </c>
      <c r="C148" s="37">
        <v>4301011454</v>
      </c>
      <c r="D148" s="80">
        <v>4680115881396</v>
      </c>
      <c r="E148" s="80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228" t="s">
        <v>323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324</v>
      </c>
      <c r="B149" s="64" t="s">
        <v>325</v>
      </c>
      <c r="C149" s="37">
        <v>4301010944</v>
      </c>
      <c r="D149" s="80">
        <v>4607091387346</v>
      </c>
      <c r="E149" s="80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122</v>
      </c>
      <c r="L149" s="38">
        <v>55</v>
      </c>
      <c r="M149" s="229" t="s">
        <v>326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327</v>
      </c>
      <c r="B150" s="64" t="s">
        <v>328</v>
      </c>
      <c r="C150" s="37">
        <v>4301011353</v>
      </c>
      <c r="D150" s="80">
        <v>4607091389807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30" t="s">
        <v>329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89"/>
      <c r="M151" s="86" t="s">
        <v>43</v>
      </c>
      <c r="N151" s="87"/>
      <c r="O151" s="87"/>
      <c r="P151" s="87"/>
      <c r="Q151" s="87"/>
      <c r="R151" s="87"/>
      <c r="S151" s="88"/>
      <c r="T151" s="43" t="s">
        <v>42</v>
      </c>
      <c r="U151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5</v>
      </c>
      <c r="V151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5</v>
      </c>
      <c r="W151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4.6850000000000003E-2</v>
      </c>
      <c r="X151" s="68"/>
      <c r="Y151" s="68"/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0</v>
      </c>
      <c r="U152" s="44">
        <f>IFERROR(SUM(U137:U150),"0")</f>
        <v>25</v>
      </c>
      <c r="V152" s="44">
        <f>IFERROR(SUM(V137:V150),"0")</f>
        <v>25</v>
      </c>
      <c r="W152" s="43"/>
      <c r="X152" s="68"/>
      <c r="Y152" s="68"/>
    </row>
    <row r="153" spans="1:25" ht="14.25" customHeight="1" x14ac:dyDescent="0.25">
      <c r="A153" s="90" t="s">
        <v>118</v>
      </c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67"/>
      <c r="Y153" s="67"/>
    </row>
    <row r="154" spans="1:25" ht="16.5" customHeight="1" x14ac:dyDescent="0.25">
      <c r="A154" s="64" t="s">
        <v>330</v>
      </c>
      <c r="B154" s="64" t="s">
        <v>331</v>
      </c>
      <c r="C154" s="37">
        <v>4301020220</v>
      </c>
      <c r="D154" s="80">
        <v>4680115880764</v>
      </c>
      <c r="E154" s="80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122</v>
      </c>
      <c r="L154" s="38">
        <v>50</v>
      </c>
      <c r="M154" s="225" t="s">
        <v>332</v>
      </c>
      <c r="N154" s="82"/>
      <c r="O154" s="82"/>
      <c r="P154" s="82"/>
      <c r="Q154" s="83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</row>
    <row r="155" spans="1:25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89"/>
      <c r="M155" s="86" t="s">
        <v>43</v>
      </c>
      <c r="N155" s="87"/>
      <c r="O155" s="87"/>
      <c r="P155" s="87"/>
      <c r="Q155" s="87"/>
      <c r="R155" s="87"/>
      <c r="S155" s="88"/>
      <c r="T155" s="43" t="s">
        <v>42</v>
      </c>
      <c r="U155" s="44">
        <f>IFERROR(U154/H154,"0")</f>
        <v>0</v>
      </c>
      <c r="V155" s="44">
        <f>IFERROR(V154/H154,"0")</f>
        <v>0</v>
      </c>
      <c r="W155" s="44">
        <f>IFERROR(IF(W154="",0,W154),"0")</f>
        <v>0</v>
      </c>
      <c r="X155" s="68"/>
      <c r="Y155" s="68"/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0</v>
      </c>
      <c r="U156" s="44">
        <f>IFERROR(SUM(U154:U154),"0")</f>
        <v>0</v>
      </c>
      <c r="V156" s="44">
        <f>IFERROR(SUM(V154:V154),"0")</f>
        <v>0</v>
      </c>
      <c r="W156" s="43"/>
      <c r="X156" s="68"/>
      <c r="Y156" s="68"/>
    </row>
    <row r="157" spans="1:25" ht="14.25" customHeight="1" x14ac:dyDescent="0.25">
      <c r="A157" s="90" t="s">
        <v>74</v>
      </c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67"/>
      <c r="Y157" s="67"/>
    </row>
    <row r="158" spans="1:25" ht="27" customHeight="1" x14ac:dyDescent="0.25">
      <c r="A158" s="64" t="s">
        <v>333</v>
      </c>
      <c r="B158" s="64" t="s">
        <v>334</v>
      </c>
      <c r="C158" s="37">
        <v>4301031224</v>
      </c>
      <c r="D158" s="80">
        <v>4680115882683</v>
      </c>
      <c r="E158" s="80"/>
      <c r="F158" s="63">
        <v>0.9</v>
      </c>
      <c r="G158" s="38">
        <v>6</v>
      </c>
      <c r="H158" s="63">
        <v>5.4</v>
      </c>
      <c r="I158" s="63">
        <v>5.88</v>
      </c>
      <c r="J158" s="38">
        <v>56</v>
      </c>
      <c r="K158" s="39" t="s">
        <v>78</v>
      </c>
      <c r="L158" s="38">
        <v>40</v>
      </c>
      <c r="M158" s="221" t="s">
        <v>335</v>
      </c>
      <c r="N158" s="82"/>
      <c r="O158" s="82"/>
      <c r="P158" s="82"/>
      <c r="Q158" s="83"/>
      <c r="R158" s="40" t="s">
        <v>48</v>
      </c>
      <c r="S158" s="40" t="s">
        <v>48</v>
      </c>
      <c r="T158" s="41" t="s">
        <v>0</v>
      </c>
      <c r="U158" s="59">
        <v>0</v>
      </c>
      <c r="V158" s="56">
        <f t="shared" ref="V158:V171" si="8"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336</v>
      </c>
    </row>
    <row r="159" spans="1:25" ht="27" customHeight="1" x14ac:dyDescent="0.25">
      <c r="A159" s="64" t="s">
        <v>337</v>
      </c>
      <c r="B159" s="64" t="s">
        <v>338</v>
      </c>
      <c r="C159" s="37">
        <v>4301031230</v>
      </c>
      <c r="D159" s="80">
        <v>4680115882690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2" t="s">
        <v>339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si="8"/>
        <v>0</v>
      </c>
      <c r="W159" s="42" t="str">
        <f>IFERROR(IF(V159=0,"",ROUNDUP(V159/H159,0)*0.02175),"")</f>
        <v/>
      </c>
      <c r="X159" s="69" t="s">
        <v>48</v>
      </c>
      <c r="Y159" s="70" t="s">
        <v>336</v>
      </c>
    </row>
    <row r="160" spans="1:25" ht="27" customHeight="1" x14ac:dyDescent="0.25">
      <c r="A160" s="64" t="s">
        <v>340</v>
      </c>
      <c r="B160" s="64" t="s">
        <v>341</v>
      </c>
      <c r="C160" s="37">
        <v>4301030878</v>
      </c>
      <c r="D160" s="80">
        <v>4607091387193</v>
      </c>
      <c r="E160" s="80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78</v>
      </c>
      <c r="L160" s="38">
        <v>35</v>
      </c>
      <c r="M160" s="223" t="s">
        <v>342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15</v>
      </c>
      <c r="V160" s="56">
        <f t="shared" si="8"/>
        <v>16.8</v>
      </c>
      <c r="W160" s="42">
        <f>IFERROR(IF(V160=0,"",ROUNDUP(V160/H160,0)*0.00753),"")</f>
        <v>3.0120000000000001E-2</v>
      </c>
      <c r="X160" s="69" t="s">
        <v>48</v>
      </c>
      <c r="Y160" s="70" t="s">
        <v>48</v>
      </c>
    </row>
    <row r="161" spans="1:25" ht="27" customHeight="1" x14ac:dyDescent="0.25">
      <c r="A161" s="64" t="s">
        <v>343</v>
      </c>
      <c r="B161" s="64" t="s">
        <v>344</v>
      </c>
      <c r="C161" s="37">
        <v>4301031153</v>
      </c>
      <c r="D161" s="80">
        <v>4607091387230</v>
      </c>
      <c r="E161" s="80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78</v>
      </c>
      <c r="L161" s="38">
        <v>40</v>
      </c>
      <c r="M161" s="224" t="s">
        <v>345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</row>
    <row r="162" spans="1:25" ht="27" customHeight="1" x14ac:dyDescent="0.25">
      <c r="A162" s="64" t="s">
        <v>346</v>
      </c>
      <c r="B162" s="64" t="s">
        <v>347</v>
      </c>
      <c r="C162" s="37">
        <v>4301031191</v>
      </c>
      <c r="D162" s="80">
        <v>4680115880993</v>
      </c>
      <c r="E162" s="8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78</v>
      </c>
      <c r="L162" s="38">
        <v>40</v>
      </c>
      <c r="M162" s="216" t="s">
        <v>348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</row>
    <row r="163" spans="1:25" ht="27" customHeight="1" x14ac:dyDescent="0.25">
      <c r="A163" s="64" t="s">
        <v>349</v>
      </c>
      <c r="B163" s="64" t="s">
        <v>350</v>
      </c>
      <c r="C163" s="37">
        <v>4301031204</v>
      </c>
      <c r="D163" s="80">
        <v>4680115881761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40</v>
      </c>
      <c r="M163" s="217" t="s">
        <v>351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352</v>
      </c>
      <c r="B164" s="64" t="s">
        <v>353</v>
      </c>
      <c r="C164" s="37">
        <v>4301031201</v>
      </c>
      <c r="D164" s="80">
        <v>4680115881563</v>
      </c>
      <c r="E164" s="80"/>
      <c r="F164" s="63">
        <v>0.7</v>
      </c>
      <c r="G164" s="38">
        <v>6</v>
      </c>
      <c r="H164" s="63">
        <v>4.2</v>
      </c>
      <c r="I164" s="63">
        <v>4.4000000000000004</v>
      </c>
      <c r="J164" s="38">
        <v>156</v>
      </c>
      <c r="K164" s="39" t="s">
        <v>78</v>
      </c>
      <c r="L164" s="38">
        <v>40</v>
      </c>
      <c r="M164" s="218" t="s">
        <v>354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355</v>
      </c>
      <c r="B165" s="64" t="s">
        <v>356</v>
      </c>
      <c r="C165" s="37">
        <v>4301031152</v>
      </c>
      <c r="D165" s="80">
        <v>4607091387285</v>
      </c>
      <c r="E165" s="80"/>
      <c r="F165" s="63">
        <v>0.35</v>
      </c>
      <c r="G165" s="38">
        <v>6</v>
      </c>
      <c r="H165" s="63">
        <v>2.1</v>
      </c>
      <c r="I165" s="63">
        <v>2.23</v>
      </c>
      <c r="J165" s="38">
        <v>234</v>
      </c>
      <c r="K165" s="39" t="s">
        <v>78</v>
      </c>
      <c r="L165" s="38">
        <v>40</v>
      </c>
      <c r="M165" s="219" t="s">
        <v>357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52.5</v>
      </c>
      <c r="V165" s="56">
        <f t="shared" si="8"/>
        <v>52.5</v>
      </c>
      <c r="W165" s="42">
        <f>IFERROR(IF(V165=0,"",ROUNDUP(V165/H165,0)*0.00502),"")</f>
        <v>0.1255</v>
      </c>
      <c r="X165" s="69" t="s">
        <v>48</v>
      </c>
      <c r="Y165" s="70" t="s">
        <v>48</v>
      </c>
    </row>
    <row r="166" spans="1:25" ht="27" customHeight="1" x14ac:dyDescent="0.25">
      <c r="A166" s="64" t="s">
        <v>358</v>
      </c>
      <c r="B166" s="64" t="s">
        <v>359</v>
      </c>
      <c r="C166" s="37">
        <v>4301031199</v>
      </c>
      <c r="D166" s="80">
        <v>4680115880986</v>
      </c>
      <c r="E166" s="80"/>
      <c r="F166" s="63">
        <v>0.35</v>
      </c>
      <c r="G166" s="38">
        <v>6</v>
      </c>
      <c r="H166" s="63">
        <v>2.1</v>
      </c>
      <c r="I166" s="63">
        <v>2.23</v>
      </c>
      <c r="J166" s="38">
        <v>234</v>
      </c>
      <c r="K166" s="39" t="s">
        <v>78</v>
      </c>
      <c r="L166" s="38">
        <v>40</v>
      </c>
      <c r="M166" s="220" t="s">
        <v>360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31.5</v>
      </c>
      <c r="V166" s="56">
        <f t="shared" si="8"/>
        <v>31.5</v>
      </c>
      <c r="W166" s="42">
        <f>IFERROR(IF(V166=0,"",ROUNDUP(V166/H166,0)*0.00502),"")</f>
        <v>7.5300000000000006E-2</v>
      </c>
      <c r="X166" s="69" t="s">
        <v>48</v>
      </c>
      <c r="Y166" s="70" t="s">
        <v>48</v>
      </c>
    </row>
    <row r="167" spans="1:25" ht="27" customHeight="1" x14ac:dyDescent="0.25">
      <c r="A167" s="64" t="s">
        <v>361</v>
      </c>
      <c r="B167" s="64" t="s">
        <v>362</v>
      </c>
      <c r="C167" s="37">
        <v>4301031190</v>
      </c>
      <c r="D167" s="80">
        <v>4680115880207</v>
      </c>
      <c r="E167" s="80"/>
      <c r="F167" s="63">
        <v>0.4</v>
      </c>
      <c r="G167" s="38">
        <v>6</v>
      </c>
      <c r="H167" s="63">
        <v>2.4</v>
      </c>
      <c r="I167" s="63">
        <v>2.63</v>
      </c>
      <c r="J167" s="38">
        <v>156</v>
      </c>
      <c r="K167" s="39" t="s">
        <v>78</v>
      </c>
      <c r="L167" s="38">
        <v>40</v>
      </c>
      <c r="M167" s="211" t="s">
        <v>363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364</v>
      </c>
      <c r="B168" s="64" t="s">
        <v>365</v>
      </c>
      <c r="C168" s="37">
        <v>4301031158</v>
      </c>
      <c r="D168" s="80">
        <v>4680115880191</v>
      </c>
      <c r="E168" s="80"/>
      <c r="F168" s="63">
        <v>0.4</v>
      </c>
      <c r="G168" s="38">
        <v>6</v>
      </c>
      <c r="H168" s="63">
        <v>2.4</v>
      </c>
      <c r="I168" s="63">
        <v>2.5</v>
      </c>
      <c r="J168" s="38">
        <v>234</v>
      </c>
      <c r="K168" s="39" t="s">
        <v>78</v>
      </c>
      <c r="L168" s="38">
        <v>40</v>
      </c>
      <c r="M168" s="212" t="s">
        <v>366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367</v>
      </c>
      <c r="B169" s="64" t="s">
        <v>368</v>
      </c>
      <c r="C169" s="37">
        <v>4301031151</v>
      </c>
      <c r="D169" s="80">
        <v>4607091389845</v>
      </c>
      <c r="E169" s="80"/>
      <c r="F169" s="63">
        <v>0.35</v>
      </c>
      <c r="G169" s="38">
        <v>6</v>
      </c>
      <c r="H169" s="63">
        <v>2.1</v>
      </c>
      <c r="I169" s="63">
        <v>2.2000000000000002</v>
      </c>
      <c r="J169" s="38">
        <v>234</v>
      </c>
      <c r="K169" s="39" t="s">
        <v>78</v>
      </c>
      <c r="L169" s="38">
        <v>40</v>
      </c>
      <c r="M169" s="213" t="s">
        <v>369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31.5</v>
      </c>
      <c r="V169" s="56">
        <f t="shared" si="8"/>
        <v>31.5</v>
      </c>
      <c r="W169" s="42">
        <f>IFERROR(IF(V169=0,"",ROUNDUP(V169/H169,0)*0.00502),"")</f>
        <v>7.5300000000000006E-2</v>
      </c>
      <c r="X169" s="69" t="s">
        <v>48</v>
      </c>
      <c r="Y169" s="70" t="s">
        <v>48</v>
      </c>
    </row>
    <row r="170" spans="1:25" ht="27" customHeight="1" x14ac:dyDescent="0.25">
      <c r="A170" s="64" t="s">
        <v>370</v>
      </c>
      <c r="B170" s="64" t="s">
        <v>371</v>
      </c>
      <c r="C170" s="37">
        <v>4301031205</v>
      </c>
      <c r="D170" s="80">
        <v>4680115881785</v>
      </c>
      <c r="E170" s="80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78</v>
      </c>
      <c r="L170" s="38">
        <v>40</v>
      </c>
      <c r="M170" s="214" t="s">
        <v>372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373</v>
      </c>
      <c r="B171" s="64" t="s">
        <v>374</v>
      </c>
      <c r="C171" s="37">
        <v>4301031202</v>
      </c>
      <c r="D171" s="80">
        <v>4680115881679</v>
      </c>
      <c r="E171" s="80"/>
      <c r="F171" s="63">
        <v>0.35</v>
      </c>
      <c r="G171" s="38">
        <v>6</v>
      </c>
      <c r="H171" s="63">
        <v>2.1</v>
      </c>
      <c r="I171" s="63">
        <v>2.2000000000000002</v>
      </c>
      <c r="J171" s="38">
        <v>234</v>
      </c>
      <c r="K171" s="39" t="s">
        <v>78</v>
      </c>
      <c r="L171" s="38">
        <v>40</v>
      </c>
      <c r="M171" s="215" t="s">
        <v>375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89"/>
      <c r="M172" s="86" t="s">
        <v>43</v>
      </c>
      <c r="N172" s="87"/>
      <c r="O172" s="87"/>
      <c r="P172" s="87"/>
      <c r="Q172" s="87"/>
      <c r="R172" s="87"/>
      <c r="S172" s="88"/>
      <c r="T172" s="43" t="s">
        <v>42</v>
      </c>
      <c r="U172" s="44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58.571428571428569</v>
      </c>
      <c r="V172" s="44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59</v>
      </c>
      <c r="W172" s="44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0.30622000000000005</v>
      </c>
      <c r="X172" s="68"/>
      <c r="Y172" s="68"/>
    </row>
    <row r="173" spans="1:25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89"/>
      <c r="M173" s="86" t="s">
        <v>43</v>
      </c>
      <c r="N173" s="87"/>
      <c r="O173" s="87"/>
      <c r="P173" s="87"/>
      <c r="Q173" s="87"/>
      <c r="R173" s="87"/>
      <c r="S173" s="88"/>
      <c r="T173" s="43" t="s">
        <v>0</v>
      </c>
      <c r="U173" s="44">
        <f>IFERROR(SUM(U158:U171),"0")</f>
        <v>130.5</v>
      </c>
      <c r="V173" s="44">
        <f>IFERROR(SUM(V158:V171),"0")</f>
        <v>132.30000000000001</v>
      </c>
      <c r="W173" s="43"/>
      <c r="X173" s="68"/>
      <c r="Y173" s="68"/>
    </row>
    <row r="174" spans="1:25" ht="14.25" customHeight="1" x14ac:dyDescent="0.25">
      <c r="A174" s="90" t="s">
        <v>79</v>
      </c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67"/>
      <c r="Y174" s="67"/>
    </row>
    <row r="175" spans="1:25" ht="27" customHeight="1" x14ac:dyDescent="0.25">
      <c r="A175" s="64" t="s">
        <v>376</v>
      </c>
      <c r="B175" s="64" t="s">
        <v>377</v>
      </c>
      <c r="C175" s="37">
        <v>4301051408</v>
      </c>
      <c r="D175" s="80">
        <v>4680115881594</v>
      </c>
      <c r="E175" s="80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9" t="s">
        <v>159</v>
      </c>
      <c r="L175" s="38">
        <v>40</v>
      </c>
      <c r="M175" s="208" t="s">
        <v>378</v>
      </c>
      <c r="N175" s="82"/>
      <c r="O175" s="82"/>
      <c r="P175" s="82"/>
      <c r="Q175" s="8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ref="V175:V198" si="9">IFERROR(IF(U175="",0,CEILING((U175/$H175),1)*$H175),"")</f>
        <v>0</v>
      </c>
      <c r="W175" s="42" t="str">
        <f>IFERROR(IF(V175=0,"",ROUNDUP(V175/H175,0)*0.02175),"")</f>
        <v/>
      </c>
      <c r="X175" s="69" t="s">
        <v>48</v>
      </c>
      <c r="Y175" s="70" t="s">
        <v>336</v>
      </c>
    </row>
    <row r="176" spans="1:25" ht="27" customHeight="1" x14ac:dyDescent="0.25">
      <c r="A176" s="64" t="s">
        <v>379</v>
      </c>
      <c r="B176" s="64" t="s">
        <v>380</v>
      </c>
      <c r="C176" s="37">
        <v>4301051407</v>
      </c>
      <c r="D176" s="80">
        <v>4680115882195</v>
      </c>
      <c r="E176" s="80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159</v>
      </c>
      <c r="L176" s="38">
        <v>40</v>
      </c>
      <c r="M176" s="209" t="s">
        <v>381</v>
      </c>
      <c r="N176" s="82"/>
      <c r="O176" s="82"/>
      <c r="P176" s="82"/>
      <c r="Q176" s="83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9"/>
        <v>0</v>
      </c>
      <c r="W176" s="42" t="str">
        <f>IFERROR(IF(V176=0,"",ROUNDUP(V176/H176,0)*0.00753),"")</f>
        <v/>
      </c>
      <c r="X176" s="69" t="s">
        <v>48</v>
      </c>
      <c r="Y176" s="70" t="s">
        <v>336</v>
      </c>
    </row>
    <row r="177" spans="1:25" ht="27" customHeight="1" x14ac:dyDescent="0.25">
      <c r="A177" s="64" t="s">
        <v>382</v>
      </c>
      <c r="B177" s="64" t="s">
        <v>383</v>
      </c>
      <c r="C177" s="37">
        <v>4301051411</v>
      </c>
      <c r="D177" s="80">
        <v>4680115881617</v>
      </c>
      <c r="E177" s="80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9" t="s">
        <v>159</v>
      </c>
      <c r="L177" s="38">
        <v>40</v>
      </c>
      <c r="M177" s="210" t="s">
        <v>384</v>
      </c>
      <c r="N177" s="82"/>
      <c r="O177" s="82"/>
      <c r="P177" s="82"/>
      <c r="Q177" s="83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9"/>
        <v>0</v>
      </c>
      <c r="W177" s="42" t="str">
        <f>IFERROR(IF(V177=0,"",ROUNDUP(V177/H177,0)*0.02175),"")</f>
        <v/>
      </c>
      <c r="X177" s="69" t="s">
        <v>48</v>
      </c>
      <c r="Y177" s="70" t="s">
        <v>336</v>
      </c>
    </row>
    <row r="178" spans="1:25" ht="27" customHeight="1" x14ac:dyDescent="0.25">
      <c r="A178" s="64" t="s">
        <v>385</v>
      </c>
      <c r="B178" s="64" t="s">
        <v>386</v>
      </c>
      <c r="C178" s="37">
        <v>4301051410</v>
      </c>
      <c r="D178" s="80">
        <v>4680115882164</v>
      </c>
      <c r="E178" s="80"/>
      <c r="F178" s="63">
        <v>0.4</v>
      </c>
      <c r="G178" s="38">
        <v>6</v>
      </c>
      <c r="H178" s="63">
        <v>2.4</v>
      </c>
      <c r="I178" s="63">
        <v>2.6779999999999999</v>
      </c>
      <c r="J178" s="38">
        <v>156</v>
      </c>
      <c r="K178" s="39" t="s">
        <v>159</v>
      </c>
      <c r="L178" s="38">
        <v>40</v>
      </c>
      <c r="M178" s="203" t="s">
        <v>387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9"/>
        <v>0</v>
      </c>
      <c r="W178" s="42" t="str">
        <f>IFERROR(IF(V178=0,"",ROUNDUP(V178/H178,0)*0.00753),"")</f>
        <v/>
      </c>
      <c r="X178" s="69" t="s">
        <v>48</v>
      </c>
      <c r="Y178" s="70" t="s">
        <v>336</v>
      </c>
    </row>
    <row r="179" spans="1:25" ht="27" customHeight="1" x14ac:dyDescent="0.25">
      <c r="A179" s="64" t="s">
        <v>388</v>
      </c>
      <c r="B179" s="64" t="s">
        <v>389</v>
      </c>
      <c r="C179" s="37">
        <v>4301051409</v>
      </c>
      <c r="D179" s="80">
        <v>4680115881556</v>
      </c>
      <c r="E179" s="80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9" t="s">
        <v>159</v>
      </c>
      <c r="L179" s="38">
        <v>45</v>
      </c>
      <c r="M179" s="204" t="s">
        <v>390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IFERROR(IF(V179=0,"",ROUNDUP(V179/H179,0)*0.01196),"")</f>
        <v/>
      </c>
      <c r="X179" s="69" t="s">
        <v>48</v>
      </c>
      <c r="Y179" s="70" t="s">
        <v>48</v>
      </c>
    </row>
    <row r="180" spans="1:25" ht="16.5" customHeight="1" x14ac:dyDescent="0.25">
      <c r="A180" s="64" t="s">
        <v>391</v>
      </c>
      <c r="B180" s="64" t="s">
        <v>392</v>
      </c>
      <c r="C180" s="37">
        <v>4301051101</v>
      </c>
      <c r="D180" s="80">
        <v>4607091387766</v>
      </c>
      <c r="E180" s="80"/>
      <c r="F180" s="63">
        <v>1.35</v>
      </c>
      <c r="G180" s="38">
        <v>6</v>
      </c>
      <c r="H180" s="63">
        <v>8.1</v>
      </c>
      <c r="I180" s="63">
        <v>8.6579999999999995</v>
      </c>
      <c r="J180" s="38">
        <v>56</v>
      </c>
      <c r="K180" s="39" t="s">
        <v>78</v>
      </c>
      <c r="L180" s="38">
        <v>40</v>
      </c>
      <c r="M180" s="205" t="s">
        <v>393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300</v>
      </c>
      <c r="V180" s="56">
        <f t="shared" si="9"/>
        <v>307.8</v>
      </c>
      <c r="W180" s="42">
        <f>IFERROR(IF(V180=0,"",ROUNDUP(V180/H180,0)*0.02175),"")</f>
        <v>0.8264999999999999</v>
      </c>
      <c r="X180" s="69" t="s">
        <v>48</v>
      </c>
      <c r="Y180" s="70" t="s">
        <v>48</v>
      </c>
    </row>
    <row r="181" spans="1:25" ht="27" customHeight="1" x14ac:dyDescent="0.25">
      <c r="A181" s="64" t="s">
        <v>394</v>
      </c>
      <c r="B181" s="64" t="s">
        <v>395</v>
      </c>
      <c r="C181" s="37">
        <v>4301051116</v>
      </c>
      <c r="D181" s="80">
        <v>4607091387957</v>
      </c>
      <c r="E181" s="80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9" t="s">
        <v>78</v>
      </c>
      <c r="L181" s="38">
        <v>40</v>
      </c>
      <c r="M181" s="206" t="s">
        <v>396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</row>
    <row r="182" spans="1:25" ht="27" customHeight="1" x14ac:dyDescent="0.25">
      <c r="A182" s="64" t="s">
        <v>397</v>
      </c>
      <c r="B182" s="64" t="s">
        <v>398</v>
      </c>
      <c r="C182" s="37">
        <v>4301051115</v>
      </c>
      <c r="D182" s="80">
        <v>4607091387964</v>
      </c>
      <c r="E182" s="80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9" t="s">
        <v>78</v>
      </c>
      <c r="L182" s="38">
        <v>40</v>
      </c>
      <c r="M182" s="207" t="s">
        <v>399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4301051470</v>
      </c>
      <c r="D183" s="80">
        <v>4680115880573</v>
      </c>
      <c r="E183" s="80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159</v>
      </c>
      <c r="L183" s="38">
        <v>45</v>
      </c>
      <c r="M183" s="198" t="s">
        <v>403</v>
      </c>
      <c r="N183" s="82"/>
      <c r="O183" s="82"/>
      <c r="P183" s="82"/>
      <c r="Q183" s="83"/>
      <c r="R183" s="40" t="s">
        <v>400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16.5" customHeight="1" x14ac:dyDescent="0.25">
      <c r="A184" s="64" t="s">
        <v>401</v>
      </c>
      <c r="B184" s="64" t="s">
        <v>404</v>
      </c>
      <c r="C184" s="37">
        <v>4301051370</v>
      </c>
      <c r="D184" s="80">
        <v>4680115880573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159</v>
      </c>
      <c r="L184" s="38">
        <v>40</v>
      </c>
      <c r="M184" s="199" t="s">
        <v>405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406</v>
      </c>
      <c r="B185" s="64" t="s">
        <v>407</v>
      </c>
      <c r="C185" s="37">
        <v>4301051433</v>
      </c>
      <c r="D185" s="80">
        <v>4680115881587</v>
      </c>
      <c r="E185" s="80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9" t="s">
        <v>78</v>
      </c>
      <c r="L185" s="38">
        <v>35</v>
      </c>
      <c r="M185" s="200" t="s">
        <v>408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IFERROR(IF(V185=0,"",ROUNDUP(V185/H185,0)*0.01196),"")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409</v>
      </c>
      <c r="B186" s="64" t="s">
        <v>410</v>
      </c>
      <c r="C186" s="37">
        <v>4301051380</v>
      </c>
      <c r="D186" s="80">
        <v>4680115880962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78</v>
      </c>
      <c r="L186" s="38">
        <v>40</v>
      </c>
      <c r="M186" s="201" t="s">
        <v>411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27" customHeight="1" x14ac:dyDescent="0.25">
      <c r="A187" s="64" t="s">
        <v>412</v>
      </c>
      <c r="B187" s="64" t="s">
        <v>413</v>
      </c>
      <c r="C187" s="37">
        <v>4301051377</v>
      </c>
      <c r="D187" s="80">
        <v>4680115881228</v>
      </c>
      <c r="E187" s="80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9" t="s">
        <v>78</v>
      </c>
      <c r="L187" s="38">
        <v>35</v>
      </c>
      <c r="M187" s="20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120</v>
      </c>
      <c r="V187" s="56">
        <f t="shared" si="9"/>
        <v>120</v>
      </c>
      <c r="W187" s="42">
        <f>IFERROR(IF(V187=0,"",ROUNDUP(V187/H187,0)*0.00753),"")</f>
        <v>0.3765</v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4301051432</v>
      </c>
      <c r="D188" s="80">
        <v>4680115881037</v>
      </c>
      <c r="E188" s="80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9" t="s">
        <v>78</v>
      </c>
      <c r="L188" s="38">
        <v>35</v>
      </c>
      <c r="M188" s="19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IFERROR(IF(V188=0,"",ROUNDUP(V188/H188,0)*0.00937),"")</f>
        <v/>
      </c>
      <c r="X188" s="69" t="s">
        <v>48</v>
      </c>
      <c r="Y188" s="70" t="s">
        <v>48</v>
      </c>
    </row>
    <row r="189" spans="1:25" ht="27" customHeight="1" x14ac:dyDescent="0.25">
      <c r="A189" s="64" t="s">
        <v>418</v>
      </c>
      <c r="B189" s="64" t="s">
        <v>419</v>
      </c>
      <c r="C189" s="37">
        <v>4301051384</v>
      </c>
      <c r="D189" s="80">
        <v>4680115881211</v>
      </c>
      <c r="E189" s="80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78</v>
      </c>
      <c r="L189" s="38">
        <v>45</v>
      </c>
      <c r="M189" s="19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150</v>
      </c>
      <c r="V189" s="56">
        <f t="shared" si="9"/>
        <v>151.19999999999999</v>
      </c>
      <c r="W189" s="42">
        <f>IFERROR(IF(V189=0,"",ROUNDUP(V189/H189,0)*0.00753),"")</f>
        <v>0.47439000000000003</v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4301051378</v>
      </c>
      <c r="D190" s="80">
        <v>4680115881020</v>
      </c>
      <c r="E190" s="80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9" t="s">
        <v>78</v>
      </c>
      <c r="L190" s="38">
        <v>45</v>
      </c>
      <c r="M190" s="19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</row>
    <row r="191" spans="1:25" ht="16.5" customHeight="1" x14ac:dyDescent="0.25">
      <c r="A191" s="64" t="s">
        <v>424</v>
      </c>
      <c r="B191" s="64" t="s">
        <v>425</v>
      </c>
      <c r="C191" s="37">
        <v>4301051134</v>
      </c>
      <c r="D191" s="80">
        <v>4607091381672</v>
      </c>
      <c r="E191" s="80"/>
      <c r="F191" s="63">
        <v>0.6</v>
      </c>
      <c r="G191" s="38">
        <v>6</v>
      </c>
      <c r="H191" s="63">
        <v>3.6</v>
      </c>
      <c r="I191" s="63">
        <v>3.8759999999999999</v>
      </c>
      <c r="J191" s="38">
        <v>120</v>
      </c>
      <c r="K191" s="39" t="s">
        <v>78</v>
      </c>
      <c r="L191" s="38">
        <v>40</v>
      </c>
      <c r="M191" s="19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150</v>
      </c>
      <c r="V191" s="56">
        <f t="shared" si="9"/>
        <v>151.20000000000002</v>
      </c>
      <c r="W191" s="42">
        <f>IFERROR(IF(V191=0,"",ROUNDUP(V191/H191,0)*0.00937),"")</f>
        <v>0.39354</v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4301051130</v>
      </c>
      <c r="D192" s="80">
        <v>4607091387537</v>
      </c>
      <c r="E192" s="80"/>
      <c r="F192" s="63">
        <v>0.45</v>
      </c>
      <c r="G192" s="38">
        <v>6</v>
      </c>
      <c r="H192" s="63">
        <v>2.7</v>
      </c>
      <c r="I192" s="63">
        <v>2.99</v>
      </c>
      <c r="J192" s="38">
        <v>156</v>
      </c>
      <c r="K192" s="39" t="s">
        <v>78</v>
      </c>
      <c r="L192" s="38">
        <v>40</v>
      </c>
      <c r="M192" s="19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 t="shared" ref="W192:W198" si="10"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4301051132</v>
      </c>
      <c r="D193" s="80">
        <v>4607091387513</v>
      </c>
      <c r="E193" s="80"/>
      <c r="F193" s="63">
        <v>0.45</v>
      </c>
      <c r="G193" s="38">
        <v>6</v>
      </c>
      <c r="H193" s="63">
        <v>2.7</v>
      </c>
      <c r="I193" s="63">
        <v>2.9780000000000002</v>
      </c>
      <c r="J193" s="38">
        <v>156</v>
      </c>
      <c r="K193" s="39" t="s">
        <v>78</v>
      </c>
      <c r="L193" s="38">
        <v>40</v>
      </c>
      <c r="M193" s="18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 t="shared" si="10"/>
        <v/>
      </c>
      <c r="X193" s="69" t="s">
        <v>48</v>
      </c>
      <c r="Y193" s="70" t="s">
        <v>48</v>
      </c>
    </row>
    <row r="194" spans="1:25" ht="27" customHeight="1" x14ac:dyDescent="0.25">
      <c r="A194" s="64" t="s">
        <v>433</v>
      </c>
      <c r="B194" s="64" t="s">
        <v>434</v>
      </c>
      <c r="C194" s="37">
        <v>4301051468</v>
      </c>
      <c r="D194" s="80">
        <v>4680115880092</v>
      </c>
      <c r="E194" s="80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159</v>
      </c>
      <c r="L194" s="38">
        <v>45</v>
      </c>
      <c r="M194" s="189" t="s">
        <v>435</v>
      </c>
      <c r="N194" s="82"/>
      <c r="O194" s="82"/>
      <c r="P194" s="82"/>
      <c r="Q194" s="83"/>
      <c r="R194" s="40" t="s">
        <v>400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si="10"/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433</v>
      </c>
      <c r="B195" s="64" t="s">
        <v>436</v>
      </c>
      <c r="C195" s="37">
        <v>4301051371</v>
      </c>
      <c r="D195" s="80">
        <v>4680115880092</v>
      </c>
      <c r="E195" s="8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9" t="s">
        <v>159</v>
      </c>
      <c r="L195" s="38">
        <v>40</v>
      </c>
      <c r="M195" s="190" t="s">
        <v>437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90</v>
      </c>
      <c r="V195" s="56">
        <f t="shared" si="9"/>
        <v>91.2</v>
      </c>
      <c r="W195" s="42">
        <f t="shared" si="10"/>
        <v>0.28614000000000001</v>
      </c>
      <c r="X195" s="69" t="s">
        <v>48</v>
      </c>
      <c r="Y195" s="70" t="s">
        <v>48</v>
      </c>
    </row>
    <row r="196" spans="1:25" ht="27" customHeight="1" x14ac:dyDescent="0.25">
      <c r="A196" s="64" t="s">
        <v>438</v>
      </c>
      <c r="B196" s="64" t="s">
        <v>439</v>
      </c>
      <c r="C196" s="37">
        <v>4301051469</v>
      </c>
      <c r="D196" s="80">
        <v>4680115880221</v>
      </c>
      <c r="E196" s="80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9" t="s">
        <v>159</v>
      </c>
      <c r="L196" s="38">
        <v>45</v>
      </c>
      <c r="M196" s="191" t="s">
        <v>440</v>
      </c>
      <c r="N196" s="82"/>
      <c r="O196" s="82"/>
      <c r="P196" s="82"/>
      <c r="Q196" s="83"/>
      <c r="R196" s="40" t="s">
        <v>400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438</v>
      </c>
      <c r="B197" s="64" t="s">
        <v>441</v>
      </c>
      <c r="C197" s="37">
        <v>4301051372</v>
      </c>
      <c r="D197" s="80">
        <v>4680115880221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192" t="s">
        <v>440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96</v>
      </c>
      <c r="V197" s="56">
        <f t="shared" si="9"/>
        <v>96</v>
      </c>
      <c r="W197" s="42">
        <f t="shared" si="10"/>
        <v>0.30120000000000002</v>
      </c>
      <c r="X197" s="69" t="s">
        <v>48</v>
      </c>
      <c r="Y197" s="70" t="s">
        <v>48</v>
      </c>
    </row>
    <row r="198" spans="1:25" ht="16.5" customHeight="1" x14ac:dyDescent="0.25">
      <c r="A198" s="64" t="s">
        <v>442</v>
      </c>
      <c r="B198" s="64" t="s">
        <v>443</v>
      </c>
      <c r="C198" s="37">
        <v>4301051326</v>
      </c>
      <c r="D198" s="80">
        <v>4680115880504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78</v>
      </c>
      <c r="L198" s="38">
        <v>40</v>
      </c>
      <c r="M198" s="185" t="s">
        <v>444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89"/>
      <c r="M199" s="86" t="s">
        <v>43</v>
      </c>
      <c r="N199" s="87"/>
      <c r="O199" s="87"/>
      <c r="P199" s="87"/>
      <c r="Q199" s="87"/>
      <c r="R199" s="87"/>
      <c r="S199" s="88"/>
      <c r="T199" s="43" t="s">
        <v>42</v>
      </c>
      <c r="U199" s="44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268.7037037037037</v>
      </c>
      <c r="V199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271</v>
      </c>
      <c r="W199" s="44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2.6582699999999999</v>
      </c>
      <c r="X199" s="68"/>
      <c r="Y199" s="68"/>
    </row>
    <row r="200" spans="1:25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89"/>
      <c r="M200" s="86" t="s">
        <v>43</v>
      </c>
      <c r="N200" s="87"/>
      <c r="O200" s="87"/>
      <c r="P200" s="87"/>
      <c r="Q200" s="87"/>
      <c r="R200" s="87"/>
      <c r="S200" s="88"/>
      <c r="T200" s="43" t="s">
        <v>0</v>
      </c>
      <c r="U200" s="44">
        <f>IFERROR(SUM(U175:U198),"0")</f>
        <v>906</v>
      </c>
      <c r="V200" s="44">
        <f>IFERROR(SUM(V175:V198),"0")</f>
        <v>917.40000000000009</v>
      </c>
      <c r="W200" s="43"/>
      <c r="X200" s="68"/>
      <c r="Y200" s="68"/>
    </row>
    <row r="201" spans="1:25" ht="14.25" customHeight="1" x14ac:dyDescent="0.25">
      <c r="A201" s="90" t="s">
        <v>253</v>
      </c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67"/>
      <c r="Y201" s="67"/>
    </row>
    <row r="202" spans="1:25" ht="16.5" customHeight="1" x14ac:dyDescent="0.25">
      <c r="A202" s="64" t="s">
        <v>445</v>
      </c>
      <c r="B202" s="64" t="s">
        <v>446</v>
      </c>
      <c r="C202" s="37">
        <v>4301060326</v>
      </c>
      <c r="D202" s="80">
        <v>4607091380880</v>
      </c>
      <c r="E202" s="80"/>
      <c r="F202" s="63">
        <v>1.4</v>
      </c>
      <c r="G202" s="38">
        <v>6</v>
      </c>
      <c r="H202" s="63">
        <v>8.4</v>
      </c>
      <c r="I202" s="63">
        <v>8.9640000000000004</v>
      </c>
      <c r="J202" s="38">
        <v>56</v>
      </c>
      <c r="K202" s="39" t="s">
        <v>78</v>
      </c>
      <c r="L202" s="38">
        <v>30</v>
      </c>
      <c r="M202" s="186" t="s">
        <v>447</v>
      </c>
      <c r="N202" s="82"/>
      <c r="O202" s="82"/>
      <c r="P202" s="82"/>
      <c r="Q202" s="83"/>
      <c r="R202" s="40" t="s">
        <v>48</v>
      </c>
      <c r="S202" s="40" t="s">
        <v>48</v>
      </c>
      <c r="T202" s="41" t="s">
        <v>0</v>
      </c>
      <c r="U202" s="59">
        <v>40</v>
      </c>
      <c r="V202" s="56">
        <f t="shared" ref="V202:V207" si="11">IFERROR(IF(U202="",0,CEILING((U202/$H202),1)*$H202),"")</f>
        <v>42</v>
      </c>
      <c r="W202" s="42">
        <f>IFERROR(IF(V202=0,"",ROUNDUP(V202/H202,0)*0.02175),"")</f>
        <v>0.10874999999999999</v>
      </c>
      <c r="X202" s="69" t="s">
        <v>48</v>
      </c>
      <c r="Y202" s="70" t="s">
        <v>48</v>
      </c>
    </row>
    <row r="203" spans="1:25" ht="27" customHeight="1" x14ac:dyDescent="0.25">
      <c r="A203" s="64" t="s">
        <v>448</v>
      </c>
      <c r="B203" s="64" t="s">
        <v>449</v>
      </c>
      <c r="C203" s="37">
        <v>4301060308</v>
      </c>
      <c r="D203" s="80">
        <v>4607091384482</v>
      </c>
      <c r="E203" s="80"/>
      <c r="F203" s="63">
        <v>1.3</v>
      </c>
      <c r="G203" s="38">
        <v>6</v>
      </c>
      <c r="H203" s="63">
        <v>7.8</v>
      </c>
      <c r="I203" s="63">
        <v>8.3640000000000008</v>
      </c>
      <c r="J203" s="38">
        <v>56</v>
      </c>
      <c r="K203" s="39" t="s">
        <v>78</v>
      </c>
      <c r="L203" s="38">
        <v>30</v>
      </c>
      <c r="M203" s="187" t="s">
        <v>450</v>
      </c>
      <c r="N203" s="82"/>
      <c r="O203" s="82"/>
      <c r="P203" s="82"/>
      <c r="Q203" s="83"/>
      <c r="R203" s="40" t="s">
        <v>48</v>
      </c>
      <c r="S203" s="40" t="s">
        <v>48</v>
      </c>
      <c r="T203" s="41" t="s">
        <v>0</v>
      </c>
      <c r="U203" s="59">
        <v>24</v>
      </c>
      <c r="V203" s="56">
        <f t="shared" si="11"/>
        <v>31.2</v>
      </c>
      <c r="W203" s="42">
        <f>IFERROR(IF(V203=0,"",ROUNDUP(V203/H203,0)*0.02175),"")</f>
        <v>8.6999999999999994E-2</v>
      </c>
      <c r="X203" s="69" t="s">
        <v>48</v>
      </c>
      <c r="Y203" s="70" t="s">
        <v>48</v>
      </c>
    </row>
    <row r="204" spans="1:25" ht="16.5" customHeight="1" x14ac:dyDescent="0.25">
      <c r="A204" s="64" t="s">
        <v>451</v>
      </c>
      <c r="B204" s="64" t="s">
        <v>452</v>
      </c>
      <c r="C204" s="37">
        <v>4301060325</v>
      </c>
      <c r="D204" s="80">
        <v>4607091380897</v>
      </c>
      <c r="E204" s="80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78</v>
      </c>
      <c r="L204" s="38">
        <v>30</v>
      </c>
      <c r="M204" s="181" t="s">
        <v>453</v>
      </c>
      <c r="N204" s="82"/>
      <c r="O204" s="82"/>
      <c r="P204" s="82"/>
      <c r="Q204" s="83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1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</row>
    <row r="205" spans="1:25" ht="16.5" customHeight="1" x14ac:dyDescent="0.25">
      <c r="A205" s="64" t="s">
        <v>454</v>
      </c>
      <c r="B205" s="64" t="s">
        <v>455</v>
      </c>
      <c r="C205" s="37">
        <v>4301060338</v>
      </c>
      <c r="D205" s="80">
        <v>4680115880801</v>
      </c>
      <c r="E205" s="80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9" t="s">
        <v>78</v>
      </c>
      <c r="L205" s="38">
        <v>40</v>
      </c>
      <c r="M205" s="182" t="s">
        <v>456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IFERROR(IF(V205=0,"",ROUNDUP(V205/H205,0)*0.00753),"")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457</v>
      </c>
      <c r="B206" s="64" t="s">
        <v>458</v>
      </c>
      <c r="C206" s="37">
        <v>4301060339</v>
      </c>
      <c r="D206" s="80">
        <v>4680115880818</v>
      </c>
      <c r="E206" s="80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9" t="s">
        <v>78</v>
      </c>
      <c r="L206" s="38">
        <v>40</v>
      </c>
      <c r="M206" s="183" t="s">
        <v>459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10</v>
      </c>
      <c r="V206" s="56">
        <f t="shared" si="11"/>
        <v>12</v>
      </c>
      <c r="W206" s="42">
        <f>IFERROR(IF(V206=0,"",ROUNDUP(V206/H206,0)*0.00753),"")</f>
        <v>3.7650000000000003E-2</v>
      </c>
      <c r="X206" s="69" t="s">
        <v>48</v>
      </c>
      <c r="Y206" s="70" t="s">
        <v>48</v>
      </c>
    </row>
    <row r="207" spans="1:25" ht="16.5" customHeight="1" x14ac:dyDescent="0.25">
      <c r="A207" s="64" t="s">
        <v>460</v>
      </c>
      <c r="B207" s="64" t="s">
        <v>461</v>
      </c>
      <c r="C207" s="37">
        <v>4301060337</v>
      </c>
      <c r="D207" s="80">
        <v>4680115880368</v>
      </c>
      <c r="E207" s="80"/>
      <c r="F207" s="63">
        <v>1</v>
      </c>
      <c r="G207" s="38">
        <v>4</v>
      </c>
      <c r="H207" s="63">
        <v>4</v>
      </c>
      <c r="I207" s="63">
        <v>4.3600000000000003</v>
      </c>
      <c r="J207" s="38">
        <v>104</v>
      </c>
      <c r="K207" s="39" t="s">
        <v>159</v>
      </c>
      <c r="L207" s="38">
        <v>40</v>
      </c>
      <c r="M207" s="184" t="s">
        <v>462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IFERROR(IF(V207=0,"",ROUNDUP(V207/H207,0)*0.01196),"")</f>
        <v/>
      </c>
      <c r="X207" s="69" t="s">
        <v>48</v>
      </c>
      <c r="Y207" s="70" t="s">
        <v>48</v>
      </c>
    </row>
    <row r="208" spans="1:25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89"/>
      <c r="M208" s="86" t="s">
        <v>43</v>
      </c>
      <c r="N208" s="87"/>
      <c r="O208" s="87"/>
      <c r="P208" s="87"/>
      <c r="Q208" s="87"/>
      <c r="R208" s="87"/>
      <c r="S208" s="88"/>
      <c r="T208" s="43" t="s">
        <v>42</v>
      </c>
      <c r="U208" s="44">
        <f>IFERROR(U202/H202,"0")+IFERROR(U203/H203,"0")+IFERROR(U204/H204,"0")+IFERROR(U205/H205,"0")+IFERROR(U206/H206,"0")+IFERROR(U207/H207,"0")</f>
        <v>12.005494505494507</v>
      </c>
      <c r="V208" s="44">
        <f>IFERROR(V202/H202,"0")+IFERROR(V203/H203,"0")+IFERROR(V204/H204,"0")+IFERROR(V205/H205,"0")+IFERROR(V206/H206,"0")+IFERROR(V207/H207,"0")</f>
        <v>14</v>
      </c>
      <c r="W208" s="44">
        <f>IFERROR(IF(W202="",0,W202),"0")+IFERROR(IF(W203="",0,W203),"0")+IFERROR(IF(W204="",0,W204),"0")+IFERROR(IF(W205="",0,W205),"0")+IFERROR(IF(W206="",0,W206),"0")+IFERROR(IF(W207="",0,W207),"0")</f>
        <v>0.2334</v>
      </c>
      <c r="X208" s="68"/>
      <c r="Y208" s="68"/>
    </row>
    <row r="209" spans="1:25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89"/>
      <c r="M209" s="86" t="s">
        <v>43</v>
      </c>
      <c r="N209" s="87"/>
      <c r="O209" s="87"/>
      <c r="P209" s="87"/>
      <c r="Q209" s="87"/>
      <c r="R209" s="87"/>
      <c r="S209" s="88"/>
      <c r="T209" s="43" t="s">
        <v>0</v>
      </c>
      <c r="U209" s="44">
        <f>IFERROR(SUM(U202:U207),"0")</f>
        <v>74</v>
      </c>
      <c r="V209" s="44">
        <f>IFERROR(SUM(V202:V207),"0")</f>
        <v>85.2</v>
      </c>
      <c r="W209" s="43"/>
      <c r="X209" s="68"/>
      <c r="Y209" s="68"/>
    </row>
    <row r="210" spans="1:25" ht="14.25" customHeight="1" x14ac:dyDescent="0.25">
      <c r="A210" s="90" t="s">
        <v>98</v>
      </c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67"/>
      <c r="Y210" s="67"/>
    </row>
    <row r="211" spans="1:25" ht="16.5" customHeight="1" x14ac:dyDescent="0.25">
      <c r="A211" s="64" t="s">
        <v>463</v>
      </c>
      <c r="B211" s="64" t="s">
        <v>464</v>
      </c>
      <c r="C211" s="37">
        <v>4301030232</v>
      </c>
      <c r="D211" s="80">
        <v>4607091388374</v>
      </c>
      <c r="E211" s="80"/>
      <c r="F211" s="63">
        <v>0.38</v>
      </c>
      <c r="G211" s="38">
        <v>8</v>
      </c>
      <c r="H211" s="63">
        <v>3.04</v>
      </c>
      <c r="I211" s="63">
        <v>3.28</v>
      </c>
      <c r="J211" s="38">
        <v>156</v>
      </c>
      <c r="K211" s="39" t="s">
        <v>102</v>
      </c>
      <c r="L211" s="38">
        <v>180</v>
      </c>
      <c r="M211" s="178" t="s">
        <v>465</v>
      </c>
      <c r="N211" s="82"/>
      <c r="O211" s="82"/>
      <c r="P211" s="82"/>
      <c r="Q211" s="83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</row>
    <row r="212" spans="1:25" ht="27" customHeight="1" x14ac:dyDescent="0.25">
      <c r="A212" s="64" t="s">
        <v>466</v>
      </c>
      <c r="B212" s="64" t="s">
        <v>467</v>
      </c>
      <c r="C212" s="37">
        <v>4301030235</v>
      </c>
      <c r="D212" s="80">
        <v>4607091388381</v>
      </c>
      <c r="E212" s="80"/>
      <c r="F212" s="63">
        <v>0.38</v>
      </c>
      <c r="G212" s="38">
        <v>8</v>
      </c>
      <c r="H212" s="63">
        <v>3.04</v>
      </c>
      <c r="I212" s="63">
        <v>3.32</v>
      </c>
      <c r="J212" s="38">
        <v>156</v>
      </c>
      <c r="K212" s="39" t="s">
        <v>102</v>
      </c>
      <c r="L212" s="38">
        <v>180</v>
      </c>
      <c r="M212" s="179" t="s">
        <v>468</v>
      </c>
      <c r="N212" s="82"/>
      <c r="O212" s="82"/>
      <c r="P212" s="82"/>
      <c r="Q212" s="83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</row>
    <row r="213" spans="1:25" ht="27" customHeight="1" x14ac:dyDescent="0.25">
      <c r="A213" s="64" t="s">
        <v>469</v>
      </c>
      <c r="B213" s="64" t="s">
        <v>470</v>
      </c>
      <c r="C213" s="37">
        <v>4301030233</v>
      </c>
      <c r="D213" s="80">
        <v>4607091388404</v>
      </c>
      <c r="E213" s="80"/>
      <c r="F213" s="63">
        <v>0.17</v>
      </c>
      <c r="G213" s="38">
        <v>15</v>
      </c>
      <c r="H213" s="63">
        <v>2.5499999999999998</v>
      </c>
      <c r="I213" s="63">
        <v>2.9</v>
      </c>
      <c r="J213" s="38">
        <v>156</v>
      </c>
      <c r="K213" s="39" t="s">
        <v>102</v>
      </c>
      <c r="L213" s="38">
        <v>180</v>
      </c>
      <c r="M213" s="180" t="s">
        <v>471</v>
      </c>
      <c r="N213" s="82"/>
      <c r="O213" s="82"/>
      <c r="P213" s="82"/>
      <c r="Q213" s="83"/>
      <c r="R213" s="40" t="s">
        <v>48</v>
      </c>
      <c r="S213" s="40" t="s">
        <v>48</v>
      </c>
      <c r="T213" s="41" t="s">
        <v>0</v>
      </c>
      <c r="U213" s="59">
        <v>15.3</v>
      </c>
      <c r="V213" s="56">
        <f>IFERROR(IF(U213="",0,CEILING((U213/$H213),1)*$H213),"")</f>
        <v>15.299999999999999</v>
      </c>
      <c r="W213" s="42">
        <f>IFERROR(IF(V213=0,"",ROUNDUP(V213/H213,0)*0.00753),"")</f>
        <v>4.5179999999999998E-2</v>
      </c>
      <c r="X213" s="69" t="s">
        <v>48</v>
      </c>
      <c r="Y213" s="70" t="s">
        <v>48</v>
      </c>
    </row>
    <row r="214" spans="1:25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89"/>
      <c r="M214" s="86" t="s">
        <v>43</v>
      </c>
      <c r="N214" s="87"/>
      <c r="O214" s="87"/>
      <c r="P214" s="87"/>
      <c r="Q214" s="87"/>
      <c r="R214" s="87"/>
      <c r="S214" s="88"/>
      <c r="T214" s="43" t="s">
        <v>42</v>
      </c>
      <c r="U214" s="44">
        <f>IFERROR(U211/H211,"0")+IFERROR(U212/H212,"0")+IFERROR(U213/H213,"0")</f>
        <v>6.0000000000000009</v>
      </c>
      <c r="V214" s="44">
        <f>IFERROR(V211/H211,"0")+IFERROR(V212/H212,"0")+IFERROR(V213/H213,"0")</f>
        <v>6</v>
      </c>
      <c r="W214" s="44">
        <f>IFERROR(IF(W211="",0,W211),"0")+IFERROR(IF(W212="",0,W212),"0")+IFERROR(IF(W213="",0,W213),"0")</f>
        <v>4.5179999999999998E-2</v>
      </c>
      <c r="X214" s="68"/>
      <c r="Y214" s="68"/>
    </row>
    <row r="215" spans="1:25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89"/>
      <c r="M215" s="86" t="s">
        <v>43</v>
      </c>
      <c r="N215" s="87"/>
      <c r="O215" s="87"/>
      <c r="P215" s="87"/>
      <c r="Q215" s="87"/>
      <c r="R215" s="87"/>
      <c r="S215" s="88"/>
      <c r="T215" s="43" t="s">
        <v>0</v>
      </c>
      <c r="U215" s="44">
        <f>IFERROR(SUM(U211:U213),"0")</f>
        <v>15.3</v>
      </c>
      <c r="V215" s="44">
        <f>IFERROR(SUM(V211:V213),"0")</f>
        <v>15.299999999999999</v>
      </c>
      <c r="W215" s="43"/>
      <c r="X215" s="68"/>
      <c r="Y215" s="68"/>
    </row>
    <row r="216" spans="1:25" ht="14.25" customHeight="1" x14ac:dyDescent="0.25">
      <c r="A216" s="90" t="s">
        <v>472</v>
      </c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67"/>
      <c r="Y216" s="67"/>
    </row>
    <row r="217" spans="1:25" ht="16.5" customHeight="1" x14ac:dyDescent="0.25">
      <c r="A217" s="64" t="s">
        <v>473</v>
      </c>
      <c r="B217" s="64" t="s">
        <v>474</v>
      </c>
      <c r="C217" s="37">
        <v>4301180002</v>
      </c>
      <c r="D217" s="80">
        <v>4680115880122</v>
      </c>
      <c r="E217" s="80"/>
      <c r="F217" s="63">
        <v>0.1</v>
      </c>
      <c r="G217" s="38">
        <v>20</v>
      </c>
      <c r="H217" s="63">
        <v>2</v>
      </c>
      <c r="I217" s="63">
        <v>2.2400000000000002</v>
      </c>
      <c r="J217" s="38">
        <v>238</v>
      </c>
      <c r="K217" s="39" t="s">
        <v>476</v>
      </c>
      <c r="L217" s="38">
        <v>730</v>
      </c>
      <c r="M217" s="174" t="s">
        <v>475</v>
      </c>
      <c r="N217" s="82"/>
      <c r="O217" s="82"/>
      <c r="P217" s="82"/>
      <c r="Q217" s="83"/>
      <c r="R217" s="40" t="s">
        <v>48</v>
      </c>
      <c r="S217" s="40" t="s">
        <v>48</v>
      </c>
      <c r="T217" s="41" t="s">
        <v>0</v>
      </c>
      <c r="U217" s="59">
        <v>10</v>
      </c>
      <c r="V217" s="56">
        <f>IFERROR(IF(U217="",0,CEILING((U217/$H217),1)*$H217),"")</f>
        <v>10</v>
      </c>
      <c r="W217" s="42">
        <f>IFERROR(IF(V217=0,"",ROUNDUP(V217/H217,0)*0.00474),"")</f>
        <v>2.3700000000000002E-2</v>
      </c>
      <c r="X217" s="69" t="s">
        <v>48</v>
      </c>
      <c r="Y217" s="70" t="s">
        <v>48</v>
      </c>
    </row>
    <row r="218" spans="1:25" ht="16.5" customHeight="1" x14ac:dyDescent="0.25">
      <c r="A218" s="64" t="s">
        <v>477</v>
      </c>
      <c r="B218" s="64" t="s">
        <v>478</v>
      </c>
      <c r="C218" s="37">
        <v>4301180007</v>
      </c>
      <c r="D218" s="80">
        <v>4680115881808</v>
      </c>
      <c r="E218" s="80"/>
      <c r="F218" s="63">
        <v>0.1</v>
      </c>
      <c r="G218" s="38">
        <v>20</v>
      </c>
      <c r="H218" s="63">
        <v>2</v>
      </c>
      <c r="I218" s="63">
        <v>2.2400000000000002</v>
      </c>
      <c r="J218" s="38">
        <v>238</v>
      </c>
      <c r="K218" s="39" t="s">
        <v>476</v>
      </c>
      <c r="L218" s="38">
        <v>730</v>
      </c>
      <c r="M218" s="175" t="s">
        <v>479</v>
      </c>
      <c r="N218" s="82"/>
      <c r="O218" s="82"/>
      <c r="P218" s="82"/>
      <c r="Q218" s="83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IFERROR(IF(V218=0,"",ROUNDUP(V218/H218,0)*0.00474),"")</f>
        <v/>
      </c>
      <c r="X218" s="69" t="s">
        <v>48</v>
      </c>
      <c r="Y218" s="70" t="s">
        <v>48</v>
      </c>
    </row>
    <row r="219" spans="1:25" ht="27" customHeight="1" x14ac:dyDescent="0.25">
      <c r="A219" s="64" t="s">
        <v>480</v>
      </c>
      <c r="B219" s="64" t="s">
        <v>481</v>
      </c>
      <c r="C219" s="37">
        <v>4301180006</v>
      </c>
      <c r="D219" s="80">
        <v>4680115881822</v>
      </c>
      <c r="E219" s="80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476</v>
      </c>
      <c r="L219" s="38">
        <v>730</v>
      </c>
      <c r="M219" s="176" t="s">
        <v>482</v>
      </c>
      <c r="N219" s="82"/>
      <c r="O219" s="82"/>
      <c r="P219" s="82"/>
      <c r="Q219" s="8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</row>
    <row r="220" spans="1:25" ht="27" customHeight="1" x14ac:dyDescent="0.25">
      <c r="A220" s="64" t="s">
        <v>483</v>
      </c>
      <c r="B220" s="64" t="s">
        <v>484</v>
      </c>
      <c r="C220" s="37">
        <v>4301180001</v>
      </c>
      <c r="D220" s="80">
        <v>4680115880016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476</v>
      </c>
      <c r="L220" s="38">
        <v>730</v>
      </c>
      <c r="M220" s="177" t="s">
        <v>485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89"/>
      <c r="M221" s="86" t="s">
        <v>43</v>
      </c>
      <c r="N221" s="87"/>
      <c r="O221" s="87"/>
      <c r="P221" s="87"/>
      <c r="Q221" s="87"/>
      <c r="R221" s="87"/>
      <c r="S221" s="88"/>
      <c r="T221" s="43" t="s">
        <v>42</v>
      </c>
      <c r="U221" s="44">
        <f>IFERROR(U217/H217,"0")+IFERROR(U218/H218,"0")+IFERROR(U219/H219,"0")+IFERROR(U220/H220,"0")</f>
        <v>5</v>
      </c>
      <c r="V221" s="44">
        <f>IFERROR(V217/H217,"0")+IFERROR(V218/H218,"0")+IFERROR(V219/H219,"0")+IFERROR(V220/H220,"0")</f>
        <v>5</v>
      </c>
      <c r="W221" s="44">
        <f>IFERROR(IF(W217="",0,W217),"0")+IFERROR(IF(W218="",0,W218),"0")+IFERROR(IF(W219="",0,W219),"0")+IFERROR(IF(W220="",0,W220),"0")</f>
        <v>2.3700000000000002E-2</v>
      </c>
      <c r="X221" s="68"/>
      <c r="Y221" s="68"/>
    </row>
    <row r="222" spans="1:25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89"/>
      <c r="M222" s="86" t="s">
        <v>43</v>
      </c>
      <c r="N222" s="87"/>
      <c r="O222" s="87"/>
      <c r="P222" s="87"/>
      <c r="Q222" s="87"/>
      <c r="R222" s="87"/>
      <c r="S222" s="88"/>
      <c r="T222" s="43" t="s">
        <v>0</v>
      </c>
      <c r="U222" s="44">
        <f>IFERROR(SUM(U217:U220),"0")</f>
        <v>10</v>
      </c>
      <c r="V222" s="44">
        <f>IFERROR(SUM(V217:V220),"0")</f>
        <v>10</v>
      </c>
      <c r="W222" s="43"/>
      <c r="X222" s="68"/>
      <c r="Y222" s="68"/>
    </row>
    <row r="223" spans="1:25" ht="16.5" customHeight="1" x14ac:dyDescent="0.25">
      <c r="A223" s="96" t="s">
        <v>486</v>
      </c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66"/>
      <c r="Y223" s="66"/>
    </row>
    <row r="224" spans="1:25" ht="14.25" customHeight="1" x14ac:dyDescent="0.25">
      <c r="A224" s="90" t="s">
        <v>127</v>
      </c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67"/>
      <c r="Y224" s="67"/>
    </row>
    <row r="225" spans="1:25" ht="27" customHeight="1" x14ac:dyDescent="0.25">
      <c r="A225" s="64" t="s">
        <v>487</v>
      </c>
      <c r="B225" s="64" t="s">
        <v>488</v>
      </c>
      <c r="C225" s="37">
        <v>4301011315</v>
      </c>
      <c r="D225" s="80">
        <v>4607091387421</v>
      </c>
      <c r="E225" s="80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9" t="s">
        <v>122</v>
      </c>
      <c r="L225" s="38">
        <v>55</v>
      </c>
      <c r="M225" s="172" t="s">
        <v>489</v>
      </c>
      <c r="N225" s="82"/>
      <c r="O225" s="82"/>
      <c r="P225" s="82"/>
      <c r="Q225" s="83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ref="V225:V231" si="12">IFERROR(IF(U225="",0,CEILING((U225/$H225),1)*$H225),"")</f>
        <v>0</v>
      </c>
      <c r="W225" s="42" t="str">
        <f>IFERROR(IF(V225=0,"",ROUNDUP(V225/H225,0)*0.02175),"")</f>
        <v/>
      </c>
      <c r="X225" s="69" t="s">
        <v>48</v>
      </c>
      <c r="Y225" s="70" t="s">
        <v>48</v>
      </c>
    </row>
    <row r="226" spans="1:25" ht="27" customHeight="1" x14ac:dyDescent="0.25">
      <c r="A226" s="64" t="s">
        <v>487</v>
      </c>
      <c r="B226" s="64" t="s">
        <v>490</v>
      </c>
      <c r="C226" s="37">
        <v>4301011121</v>
      </c>
      <c r="D226" s="80">
        <v>4607091387421</v>
      </c>
      <c r="E226" s="80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9" t="s">
        <v>297</v>
      </c>
      <c r="L226" s="38">
        <v>55</v>
      </c>
      <c r="M226" s="173" t="s">
        <v>489</v>
      </c>
      <c r="N226" s="82"/>
      <c r="O226" s="82"/>
      <c r="P226" s="82"/>
      <c r="Q226" s="83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IFERROR(IF(V226=0,"",ROUNDUP(V226/H226,0)*0.02039),"")</f>
        <v/>
      </c>
      <c r="X226" s="69" t="s">
        <v>48</v>
      </c>
      <c r="Y226" s="70" t="s">
        <v>48</v>
      </c>
    </row>
    <row r="227" spans="1:25" ht="27" customHeight="1" x14ac:dyDescent="0.25">
      <c r="A227" s="64" t="s">
        <v>491</v>
      </c>
      <c r="B227" s="64" t="s">
        <v>492</v>
      </c>
      <c r="C227" s="37">
        <v>4301011322</v>
      </c>
      <c r="D227" s="80">
        <v>4607091387452</v>
      </c>
      <c r="E227" s="80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159</v>
      </c>
      <c r="L227" s="38">
        <v>55</v>
      </c>
      <c r="M227" s="167" t="s">
        <v>493</v>
      </c>
      <c r="N227" s="82"/>
      <c r="O227" s="82"/>
      <c r="P227" s="82"/>
      <c r="Q227" s="83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</row>
    <row r="228" spans="1:25" ht="27" customHeight="1" x14ac:dyDescent="0.25">
      <c r="A228" s="64" t="s">
        <v>491</v>
      </c>
      <c r="B228" s="64" t="s">
        <v>494</v>
      </c>
      <c r="C228" s="37">
        <v>4301011396</v>
      </c>
      <c r="D228" s="80">
        <v>4607091387452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297</v>
      </c>
      <c r="L228" s="38">
        <v>55</v>
      </c>
      <c r="M228" s="168" t="s">
        <v>493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496</v>
      </c>
      <c r="C229" s="37">
        <v>4301011313</v>
      </c>
      <c r="D229" s="80">
        <v>4607091385984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9" t="s">
        <v>122</v>
      </c>
      <c r="L229" s="38">
        <v>55</v>
      </c>
      <c r="M229" s="169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498</v>
      </c>
      <c r="B230" s="64" t="s">
        <v>499</v>
      </c>
      <c r="C230" s="37">
        <v>4301011316</v>
      </c>
      <c r="D230" s="80">
        <v>4607091387438</v>
      </c>
      <c r="E230" s="80"/>
      <c r="F230" s="63">
        <v>0.5</v>
      </c>
      <c r="G230" s="38">
        <v>10</v>
      </c>
      <c r="H230" s="63">
        <v>5</v>
      </c>
      <c r="I230" s="63">
        <v>5.24</v>
      </c>
      <c r="J230" s="38">
        <v>120</v>
      </c>
      <c r="K230" s="39" t="s">
        <v>122</v>
      </c>
      <c r="L230" s="38">
        <v>55</v>
      </c>
      <c r="M230" s="170" t="s">
        <v>500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30</v>
      </c>
      <c r="V230" s="56">
        <f t="shared" si="12"/>
        <v>30</v>
      </c>
      <c r="W230" s="42">
        <f>IFERROR(IF(V230=0,"",ROUNDUP(V230/H230,0)*0.00937),"")</f>
        <v>5.6219999999999999E-2</v>
      </c>
      <c r="X230" s="69" t="s">
        <v>48</v>
      </c>
      <c r="Y230" s="70" t="s">
        <v>48</v>
      </c>
    </row>
    <row r="231" spans="1:25" ht="27" customHeight="1" x14ac:dyDescent="0.25">
      <c r="A231" s="64" t="s">
        <v>501</v>
      </c>
      <c r="B231" s="64" t="s">
        <v>502</v>
      </c>
      <c r="C231" s="37">
        <v>4301011318</v>
      </c>
      <c r="D231" s="80">
        <v>4607091387469</v>
      </c>
      <c r="E231" s="80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9" t="s">
        <v>78</v>
      </c>
      <c r="L231" s="38">
        <v>55</v>
      </c>
      <c r="M231" s="171" t="s">
        <v>503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</row>
    <row r="232" spans="1:25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89"/>
      <c r="M232" s="86" t="s">
        <v>43</v>
      </c>
      <c r="N232" s="87"/>
      <c r="O232" s="87"/>
      <c r="P232" s="87"/>
      <c r="Q232" s="87"/>
      <c r="R232" s="87"/>
      <c r="S232" s="88"/>
      <c r="T232" s="43" t="s">
        <v>42</v>
      </c>
      <c r="U232" s="44">
        <f>IFERROR(U225/H225,"0")+IFERROR(U226/H226,"0")+IFERROR(U227/H227,"0")+IFERROR(U228/H228,"0")+IFERROR(U229/H229,"0")+IFERROR(U230/H230,"0")+IFERROR(U231/H231,"0")</f>
        <v>6</v>
      </c>
      <c r="V232" s="44">
        <f>IFERROR(V225/H225,"0")+IFERROR(V226/H226,"0")+IFERROR(V227/H227,"0")+IFERROR(V228/H228,"0")+IFERROR(V229/H229,"0")+IFERROR(V230/H230,"0")+IFERROR(V231/H231,"0")</f>
        <v>6</v>
      </c>
      <c r="W232" s="44">
        <f>IFERROR(IF(W225="",0,W225),"0")+IFERROR(IF(W226="",0,W226),"0")+IFERROR(IF(W227="",0,W227),"0")+IFERROR(IF(W228="",0,W228),"0")+IFERROR(IF(W229="",0,W229),"0")+IFERROR(IF(W230="",0,W230),"0")+IFERROR(IF(W231="",0,W231),"0")</f>
        <v>5.6219999999999999E-2</v>
      </c>
      <c r="X232" s="68"/>
      <c r="Y232" s="68"/>
    </row>
    <row r="233" spans="1:25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89"/>
      <c r="M233" s="86" t="s">
        <v>43</v>
      </c>
      <c r="N233" s="87"/>
      <c r="O233" s="87"/>
      <c r="P233" s="87"/>
      <c r="Q233" s="87"/>
      <c r="R233" s="87"/>
      <c r="S233" s="88"/>
      <c r="T233" s="43" t="s">
        <v>0</v>
      </c>
      <c r="U233" s="44">
        <f>IFERROR(SUM(U225:U231),"0")</f>
        <v>30</v>
      </c>
      <c r="V233" s="44">
        <f>IFERROR(SUM(V225:V231),"0")</f>
        <v>30</v>
      </c>
      <c r="W233" s="43"/>
      <c r="X233" s="68"/>
      <c r="Y233" s="68"/>
    </row>
    <row r="234" spans="1:25" ht="14.25" customHeight="1" x14ac:dyDescent="0.25">
      <c r="A234" s="90" t="s">
        <v>74</v>
      </c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67"/>
      <c r="Y234" s="67"/>
    </row>
    <row r="235" spans="1:25" ht="27" customHeight="1" x14ac:dyDescent="0.25">
      <c r="A235" s="64" t="s">
        <v>504</v>
      </c>
      <c r="B235" s="64" t="s">
        <v>505</v>
      </c>
      <c r="C235" s="37">
        <v>4301031154</v>
      </c>
      <c r="D235" s="80">
        <v>4607091387292</v>
      </c>
      <c r="E235" s="80"/>
      <c r="F235" s="63">
        <v>0.63</v>
      </c>
      <c r="G235" s="38">
        <v>6</v>
      </c>
      <c r="H235" s="63">
        <v>3.78</v>
      </c>
      <c r="I235" s="63">
        <v>4.04</v>
      </c>
      <c r="J235" s="38">
        <v>156</v>
      </c>
      <c r="K235" s="39" t="s">
        <v>78</v>
      </c>
      <c r="L235" s="38">
        <v>45</v>
      </c>
      <c r="M235" s="165" t="s">
        <v>506</v>
      </c>
      <c r="N235" s="82"/>
      <c r="O235" s="82"/>
      <c r="P235" s="82"/>
      <c r="Q235" s="83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</row>
    <row r="236" spans="1:25" ht="27" customHeight="1" x14ac:dyDescent="0.25">
      <c r="A236" s="64" t="s">
        <v>507</v>
      </c>
      <c r="B236" s="64" t="s">
        <v>508</v>
      </c>
      <c r="C236" s="37">
        <v>4301031155</v>
      </c>
      <c r="D236" s="80">
        <v>4607091387315</v>
      </c>
      <c r="E236" s="80"/>
      <c r="F236" s="63">
        <v>0.7</v>
      </c>
      <c r="G236" s="38">
        <v>4</v>
      </c>
      <c r="H236" s="63">
        <v>2.8</v>
      </c>
      <c r="I236" s="63">
        <v>3.048</v>
      </c>
      <c r="J236" s="38">
        <v>156</v>
      </c>
      <c r="K236" s="39" t="s">
        <v>78</v>
      </c>
      <c r="L236" s="38">
        <v>45</v>
      </c>
      <c r="M236" s="166" t="s">
        <v>509</v>
      </c>
      <c r="N236" s="82"/>
      <c r="O236" s="82"/>
      <c r="P236" s="82"/>
      <c r="Q236" s="83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</row>
    <row r="237" spans="1:25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89"/>
      <c r="M237" s="86" t="s">
        <v>43</v>
      </c>
      <c r="N237" s="87"/>
      <c r="O237" s="87"/>
      <c r="P237" s="87"/>
      <c r="Q237" s="87"/>
      <c r="R237" s="87"/>
      <c r="S237" s="88"/>
      <c r="T237" s="43" t="s">
        <v>42</v>
      </c>
      <c r="U237" s="44">
        <f>IFERROR(U235/H235,"0")+IFERROR(U236/H236,"0")</f>
        <v>0</v>
      </c>
      <c r="V237" s="44">
        <f>IFERROR(V235/H235,"0")+IFERROR(V236/H236,"0")</f>
        <v>0</v>
      </c>
      <c r="W237" s="44">
        <f>IFERROR(IF(W235="",0,W235),"0")+IFERROR(IF(W236="",0,W236),"0")</f>
        <v>0</v>
      </c>
      <c r="X237" s="68"/>
      <c r="Y237" s="68"/>
    </row>
    <row r="238" spans="1:25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89"/>
      <c r="M238" s="86" t="s">
        <v>43</v>
      </c>
      <c r="N238" s="87"/>
      <c r="O238" s="87"/>
      <c r="P238" s="87"/>
      <c r="Q238" s="87"/>
      <c r="R238" s="87"/>
      <c r="S238" s="88"/>
      <c r="T238" s="43" t="s">
        <v>0</v>
      </c>
      <c r="U238" s="44">
        <f>IFERROR(SUM(U235:U236),"0")</f>
        <v>0</v>
      </c>
      <c r="V238" s="44">
        <f>IFERROR(SUM(V235:V236),"0")</f>
        <v>0</v>
      </c>
      <c r="W238" s="43"/>
      <c r="X238" s="68"/>
      <c r="Y238" s="68"/>
    </row>
    <row r="239" spans="1:25" ht="16.5" customHeight="1" x14ac:dyDescent="0.25">
      <c r="A239" s="96" t="s">
        <v>510</v>
      </c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66"/>
      <c r="Y239" s="66"/>
    </row>
    <row r="240" spans="1:25" ht="14.25" customHeight="1" x14ac:dyDescent="0.25">
      <c r="A240" s="90" t="s">
        <v>74</v>
      </c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67"/>
      <c r="Y240" s="67"/>
    </row>
    <row r="241" spans="1:25" ht="37.5" customHeight="1" x14ac:dyDescent="0.25">
      <c r="A241" s="64" t="s">
        <v>511</v>
      </c>
      <c r="B241" s="64" t="s">
        <v>512</v>
      </c>
      <c r="C241" s="37">
        <v>4301030368</v>
      </c>
      <c r="D241" s="80">
        <v>4607091383232</v>
      </c>
      <c r="E241" s="80"/>
      <c r="F241" s="63">
        <v>0.28000000000000003</v>
      </c>
      <c r="G241" s="38">
        <v>6</v>
      </c>
      <c r="H241" s="63">
        <v>1.68</v>
      </c>
      <c r="I241" s="63">
        <v>2.6</v>
      </c>
      <c r="J241" s="38">
        <v>156</v>
      </c>
      <c r="K241" s="39" t="s">
        <v>78</v>
      </c>
      <c r="L241" s="38">
        <v>35</v>
      </c>
      <c r="M241" s="163" t="s">
        <v>513</v>
      </c>
      <c r="N241" s="82"/>
      <c r="O241" s="82"/>
      <c r="P241" s="82"/>
      <c r="Q241" s="83"/>
      <c r="R241" s="40" t="s">
        <v>48</v>
      </c>
      <c r="S241" s="40" t="s">
        <v>48</v>
      </c>
      <c r="T241" s="41" t="s">
        <v>0</v>
      </c>
      <c r="U241" s="59">
        <v>42</v>
      </c>
      <c r="V241" s="56">
        <f>IFERROR(IF(U241="",0,CEILING((U241/$H241),1)*$H241),"")</f>
        <v>42</v>
      </c>
      <c r="W241" s="42">
        <f>IFERROR(IF(V241=0,"",ROUNDUP(V241/H241,0)*0.00753),"")</f>
        <v>0.18825</v>
      </c>
      <c r="X241" s="69" t="s">
        <v>48</v>
      </c>
      <c r="Y241" s="70" t="s">
        <v>48</v>
      </c>
    </row>
    <row r="242" spans="1:25" ht="27" customHeight="1" x14ac:dyDescent="0.25">
      <c r="A242" s="64" t="s">
        <v>514</v>
      </c>
      <c r="B242" s="64" t="s">
        <v>515</v>
      </c>
      <c r="C242" s="37">
        <v>4301031066</v>
      </c>
      <c r="D242" s="80">
        <v>4607091383836</v>
      </c>
      <c r="E242" s="80"/>
      <c r="F242" s="63">
        <v>0.3</v>
      </c>
      <c r="G242" s="38">
        <v>6</v>
      </c>
      <c r="H242" s="63">
        <v>1.8</v>
      </c>
      <c r="I242" s="63">
        <v>2.048</v>
      </c>
      <c r="J242" s="38">
        <v>156</v>
      </c>
      <c r="K242" s="39" t="s">
        <v>78</v>
      </c>
      <c r="L242" s="38">
        <v>40</v>
      </c>
      <c r="M242" s="164" t="s">
        <v>516</v>
      </c>
      <c r="N242" s="82"/>
      <c r="O242" s="82"/>
      <c r="P242" s="82"/>
      <c r="Q242" s="83"/>
      <c r="R242" s="40" t="s">
        <v>48</v>
      </c>
      <c r="S242" s="40" t="s">
        <v>48</v>
      </c>
      <c r="T242" s="41" t="s">
        <v>0</v>
      </c>
      <c r="U242" s="59">
        <v>27</v>
      </c>
      <c r="V242" s="56">
        <f>IFERROR(IF(U242="",0,CEILING((U242/$H242),1)*$H242),"")</f>
        <v>27</v>
      </c>
      <c r="W242" s="42">
        <f>IFERROR(IF(V242=0,"",ROUNDUP(V242/H242,0)*0.00753),"")</f>
        <v>0.11295000000000001</v>
      </c>
      <c r="X242" s="69" t="s">
        <v>48</v>
      </c>
      <c r="Y242" s="70" t="s">
        <v>48</v>
      </c>
    </row>
    <row r="243" spans="1:25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89"/>
      <c r="M243" s="86" t="s">
        <v>43</v>
      </c>
      <c r="N243" s="87"/>
      <c r="O243" s="87"/>
      <c r="P243" s="87"/>
      <c r="Q243" s="87"/>
      <c r="R243" s="87"/>
      <c r="S243" s="88"/>
      <c r="T243" s="43" t="s">
        <v>42</v>
      </c>
      <c r="U243" s="44">
        <f>IFERROR(U241/H241,"0")+IFERROR(U242/H242,"0")</f>
        <v>40</v>
      </c>
      <c r="V243" s="44">
        <f>IFERROR(V241/H241,"0")+IFERROR(V242/H242,"0")</f>
        <v>40</v>
      </c>
      <c r="W243" s="44">
        <f>IFERROR(IF(W241="",0,W241),"0")+IFERROR(IF(W242="",0,W242),"0")</f>
        <v>0.30120000000000002</v>
      </c>
      <c r="X243" s="68"/>
      <c r="Y243" s="68"/>
    </row>
    <row r="244" spans="1:25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89"/>
      <c r="M244" s="86" t="s">
        <v>43</v>
      </c>
      <c r="N244" s="87"/>
      <c r="O244" s="87"/>
      <c r="P244" s="87"/>
      <c r="Q244" s="87"/>
      <c r="R244" s="87"/>
      <c r="S244" s="88"/>
      <c r="T244" s="43" t="s">
        <v>0</v>
      </c>
      <c r="U244" s="44">
        <f>IFERROR(SUM(U241:U242),"0")</f>
        <v>69</v>
      </c>
      <c r="V244" s="44">
        <f>IFERROR(SUM(V241:V242),"0")</f>
        <v>69</v>
      </c>
      <c r="W244" s="43"/>
      <c r="X244" s="68"/>
      <c r="Y244" s="68"/>
    </row>
    <row r="245" spans="1:25" ht="14.25" customHeight="1" x14ac:dyDescent="0.25">
      <c r="A245" s="90" t="s">
        <v>79</v>
      </c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67"/>
      <c r="Y245" s="67"/>
    </row>
    <row r="246" spans="1:25" ht="27" customHeight="1" x14ac:dyDescent="0.25">
      <c r="A246" s="64" t="s">
        <v>517</v>
      </c>
      <c r="B246" s="64" t="s">
        <v>518</v>
      </c>
      <c r="C246" s="37">
        <v>4301051142</v>
      </c>
      <c r="D246" s="80">
        <v>4607091387919</v>
      </c>
      <c r="E246" s="80"/>
      <c r="F246" s="63">
        <v>1.35</v>
      </c>
      <c r="G246" s="38">
        <v>6</v>
      </c>
      <c r="H246" s="63">
        <v>8.1</v>
      </c>
      <c r="I246" s="63">
        <v>8.6639999999999997</v>
      </c>
      <c r="J246" s="38">
        <v>56</v>
      </c>
      <c r="K246" s="39" t="s">
        <v>78</v>
      </c>
      <c r="L246" s="38">
        <v>45</v>
      </c>
      <c r="M246" s="160" t="s">
        <v>519</v>
      </c>
      <c r="N246" s="82"/>
      <c r="O246" s="82"/>
      <c r="P246" s="82"/>
      <c r="Q246" s="83"/>
      <c r="R246" s="40" t="s">
        <v>48</v>
      </c>
      <c r="S246" s="40" t="s">
        <v>48</v>
      </c>
      <c r="T246" s="41" t="s">
        <v>0</v>
      </c>
      <c r="U246" s="59">
        <v>24</v>
      </c>
      <c r="V246" s="56">
        <f>IFERROR(IF(U246="",0,CEILING((U246/$H246),1)*$H246),"")</f>
        <v>24.299999999999997</v>
      </c>
      <c r="W246" s="42">
        <f>IFERROR(IF(V246=0,"",ROUNDUP(V246/H246,0)*0.02175),"")</f>
        <v>6.5250000000000002E-2</v>
      </c>
      <c r="X246" s="69" t="s">
        <v>48</v>
      </c>
      <c r="Y246" s="70" t="s">
        <v>48</v>
      </c>
    </row>
    <row r="247" spans="1:25" ht="27" customHeight="1" x14ac:dyDescent="0.25">
      <c r="A247" s="64" t="s">
        <v>520</v>
      </c>
      <c r="B247" s="64" t="s">
        <v>521</v>
      </c>
      <c r="C247" s="37">
        <v>4301051109</v>
      </c>
      <c r="D247" s="80">
        <v>4607091383942</v>
      </c>
      <c r="E247" s="80"/>
      <c r="F247" s="63">
        <v>0.42</v>
      </c>
      <c r="G247" s="38">
        <v>6</v>
      </c>
      <c r="H247" s="63">
        <v>2.52</v>
      </c>
      <c r="I247" s="63">
        <v>2.7919999999999998</v>
      </c>
      <c r="J247" s="38">
        <v>156</v>
      </c>
      <c r="K247" s="39" t="s">
        <v>159</v>
      </c>
      <c r="L247" s="38">
        <v>45</v>
      </c>
      <c r="M247" s="161" t="s">
        <v>522</v>
      </c>
      <c r="N247" s="82"/>
      <c r="O247" s="82"/>
      <c r="P247" s="82"/>
      <c r="Q247" s="83"/>
      <c r="R247" s="40" t="s">
        <v>48</v>
      </c>
      <c r="S247" s="40" t="s">
        <v>48</v>
      </c>
      <c r="T247" s="41" t="s">
        <v>0</v>
      </c>
      <c r="U247" s="59">
        <v>168</v>
      </c>
      <c r="V247" s="56">
        <f>IFERROR(IF(U247="",0,CEILING((U247/$H247),1)*$H247),"")</f>
        <v>168.84</v>
      </c>
      <c r="W247" s="42">
        <f>IFERROR(IF(V247=0,"",ROUNDUP(V247/H247,0)*0.00753),"")</f>
        <v>0.50451000000000001</v>
      </c>
      <c r="X247" s="69" t="s">
        <v>48</v>
      </c>
      <c r="Y247" s="70" t="s">
        <v>48</v>
      </c>
    </row>
    <row r="248" spans="1:25" ht="27" customHeight="1" x14ac:dyDescent="0.25">
      <c r="A248" s="64" t="s">
        <v>523</v>
      </c>
      <c r="B248" s="64" t="s">
        <v>524</v>
      </c>
      <c r="C248" s="37">
        <v>4301051300</v>
      </c>
      <c r="D248" s="80">
        <v>4607091383959</v>
      </c>
      <c r="E248" s="80"/>
      <c r="F248" s="63">
        <v>0.42</v>
      </c>
      <c r="G248" s="38">
        <v>6</v>
      </c>
      <c r="H248" s="63">
        <v>2.52</v>
      </c>
      <c r="I248" s="63">
        <v>2.78</v>
      </c>
      <c r="J248" s="38">
        <v>156</v>
      </c>
      <c r="K248" s="39" t="s">
        <v>78</v>
      </c>
      <c r="L248" s="38">
        <v>35</v>
      </c>
      <c r="M248" s="162" t="s">
        <v>525</v>
      </c>
      <c r="N248" s="82"/>
      <c r="O248" s="82"/>
      <c r="P248" s="82"/>
      <c r="Q248" s="83"/>
      <c r="R248" s="40" t="s">
        <v>48</v>
      </c>
      <c r="S248" s="40" t="s">
        <v>48</v>
      </c>
      <c r="T248" s="41" t="s">
        <v>0</v>
      </c>
      <c r="U248" s="59">
        <v>50.4</v>
      </c>
      <c r="V248" s="56">
        <f>IFERROR(IF(U248="",0,CEILING((U248/$H248),1)*$H248),"")</f>
        <v>50.4</v>
      </c>
      <c r="W248" s="42">
        <f>IFERROR(IF(V248=0,"",ROUNDUP(V248/H248,0)*0.00753),"")</f>
        <v>0.15060000000000001</v>
      </c>
      <c r="X248" s="69" t="s">
        <v>48</v>
      </c>
      <c r="Y248" s="70" t="s">
        <v>48</v>
      </c>
    </row>
    <row r="249" spans="1:25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89"/>
      <c r="M249" s="86" t="s">
        <v>43</v>
      </c>
      <c r="N249" s="87"/>
      <c r="O249" s="87"/>
      <c r="P249" s="87"/>
      <c r="Q249" s="87"/>
      <c r="R249" s="87"/>
      <c r="S249" s="88"/>
      <c r="T249" s="43" t="s">
        <v>42</v>
      </c>
      <c r="U249" s="44">
        <f>IFERROR(U246/H246,"0")+IFERROR(U247/H247,"0")+IFERROR(U248/H248,"0")</f>
        <v>89.629629629629633</v>
      </c>
      <c r="V249" s="44">
        <f>IFERROR(V246/H246,"0")+IFERROR(V247/H247,"0")+IFERROR(V248/H248,"0")</f>
        <v>90</v>
      </c>
      <c r="W249" s="44">
        <f>IFERROR(IF(W246="",0,W246),"0")+IFERROR(IF(W247="",0,W247),"0")+IFERROR(IF(W248="",0,W248),"0")</f>
        <v>0.72036000000000011</v>
      </c>
      <c r="X249" s="68"/>
      <c r="Y249" s="68"/>
    </row>
    <row r="250" spans="1:25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89"/>
      <c r="M250" s="86" t="s">
        <v>43</v>
      </c>
      <c r="N250" s="87"/>
      <c r="O250" s="87"/>
      <c r="P250" s="87"/>
      <c r="Q250" s="87"/>
      <c r="R250" s="87"/>
      <c r="S250" s="88"/>
      <c r="T250" s="43" t="s">
        <v>0</v>
      </c>
      <c r="U250" s="44">
        <f>IFERROR(SUM(U246:U248),"0")</f>
        <v>242.4</v>
      </c>
      <c r="V250" s="44">
        <f>IFERROR(SUM(V246:V248),"0")</f>
        <v>243.54</v>
      </c>
      <c r="W250" s="43"/>
      <c r="X250" s="68"/>
      <c r="Y250" s="68"/>
    </row>
    <row r="251" spans="1:25" ht="14.25" customHeight="1" x14ac:dyDescent="0.25">
      <c r="A251" s="90" t="s">
        <v>253</v>
      </c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67"/>
      <c r="Y251" s="67"/>
    </row>
    <row r="252" spans="1:25" ht="27" customHeight="1" x14ac:dyDescent="0.25">
      <c r="A252" s="64" t="s">
        <v>526</v>
      </c>
      <c r="B252" s="64" t="s">
        <v>527</v>
      </c>
      <c r="C252" s="37">
        <v>4301060324</v>
      </c>
      <c r="D252" s="80">
        <v>4607091388831</v>
      </c>
      <c r="E252" s="80"/>
      <c r="F252" s="63">
        <v>0.38</v>
      </c>
      <c r="G252" s="38">
        <v>6</v>
      </c>
      <c r="H252" s="63">
        <v>2.2799999999999998</v>
      </c>
      <c r="I252" s="63">
        <v>2.552</v>
      </c>
      <c r="J252" s="38">
        <v>156</v>
      </c>
      <c r="K252" s="39" t="s">
        <v>78</v>
      </c>
      <c r="L252" s="38">
        <v>40</v>
      </c>
      <c r="M252" s="158" t="s">
        <v>528</v>
      </c>
      <c r="N252" s="82"/>
      <c r="O252" s="82"/>
      <c r="P252" s="82"/>
      <c r="Q252" s="83"/>
      <c r="R252" s="40" t="s">
        <v>48</v>
      </c>
      <c r="S252" s="40" t="s">
        <v>48</v>
      </c>
      <c r="T252" s="41" t="s">
        <v>0</v>
      </c>
      <c r="U252" s="59">
        <v>27.36</v>
      </c>
      <c r="V252" s="56">
        <f>IFERROR(IF(U252="",0,CEILING((U252/$H252),1)*$H252),"")</f>
        <v>27.36</v>
      </c>
      <c r="W252" s="42">
        <f>IFERROR(IF(V252=0,"",ROUNDUP(V252/H252,0)*0.00753),"")</f>
        <v>9.0359999999999996E-2</v>
      </c>
      <c r="X252" s="69" t="s">
        <v>48</v>
      </c>
      <c r="Y252" s="70" t="s">
        <v>48</v>
      </c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42</v>
      </c>
      <c r="U253" s="44">
        <f>IFERROR(U252/H252,"0")</f>
        <v>12</v>
      </c>
      <c r="V253" s="44">
        <f>IFERROR(V252/H252,"0")</f>
        <v>12</v>
      </c>
      <c r="W253" s="44">
        <f>IFERROR(IF(W252="",0,W252),"0")</f>
        <v>9.0359999999999996E-2</v>
      </c>
      <c r="X253" s="68"/>
      <c r="Y253" s="68"/>
    </row>
    <row r="254" spans="1:25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89"/>
      <c r="M254" s="86" t="s">
        <v>43</v>
      </c>
      <c r="N254" s="87"/>
      <c r="O254" s="87"/>
      <c r="P254" s="87"/>
      <c r="Q254" s="87"/>
      <c r="R254" s="87"/>
      <c r="S254" s="88"/>
      <c r="T254" s="43" t="s">
        <v>0</v>
      </c>
      <c r="U254" s="44">
        <f>IFERROR(SUM(U252:U252),"0")</f>
        <v>27.36</v>
      </c>
      <c r="V254" s="44">
        <f>IFERROR(SUM(V252:V252),"0")</f>
        <v>27.36</v>
      </c>
      <c r="W254" s="43"/>
      <c r="X254" s="68"/>
      <c r="Y254" s="68"/>
    </row>
    <row r="255" spans="1:25" ht="14.25" customHeight="1" x14ac:dyDescent="0.25">
      <c r="A255" s="90" t="s">
        <v>98</v>
      </c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67"/>
      <c r="Y255" s="67"/>
    </row>
    <row r="256" spans="1:25" ht="27" customHeight="1" x14ac:dyDescent="0.25">
      <c r="A256" s="64" t="s">
        <v>529</v>
      </c>
      <c r="B256" s="64" t="s">
        <v>530</v>
      </c>
      <c r="C256" s="37">
        <v>4301032015</v>
      </c>
      <c r="D256" s="80">
        <v>4607091383102</v>
      </c>
      <c r="E256" s="80"/>
      <c r="F256" s="63">
        <v>0.17</v>
      </c>
      <c r="G256" s="38">
        <v>15</v>
      </c>
      <c r="H256" s="63">
        <v>2.5499999999999998</v>
      </c>
      <c r="I256" s="63">
        <v>2.9750000000000001</v>
      </c>
      <c r="J256" s="38">
        <v>156</v>
      </c>
      <c r="K256" s="39" t="s">
        <v>102</v>
      </c>
      <c r="L256" s="38">
        <v>180</v>
      </c>
      <c r="M256" s="159" t="s">
        <v>531</v>
      </c>
      <c r="N256" s="82"/>
      <c r="O256" s="82"/>
      <c r="P256" s="82"/>
      <c r="Q256" s="83"/>
      <c r="R256" s="40" t="s">
        <v>48</v>
      </c>
      <c r="S256" s="40" t="s">
        <v>48</v>
      </c>
      <c r="T256" s="41" t="s">
        <v>0</v>
      </c>
      <c r="U256" s="59">
        <v>10</v>
      </c>
      <c r="V256" s="56">
        <f>IFERROR(IF(U256="",0,CEILING((U256/$H256),1)*$H256),"")</f>
        <v>10.199999999999999</v>
      </c>
      <c r="W256" s="42">
        <f>IFERROR(IF(V256=0,"",ROUNDUP(V256/H256,0)*0.00753),"")</f>
        <v>3.0120000000000001E-2</v>
      </c>
      <c r="X256" s="69" t="s">
        <v>48</v>
      </c>
      <c r="Y256" s="70" t="s">
        <v>48</v>
      </c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42</v>
      </c>
      <c r="U257" s="44">
        <f>IFERROR(U256/H256,"0")</f>
        <v>3.9215686274509807</v>
      </c>
      <c r="V257" s="44">
        <f>IFERROR(V256/H256,"0")</f>
        <v>4</v>
      </c>
      <c r="W257" s="44">
        <f>IFERROR(IF(W256="",0,W256),"0")</f>
        <v>3.0120000000000001E-2</v>
      </c>
      <c r="X257" s="68"/>
      <c r="Y257" s="68"/>
    </row>
    <row r="258" spans="1:25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89"/>
      <c r="M258" s="86" t="s">
        <v>43</v>
      </c>
      <c r="N258" s="87"/>
      <c r="O258" s="87"/>
      <c r="P258" s="87"/>
      <c r="Q258" s="87"/>
      <c r="R258" s="87"/>
      <c r="S258" s="88"/>
      <c r="T258" s="43" t="s">
        <v>0</v>
      </c>
      <c r="U258" s="44">
        <f>IFERROR(SUM(U256:U256),"0")</f>
        <v>10</v>
      </c>
      <c r="V258" s="44">
        <f>IFERROR(SUM(V256:V256),"0")</f>
        <v>10.199999999999999</v>
      </c>
      <c r="W258" s="43"/>
      <c r="X258" s="68"/>
      <c r="Y258" s="68"/>
    </row>
    <row r="259" spans="1:25" ht="14.25" customHeight="1" x14ac:dyDescent="0.25">
      <c r="A259" s="90" t="s">
        <v>112</v>
      </c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67"/>
      <c r="Y259" s="67"/>
    </row>
    <row r="260" spans="1:25" ht="27" customHeight="1" x14ac:dyDescent="0.25">
      <c r="A260" s="64" t="s">
        <v>532</v>
      </c>
      <c r="B260" s="64" t="s">
        <v>533</v>
      </c>
      <c r="C260" s="37">
        <v>4301032026</v>
      </c>
      <c r="D260" s="80">
        <v>4607091389142</v>
      </c>
      <c r="E260" s="80"/>
      <c r="F260" s="63">
        <v>0.15</v>
      </c>
      <c r="G260" s="38">
        <v>10</v>
      </c>
      <c r="H260" s="63">
        <v>1.5</v>
      </c>
      <c r="I260" s="63">
        <v>1.76</v>
      </c>
      <c r="J260" s="38">
        <v>200</v>
      </c>
      <c r="K260" s="39" t="s">
        <v>535</v>
      </c>
      <c r="L260" s="38">
        <v>150</v>
      </c>
      <c r="M260" s="157" t="s">
        <v>534</v>
      </c>
      <c r="N260" s="82"/>
      <c r="O260" s="82"/>
      <c r="P260" s="82"/>
      <c r="Q260" s="83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IFERROR(IF(V260=0,"",ROUNDUP(V260/H260,0)*0.00673),"")</f>
        <v/>
      </c>
      <c r="X260" s="69" t="s">
        <v>48</v>
      </c>
      <c r="Y260" s="70" t="s">
        <v>48</v>
      </c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42</v>
      </c>
      <c r="U261" s="44">
        <f>IFERROR(U260/H260,"0")</f>
        <v>0</v>
      </c>
      <c r="V261" s="44">
        <f>IFERROR(V260/H260,"0")</f>
        <v>0</v>
      </c>
      <c r="W261" s="44">
        <f>IFERROR(IF(W260="",0,W260),"0")</f>
        <v>0</v>
      </c>
      <c r="X261" s="68"/>
      <c r="Y261" s="68"/>
    </row>
    <row r="262" spans="1:25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89"/>
      <c r="M262" s="86" t="s">
        <v>43</v>
      </c>
      <c r="N262" s="87"/>
      <c r="O262" s="87"/>
      <c r="P262" s="87"/>
      <c r="Q262" s="87"/>
      <c r="R262" s="87"/>
      <c r="S262" s="88"/>
      <c r="T262" s="43" t="s">
        <v>0</v>
      </c>
      <c r="U262" s="44">
        <f>IFERROR(SUM(U260:U260),"0")</f>
        <v>0</v>
      </c>
      <c r="V262" s="44">
        <f>IFERROR(SUM(V260:V260),"0")</f>
        <v>0</v>
      </c>
      <c r="W262" s="43"/>
      <c r="X262" s="68"/>
      <c r="Y262" s="68"/>
    </row>
    <row r="263" spans="1:25" ht="27.75" customHeight="1" x14ac:dyDescent="0.2">
      <c r="A263" s="95" t="s">
        <v>536</v>
      </c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55"/>
      <c r="Y263" s="55"/>
    </row>
    <row r="264" spans="1:25" ht="16.5" customHeight="1" x14ac:dyDescent="0.25">
      <c r="A264" s="96" t="s">
        <v>537</v>
      </c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66"/>
      <c r="Y264" s="66"/>
    </row>
    <row r="265" spans="1:25" ht="14.25" customHeight="1" x14ac:dyDescent="0.25">
      <c r="A265" s="90" t="s">
        <v>127</v>
      </c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67"/>
      <c r="Y265" s="67"/>
    </row>
    <row r="266" spans="1:25" ht="27" customHeight="1" x14ac:dyDescent="0.25">
      <c r="A266" s="64" t="s">
        <v>538</v>
      </c>
      <c r="B266" s="64" t="s">
        <v>539</v>
      </c>
      <c r="C266" s="37">
        <v>4301011339</v>
      </c>
      <c r="D266" s="80">
        <v>4607091383997</v>
      </c>
      <c r="E266" s="80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78</v>
      </c>
      <c r="L266" s="38">
        <v>60</v>
      </c>
      <c r="M266" s="154" t="s">
        <v>540</v>
      </c>
      <c r="N266" s="82"/>
      <c r="O266" s="82"/>
      <c r="P266" s="82"/>
      <c r="Q266" s="83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ref="V266:V273" si="13">IFERROR(IF(U266="",0,CEILING((U266/$H266),1)*$H266),"")</f>
        <v>0</v>
      </c>
      <c r="W266" s="42" t="str">
        <f>IFERROR(IF(V266=0,"",ROUNDUP(V266/H266,0)*0.02175),"")</f>
        <v/>
      </c>
      <c r="X266" s="69" t="s">
        <v>48</v>
      </c>
      <c r="Y266" s="70" t="s">
        <v>48</v>
      </c>
    </row>
    <row r="267" spans="1:25" ht="27" customHeight="1" x14ac:dyDescent="0.25">
      <c r="A267" s="64" t="s">
        <v>538</v>
      </c>
      <c r="B267" s="64" t="s">
        <v>541</v>
      </c>
      <c r="C267" s="37">
        <v>4301011239</v>
      </c>
      <c r="D267" s="80">
        <v>4607091383997</v>
      </c>
      <c r="E267" s="80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297</v>
      </c>
      <c r="L267" s="38">
        <v>60</v>
      </c>
      <c r="M267" s="155" t="s">
        <v>540</v>
      </c>
      <c r="N267" s="82"/>
      <c r="O267" s="82"/>
      <c r="P267" s="82"/>
      <c r="Q267" s="83"/>
      <c r="R267" s="40" t="s">
        <v>48</v>
      </c>
      <c r="S267" s="40" t="s">
        <v>48</v>
      </c>
      <c r="T267" s="41" t="s">
        <v>0</v>
      </c>
      <c r="U267" s="59">
        <v>600</v>
      </c>
      <c r="V267" s="56">
        <f t="shared" si="13"/>
        <v>600</v>
      </c>
      <c r="W267" s="42">
        <f>IFERROR(IF(V267=0,"",ROUNDUP(V267/H267,0)*0.02039),"")</f>
        <v>0.81559999999999988</v>
      </c>
      <c r="X267" s="69" t="s">
        <v>48</v>
      </c>
      <c r="Y267" s="70" t="s">
        <v>48</v>
      </c>
    </row>
    <row r="268" spans="1:25" ht="27" customHeight="1" x14ac:dyDescent="0.25">
      <c r="A268" s="64" t="s">
        <v>542</v>
      </c>
      <c r="B268" s="64" t="s">
        <v>543</v>
      </c>
      <c r="C268" s="37">
        <v>4301011326</v>
      </c>
      <c r="D268" s="80">
        <v>4607091384130</v>
      </c>
      <c r="E268" s="8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78</v>
      </c>
      <c r="L268" s="38">
        <v>60</v>
      </c>
      <c r="M268" s="156" t="s">
        <v>544</v>
      </c>
      <c r="N268" s="82"/>
      <c r="O268" s="82"/>
      <c r="P268" s="82"/>
      <c r="Q268" s="83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3"/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</row>
    <row r="269" spans="1:25" ht="27" customHeight="1" x14ac:dyDescent="0.25">
      <c r="A269" s="64" t="s">
        <v>542</v>
      </c>
      <c r="B269" s="64" t="s">
        <v>545</v>
      </c>
      <c r="C269" s="37">
        <v>4301011240</v>
      </c>
      <c r="D269" s="80">
        <v>4607091384130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297</v>
      </c>
      <c r="L269" s="38">
        <v>60</v>
      </c>
      <c r="M269" s="149" t="s">
        <v>544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</row>
    <row r="270" spans="1:25" ht="16.5" customHeight="1" x14ac:dyDescent="0.25">
      <c r="A270" s="64" t="s">
        <v>546</v>
      </c>
      <c r="B270" s="64" t="s">
        <v>547</v>
      </c>
      <c r="C270" s="37">
        <v>4301011330</v>
      </c>
      <c r="D270" s="80">
        <v>4607091384147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78</v>
      </c>
      <c r="L270" s="38">
        <v>60</v>
      </c>
      <c r="M270" s="150" t="s">
        <v>548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200</v>
      </c>
      <c r="V270" s="56">
        <f t="shared" si="13"/>
        <v>210</v>
      </c>
      <c r="W270" s="42">
        <f>IFERROR(IF(V270=0,"",ROUNDUP(V270/H270,0)*0.02175),"")</f>
        <v>0.30449999999999999</v>
      </c>
      <c r="X270" s="69" t="s">
        <v>48</v>
      </c>
      <c r="Y270" s="70" t="s">
        <v>48</v>
      </c>
    </row>
    <row r="271" spans="1:25" ht="16.5" customHeight="1" x14ac:dyDescent="0.25">
      <c r="A271" s="64" t="s">
        <v>546</v>
      </c>
      <c r="B271" s="64" t="s">
        <v>549</v>
      </c>
      <c r="C271" s="37">
        <v>4301011238</v>
      </c>
      <c r="D271" s="80">
        <v>4607091384147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297</v>
      </c>
      <c r="L271" s="38">
        <v>60</v>
      </c>
      <c r="M271" s="151" t="s">
        <v>548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550</v>
      </c>
      <c r="B272" s="64" t="s">
        <v>551</v>
      </c>
      <c r="C272" s="37">
        <v>4301011327</v>
      </c>
      <c r="D272" s="80">
        <v>4607091384154</v>
      </c>
      <c r="E272" s="80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9" t="s">
        <v>78</v>
      </c>
      <c r="L272" s="38">
        <v>60</v>
      </c>
      <c r="M272" s="152" t="s">
        <v>552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50</v>
      </c>
      <c r="V272" s="56">
        <f t="shared" si="13"/>
        <v>50</v>
      </c>
      <c r="W272" s="42">
        <f>IFERROR(IF(V272=0,"",ROUNDUP(V272/H272,0)*0.00937),"")</f>
        <v>9.3700000000000006E-2</v>
      </c>
      <c r="X272" s="69" t="s">
        <v>48</v>
      </c>
      <c r="Y272" s="70" t="s">
        <v>48</v>
      </c>
    </row>
    <row r="273" spans="1:25" ht="27" customHeight="1" x14ac:dyDescent="0.25">
      <c r="A273" s="64" t="s">
        <v>553</v>
      </c>
      <c r="B273" s="64" t="s">
        <v>554</v>
      </c>
      <c r="C273" s="37">
        <v>4301011332</v>
      </c>
      <c r="D273" s="80">
        <v>4607091384161</v>
      </c>
      <c r="E273" s="80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9" t="s">
        <v>78</v>
      </c>
      <c r="L273" s="38">
        <v>60</v>
      </c>
      <c r="M273" s="153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30</v>
      </c>
      <c r="V273" s="56">
        <f t="shared" si="13"/>
        <v>30</v>
      </c>
      <c r="W273" s="42">
        <f>IFERROR(IF(V273=0,"",ROUNDUP(V273/H273,0)*0.00937),"")</f>
        <v>5.6219999999999999E-2</v>
      </c>
      <c r="X273" s="69" t="s">
        <v>48</v>
      </c>
      <c r="Y273" s="70" t="s">
        <v>48</v>
      </c>
    </row>
    <row r="274" spans="1:25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89"/>
      <c r="M274" s="86" t="s">
        <v>43</v>
      </c>
      <c r="N274" s="87"/>
      <c r="O274" s="87"/>
      <c r="P274" s="87"/>
      <c r="Q274" s="87"/>
      <c r="R274" s="87"/>
      <c r="S274" s="88"/>
      <c r="T274" s="43" t="s">
        <v>42</v>
      </c>
      <c r="U274" s="44">
        <f>IFERROR(U266/H266,"0")+IFERROR(U267/H267,"0")+IFERROR(U268/H268,"0")+IFERROR(U269/H269,"0")+IFERROR(U270/H270,"0")+IFERROR(U271/H271,"0")+IFERROR(U272/H272,"0")+IFERROR(U273/H273,"0")</f>
        <v>69.333333333333343</v>
      </c>
      <c r="V274" s="44">
        <f>IFERROR(V266/H266,"0")+IFERROR(V267/H267,"0")+IFERROR(V268/H268,"0")+IFERROR(V269/H269,"0")+IFERROR(V270/H270,"0")+IFERROR(V271/H271,"0")+IFERROR(V272/H272,"0")+IFERROR(V273/H273,"0")</f>
        <v>70</v>
      </c>
      <c r="W274" s="44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1.2700199999999999</v>
      </c>
      <c r="X274" s="68"/>
      <c r="Y274" s="68"/>
    </row>
    <row r="275" spans="1:25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89"/>
      <c r="M275" s="86" t="s">
        <v>43</v>
      </c>
      <c r="N275" s="87"/>
      <c r="O275" s="87"/>
      <c r="P275" s="87"/>
      <c r="Q275" s="87"/>
      <c r="R275" s="87"/>
      <c r="S275" s="88"/>
      <c r="T275" s="43" t="s">
        <v>0</v>
      </c>
      <c r="U275" s="44">
        <f>IFERROR(SUM(U266:U273),"0")</f>
        <v>880</v>
      </c>
      <c r="V275" s="44">
        <f>IFERROR(SUM(V266:V273),"0")</f>
        <v>890</v>
      </c>
      <c r="W275" s="43"/>
      <c r="X275" s="68"/>
      <c r="Y275" s="68"/>
    </row>
    <row r="276" spans="1:25" ht="14.25" customHeight="1" x14ac:dyDescent="0.25">
      <c r="A276" s="90" t="s">
        <v>118</v>
      </c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67"/>
      <c r="Y276" s="67"/>
    </row>
    <row r="277" spans="1:25" ht="27" customHeight="1" x14ac:dyDescent="0.25">
      <c r="A277" s="64" t="s">
        <v>556</v>
      </c>
      <c r="B277" s="64" t="s">
        <v>557</v>
      </c>
      <c r="C277" s="37">
        <v>4301020178</v>
      </c>
      <c r="D277" s="80">
        <v>4607091383980</v>
      </c>
      <c r="E277" s="80"/>
      <c r="F277" s="63">
        <v>2.5</v>
      </c>
      <c r="G277" s="38">
        <v>6</v>
      </c>
      <c r="H277" s="63">
        <v>15</v>
      </c>
      <c r="I277" s="63">
        <v>15.48</v>
      </c>
      <c r="J277" s="38">
        <v>48</v>
      </c>
      <c r="K277" s="39" t="s">
        <v>122</v>
      </c>
      <c r="L277" s="38">
        <v>50</v>
      </c>
      <c r="M277" s="147" t="s">
        <v>558</v>
      </c>
      <c r="N277" s="82"/>
      <c r="O277" s="82"/>
      <c r="P277" s="82"/>
      <c r="Q277" s="83"/>
      <c r="R277" s="40" t="s">
        <v>48</v>
      </c>
      <c r="S277" s="40" t="s">
        <v>48</v>
      </c>
      <c r="T277" s="41" t="s">
        <v>0</v>
      </c>
      <c r="U277" s="59">
        <v>500</v>
      </c>
      <c r="V277" s="56">
        <f>IFERROR(IF(U277="",0,CEILING((U277/$H277),1)*$H277),"")</f>
        <v>510</v>
      </c>
      <c r="W277" s="42">
        <f>IFERROR(IF(V277=0,"",ROUNDUP(V277/H277,0)*0.02175),"")</f>
        <v>0.73949999999999994</v>
      </c>
      <c r="X277" s="69" t="s">
        <v>48</v>
      </c>
      <c r="Y277" s="70" t="s">
        <v>48</v>
      </c>
    </row>
    <row r="278" spans="1:25" ht="27" customHeight="1" x14ac:dyDescent="0.25">
      <c r="A278" s="64" t="s">
        <v>559</v>
      </c>
      <c r="B278" s="64" t="s">
        <v>560</v>
      </c>
      <c r="C278" s="37">
        <v>4301020179</v>
      </c>
      <c r="D278" s="80">
        <v>4607091384178</v>
      </c>
      <c r="E278" s="80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9" t="s">
        <v>122</v>
      </c>
      <c r="L278" s="38">
        <v>50</v>
      </c>
      <c r="M278" s="148" t="s">
        <v>561</v>
      </c>
      <c r="N278" s="82"/>
      <c r="O278" s="82"/>
      <c r="P278" s="82"/>
      <c r="Q278" s="83"/>
      <c r="R278" s="40" t="s">
        <v>48</v>
      </c>
      <c r="S278" s="40" t="s">
        <v>48</v>
      </c>
      <c r="T278" s="41" t="s">
        <v>0</v>
      </c>
      <c r="U278" s="59">
        <v>50</v>
      </c>
      <c r="V278" s="56">
        <f>IFERROR(IF(U278="",0,CEILING((U278/$H278),1)*$H278),"")</f>
        <v>52</v>
      </c>
      <c r="W278" s="42">
        <f>IFERROR(IF(V278=0,"",ROUNDUP(V278/H278,0)*0.00937),"")</f>
        <v>0.12181</v>
      </c>
      <c r="X278" s="69" t="s">
        <v>48</v>
      </c>
      <c r="Y278" s="70" t="s">
        <v>48</v>
      </c>
    </row>
    <row r="279" spans="1:25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89"/>
      <c r="M279" s="86" t="s">
        <v>43</v>
      </c>
      <c r="N279" s="87"/>
      <c r="O279" s="87"/>
      <c r="P279" s="87"/>
      <c r="Q279" s="87"/>
      <c r="R279" s="87"/>
      <c r="S279" s="88"/>
      <c r="T279" s="43" t="s">
        <v>42</v>
      </c>
      <c r="U279" s="44">
        <f>IFERROR(U277/H277,"0")+IFERROR(U278/H278,"0")</f>
        <v>45.833333333333336</v>
      </c>
      <c r="V279" s="44">
        <f>IFERROR(V277/H277,"0")+IFERROR(V278/H278,"0")</f>
        <v>47</v>
      </c>
      <c r="W279" s="44">
        <f>IFERROR(IF(W277="",0,W277),"0")+IFERROR(IF(W278="",0,W278),"0")</f>
        <v>0.86130999999999991</v>
      </c>
      <c r="X279" s="68"/>
      <c r="Y279" s="68"/>
    </row>
    <row r="280" spans="1:25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89"/>
      <c r="M280" s="86" t="s">
        <v>43</v>
      </c>
      <c r="N280" s="87"/>
      <c r="O280" s="87"/>
      <c r="P280" s="87"/>
      <c r="Q280" s="87"/>
      <c r="R280" s="87"/>
      <c r="S280" s="88"/>
      <c r="T280" s="43" t="s">
        <v>0</v>
      </c>
      <c r="U280" s="44">
        <f>IFERROR(SUM(U277:U278),"0")</f>
        <v>550</v>
      </c>
      <c r="V280" s="44">
        <f>IFERROR(SUM(V277:V278),"0")</f>
        <v>562</v>
      </c>
      <c r="W280" s="43"/>
      <c r="X280" s="68"/>
      <c r="Y280" s="68"/>
    </row>
    <row r="281" spans="1:25" ht="14.25" customHeight="1" x14ac:dyDescent="0.25">
      <c r="A281" s="90" t="s">
        <v>74</v>
      </c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67"/>
      <c r="Y281" s="67"/>
    </row>
    <row r="282" spans="1:25" ht="27" customHeight="1" x14ac:dyDescent="0.25">
      <c r="A282" s="64" t="s">
        <v>562</v>
      </c>
      <c r="B282" s="64" t="s">
        <v>563</v>
      </c>
      <c r="C282" s="37">
        <v>4301031141</v>
      </c>
      <c r="D282" s="80">
        <v>4607091384833</v>
      </c>
      <c r="E282" s="80"/>
      <c r="F282" s="63">
        <v>0.73</v>
      </c>
      <c r="G282" s="38">
        <v>6</v>
      </c>
      <c r="H282" s="63">
        <v>4.38</v>
      </c>
      <c r="I282" s="63">
        <v>4.58</v>
      </c>
      <c r="J282" s="38">
        <v>156</v>
      </c>
      <c r="K282" s="39" t="s">
        <v>78</v>
      </c>
      <c r="L282" s="38">
        <v>35</v>
      </c>
      <c r="M282" s="145" t="s">
        <v>564</v>
      </c>
      <c r="N282" s="82"/>
      <c r="O282" s="82"/>
      <c r="P282" s="82"/>
      <c r="Q282" s="83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</row>
    <row r="283" spans="1:25" ht="27" customHeight="1" x14ac:dyDescent="0.25">
      <c r="A283" s="64" t="s">
        <v>565</v>
      </c>
      <c r="B283" s="64" t="s">
        <v>566</v>
      </c>
      <c r="C283" s="37">
        <v>4301031137</v>
      </c>
      <c r="D283" s="80">
        <v>4607091384857</v>
      </c>
      <c r="E283" s="80"/>
      <c r="F283" s="63">
        <v>0.73</v>
      </c>
      <c r="G283" s="38">
        <v>6</v>
      </c>
      <c r="H283" s="63">
        <v>4.38</v>
      </c>
      <c r="I283" s="63">
        <v>4.58</v>
      </c>
      <c r="J283" s="38">
        <v>156</v>
      </c>
      <c r="K283" s="39" t="s">
        <v>78</v>
      </c>
      <c r="L283" s="38">
        <v>35</v>
      </c>
      <c r="M283" s="146" t="s">
        <v>567</v>
      </c>
      <c r="N283" s="82"/>
      <c r="O283" s="82"/>
      <c r="P283" s="82"/>
      <c r="Q283" s="83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</row>
    <row r="284" spans="1:25" x14ac:dyDescent="0.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89"/>
      <c r="M284" s="86" t="s">
        <v>43</v>
      </c>
      <c r="N284" s="87"/>
      <c r="O284" s="87"/>
      <c r="P284" s="87"/>
      <c r="Q284" s="87"/>
      <c r="R284" s="87"/>
      <c r="S284" s="88"/>
      <c r="T284" s="43" t="s">
        <v>42</v>
      </c>
      <c r="U284" s="44">
        <f>IFERROR(U282/H282,"0")+IFERROR(U283/H283,"0")</f>
        <v>0</v>
      </c>
      <c r="V284" s="44">
        <f>IFERROR(V282/H282,"0")+IFERROR(V283/H283,"0")</f>
        <v>0</v>
      </c>
      <c r="W284" s="44">
        <f>IFERROR(IF(W282="",0,W282),"0")+IFERROR(IF(W283="",0,W283),"0")</f>
        <v>0</v>
      </c>
      <c r="X284" s="68"/>
      <c r="Y284" s="68"/>
    </row>
    <row r="285" spans="1:25" x14ac:dyDescent="0.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89"/>
      <c r="M285" s="86" t="s">
        <v>43</v>
      </c>
      <c r="N285" s="87"/>
      <c r="O285" s="87"/>
      <c r="P285" s="87"/>
      <c r="Q285" s="87"/>
      <c r="R285" s="87"/>
      <c r="S285" s="88"/>
      <c r="T285" s="43" t="s">
        <v>0</v>
      </c>
      <c r="U285" s="44">
        <f>IFERROR(SUM(U282:U283),"0")</f>
        <v>0</v>
      </c>
      <c r="V285" s="44">
        <f>IFERROR(SUM(V282:V283),"0")</f>
        <v>0</v>
      </c>
      <c r="W285" s="43"/>
      <c r="X285" s="68"/>
      <c r="Y285" s="68"/>
    </row>
    <row r="286" spans="1:25" ht="14.25" customHeight="1" x14ac:dyDescent="0.25">
      <c r="A286" s="90" t="s">
        <v>79</v>
      </c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67"/>
      <c r="Y286" s="67"/>
    </row>
    <row r="287" spans="1:25" ht="27" customHeight="1" x14ac:dyDescent="0.25">
      <c r="A287" s="64" t="s">
        <v>568</v>
      </c>
      <c r="B287" s="64" t="s">
        <v>569</v>
      </c>
      <c r="C287" s="37">
        <v>4301051298</v>
      </c>
      <c r="D287" s="80">
        <v>4607091384260</v>
      </c>
      <c r="E287" s="80"/>
      <c r="F287" s="63">
        <v>1.3</v>
      </c>
      <c r="G287" s="38">
        <v>6</v>
      </c>
      <c r="H287" s="63">
        <v>7.8</v>
      </c>
      <c r="I287" s="63">
        <v>8.3640000000000008</v>
      </c>
      <c r="J287" s="38">
        <v>56</v>
      </c>
      <c r="K287" s="39" t="s">
        <v>78</v>
      </c>
      <c r="L287" s="38">
        <v>35</v>
      </c>
      <c r="M287" s="143" t="s">
        <v>570</v>
      </c>
      <c r="N287" s="82"/>
      <c r="O287" s="82"/>
      <c r="P287" s="82"/>
      <c r="Q287" s="83"/>
      <c r="R287" s="40" t="s">
        <v>48</v>
      </c>
      <c r="S287" s="40" t="s">
        <v>48</v>
      </c>
      <c r="T287" s="41" t="s">
        <v>0</v>
      </c>
      <c r="U287" s="59">
        <v>15</v>
      </c>
      <c r="V287" s="56">
        <f>IFERROR(IF(U287="",0,CEILING((U287/$H287),1)*$H287),"")</f>
        <v>15.6</v>
      </c>
      <c r="W287" s="42">
        <f>IFERROR(IF(V287=0,"",ROUNDUP(V287/H287,0)*0.02175),"")</f>
        <v>4.3499999999999997E-2</v>
      </c>
      <c r="X287" s="69" t="s">
        <v>48</v>
      </c>
      <c r="Y287" s="70" t="s">
        <v>48</v>
      </c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42</v>
      </c>
      <c r="U288" s="44">
        <f>IFERROR(U287/H287,"0")</f>
        <v>1.9230769230769231</v>
      </c>
      <c r="V288" s="44">
        <f>IFERROR(V287/H287,"0")</f>
        <v>2</v>
      </c>
      <c r="W288" s="44">
        <f>IFERROR(IF(W287="",0,W287),"0")</f>
        <v>4.3499999999999997E-2</v>
      </c>
      <c r="X288" s="68"/>
      <c r="Y288" s="68"/>
    </row>
    <row r="289" spans="1:25" x14ac:dyDescent="0.2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89"/>
      <c r="M289" s="86" t="s">
        <v>43</v>
      </c>
      <c r="N289" s="87"/>
      <c r="O289" s="87"/>
      <c r="P289" s="87"/>
      <c r="Q289" s="87"/>
      <c r="R289" s="87"/>
      <c r="S289" s="88"/>
      <c r="T289" s="43" t="s">
        <v>0</v>
      </c>
      <c r="U289" s="44">
        <f>IFERROR(SUM(U287:U287),"0")</f>
        <v>15</v>
      </c>
      <c r="V289" s="44">
        <f>IFERROR(SUM(V287:V287),"0")</f>
        <v>15.6</v>
      </c>
      <c r="W289" s="43"/>
      <c r="X289" s="68"/>
      <c r="Y289" s="68"/>
    </row>
    <row r="290" spans="1:25" ht="14.25" customHeight="1" x14ac:dyDescent="0.25">
      <c r="A290" s="90" t="s">
        <v>253</v>
      </c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67"/>
      <c r="Y290" s="67"/>
    </row>
    <row r="291" spans="1:25" ht="16.5" customHeight="1" x14ac:dyDescent="0.25">
      <c r="A291" s="64" t="s">
        <v>571</v>
      </c>
      <c r="B291" s="64" t="s">
        <v>572</v>
      </c>
      <c r="C291" s="37">
        <v>4301060314</v>
      </c>
      <c r="D291" s="80">
        <v>4607091384673</v>
      </c>
      <c r="E291" s="80"/>
      <c r="F291" s="63">
        <v>1.3</v>
      </c>
      <c r="G291" s="38">
        <v>6</v>
      </c>
      <c r="H291" s="63">
        <v>7.8</v>
      </c>
      <c r="I291" s="63">
        <v>8.3640000000000008</v>
      </c>
      <c r="J291" s="38">
        <v>56</v>
      </c>
      <c r="K291" s="39" t="s">
        <v>78</v>
      </c>
      <c r="L291" s="38">
        <v>30</v>
      </c>
      <c r="M291" s="144" t="s">
        <v>573</v>
      </c>
      <c r="N291" s="82"/>
      <c r="O291" s="82"/>
      <c r="P291" s="82"/>
      <c r="Q291" s="83"/>
      <c r="R291" s="40" t="s">
        <v>48</v>
      </c>
      <c r="S291" s="40" t="s">
        <v>48</v>
      </c>
      <c r="T291" s="41" t="s">
        <v>0</v>
      </c>
      <c r="U291" s="59">
        <v>7</v>
      </c>
      <c r="V291" s="56">
        <f>IFERROR(IF(U291="",0,CEILING((U291/$H291),1)*$H291),"")</f>
        <v>7.8</v>
      </c>
      <c r="W291" s="42">
        <f>IFERROR(IF(V291=0,"",ROUNDUP(V291/H291,0)*0.02175),"")</f>
        <v>2.1749999999999999E-2</v>
      </c>
      <c r="X291" s="69" t="s">
        <v>48</v>
      </c>
      <c r="Y291" s="70" t="s">
        <v>48</v>
      </c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42</v>
      </c>
      <c r="U292" s="44">
        <f>IFERROR(U291/H291,"0")</f>
        <v>0.89743589743589747</v>
      </c>
      <c r="V292" s="44">
        <f>IFERROR(V291/H291,"0")</f>
        <v>1</v>
      </c>
      <c r="W292" s="44">
        <f>IFERROR(IF(W291="",0,W291),"0")</f>
        <v>2.1749999999999999E-2</v>
      </c>
      <c r="X292" s="68"/>
      <c r="Y292" s="68"/>
    </row>
    <row r="293" spans="1:25" x14ac:dyDescent="0.2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89"/>
      <c r="M293" s="86" t="s">
        <v>43</v>
      </c>
      <c r="N293" s="87"/>
      <c r="O293" s="87"/>
      <c r="P293" s="87"/>
      <c r="Q293" s="87"/>
      <c r="R293" s="87"/>
      <c r="S293" s="88"/>
      <c r="T293" s="43" t="s">
        <v>0</v>
      </c>
      <c r="U293" s="44">
        <f>IFERROR(SUM(U291:U291),"0")</f>
        <v>7</v>
      </c>
      <c r="V293" s="44">
        <f>IFERROR(SUM(V291:V291),"0")</f>
        <v>7.8</v>
      </c>
      <c r="W293" s="43"/>
      <c r="X293" s="68"/>
      <c r="Y293" s="68"/>
    </row>
    <row r="294" spans="1:25" ht="16.5" customHeight="1" x14ac:dyDescent="0.25">
      <c r="A294" s="96" t="s">
        <v>574</v>
      </c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66"/>
      <c r="Y294" s="66"/>
    </row>
    <row r="295" spans="1:25" ht="14.25" customHeight="1" x14ac:dyDescent="0.25">
      <c r="A295" s="90" t="s">
        <v>127</v>
      </c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67"/>
      <c r="Y295" s="67"/>
    </row>
    <row r="296" spans="1:25" ht="27" customHeight="1" x14ac:dyDescent="0.25">
      <c r="A296" s="64" t="s">
        <v>576</v>
      </c>
      <c r="B296" s="64" t="s">
        <v>577</v>
      </c>
      <c r="C296" s="37">
        <v>4301011483</v>
      </c>
      <c r="D296" s="80">
        <v>4680115881907</v>
      </c>
      <c r="E296" s="80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139" t="s">
        <v>578</v>
      </c>
      <c r="N296" s="82"/>
      <c r="O296" s="82"/>
      <c r="P296" s="82"/>
      <c r="Q296" s="83"/>
      <c r="R296" s="40" t="s">
        <v>575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336</v>
      </c>
    </row>
    <row r="297" spans="1:25" ht="27" customHeight="1" x14ac:dyDescent="0.25">
      <c r="A297" s="64" t="s">
        <v>579</v>
      </c>
      <c r="B297" s="64" t="s">
        <v>580</v>
      </c>
      <c r="C297" s="37">
        <v>4301011324</v>
      </c>
      <c r="D297" s="80">
        <v>4607091384185</v>
      </c>
      <c r="E297" s="80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78</v>
      </c>
      <c r="L297" s="38">
        <v>60</v>
      </c>
      <c r="M297" s="140" t="s">
        <v>581</v>
      </c>
      <c r="N297" s="82"/>
      <c r="O297" s="82"/>
      <c r="P297" s="82"/>
      <c r="Q297" s="83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</row>
    <row r="298" spans="1:25" ht="27" customHeight="1" x14ac:dyDescent="0.25">
      <c r="A298" s="64" t="s">
        <v>582</v>
      </c>
      <c r="B298" s="64" t="s">
        <v>583</v>
      </c>
      <c r="C298" s="37">
        <v>4301011312</v>
      </c>
      <c r="D298" s="80">
        <v>4607091384192</v>
      </c>
      <c r="E298" s="80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122</v>
      </c>
      <c r="L298" s="38">
        <v>60</v>
      </c>
      <c r="M298" s="141" t="s">
        <v>584</v>
      </c>
      <c r="N298" s="82"/>
      <c r="O298" s="82"/>
      <c r="P298" s="82"/>
      <c r="Q298" s="83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</row>
    <row r="299" spans="1:25" ht="27" customHeight="1" x14ac:dyDescent="0.25">
      <c r="A299" s="64" t="s">
        <v>585</v>
      </c>
      <c r="B299" s="64" t="s">
        <v>586</v>
      </c>
      <c r="C299" s="37">
        <v>4301011303</v>
      </c>
      <c r="D299" s="80">
        <v>4607091384680</v>
      </c>
      <c r="E299" s="80"/>
      <c r="F299" s="63">
        <v>0.4</v>
      </c>
      <c r="G299" s="38">
        <v>10</v>
      </c>
      <c r="H299" s="63">
        <v>4</v>
      </c>
      <c r="I299" s="63">
        <v>4.21</v>
      </c>
      <c r="J299" s="38">
        <v>120</v>
      </c>
      <c r="K299" s="39" t="s">
        <v>78</v>
      </c>
      <c r="L299" s="38">
        <v>60</v>
      </c>
      <c r="M299" s="142" t="s">
        <v>587</v>
      </c>
      <c r="N299" s="82"/>
      <c r="O299" s="82"/>
      <c r="P299" s="82"/>
      <c r="Q299" s="83"/>
      <c r="R299" s="40" t="s">
        <v>48</v>
      </c>
      <c r="S299" s="40" t="s">
        <v>48</v>
      </c>
      <c r="T299" s="41" t="s">
        <v>0</v>
      </c>
      <c r="U299" s="59">
        <v>40</v>
      </c>
      <c r="V299" s="56">
        <f>IFERROR(IF(U299="",0,CEILING((U299/$H299),1)*$H299),"")</f>
        <v>40</v>
      </c>
      <c r="W299" s="42">
        <f>IFERROR(IF(V299=0,"",ROUNDUP(V299/H299,0)*0.00937),"")</f>
        <v>9.3700000000000006E-2</v>
      </c>
      <c r="X299" s="69" t="s">
        <v>48</v>
      </c>
      <c r="Y299" s="70" t="s">
        <v>48</v>
      </c>
    </row>
    <row r="300" spans="1:25" x14ac:dyDescent="0.2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89"/>
      <c r="M300" s="86" t="s">
        <v>43</v>
      </c>
      <c r="N300" s="87"/>
      <c r="O300" s="87"/>
      <c r="P300" s="87"/>
      <c r="Q300" s="87"/>
      <c r="R300" s="87"/>
      <c r="S300" s="88"/>
      <c r="T300" s="43" t="s">
        <v>42</v>
      </c>
      <c r="U300" s="44">
        <f>IFERROR(U296/H296,"0")+IFERROR(U297/H297,"0")+IFERROR(U298/H298,"0")+IFERROR(U299/H299,"0")</f>
        <v>10</v>
      </c>
      <c r="V300" s="44">
        <f>IFERROR(V296/H296,"0")+IFERROR(V297/H297,"0")+IFERROR(V298/H298,"0")+IFERROR(V299/H299,"0")</f>
        <v>10</v>
      </c>
      <c r="W300" s="44">
        <f>IFERROR(IF(W296="",0,W296),"0")+IFERROR(IF(W297="",0,W297),"0")+IFERROR(IF(W298="",0,W298),"0")+IFERROR(IF(W299="",0,W299),"0")</f>
        <v>9.3700000000000006E-2</v>
      </c>
      <c r="X300" s="68"/>
      <c r="Y300" s="68"/>
    </row>
    <row r="301" spans="1:25" x14ac:dyDescent="0.2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89"/>
      <c r="M301" s="86" t="s">
        <v>43</v>
      </c>
      <c r="N301" s="87"/>
      <c r="O301" s="87"/>
      <c r="P301" s="87"/>
      <c r="Q301" s="87"/>
      <c r="R301" s="87"/>
      <c r="S301" s="88"/>
      <c r="T301" s="43" t="s">
        <v>0</v>
      </c>
      <c r="U301" s="44">
        <f>IFERROR(SUM(U296:U299),"0")</f>
        <v>40</v>
      </c>
      <c r="V301" s="44">
        <f>IFERROR(SUM(V296:V299),"0")</f>
        <v>40</v>
      </c>
      <c r="W301" s="43"/>
      <c r="X301" s="68"/>
      <c r="Y301" s="68"/>
    </row>
    <row r="302" spans="1:25" ht="14.25" customHeight="1" x14ac:dyDescent="0.25">
      <c r="A302" s="90" t="s">
        <v>74</v>
      </c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67"/>
      <c r="Y302" s="67"/>
    </row>
    <row r="303" spans="1:25" ht="27" customHeight="1" x14ac:dyDescent="0.25">
      <c r="A303" s="64" t="s">
        <v>588</v>
      </c>
      <c r="B303" s="64" t="s">
        <v>589</v>
      </c>
      <c r="C303" s="37">
        <v>4301031139</v>
      </c>
      <c r="D303" s="80">
        <v>4607091384802</v>
      </c>
      <c r="E303" s="80"/>
      <c r="F303" s="63">
        <v>0.73</v>
      </c>
      <c r="G303" s="38">
        <v>6</v>
      </c>
      <c r="H303" s="63">
        <v>4.38</v>
      </c>
      <c r="I303" s="63">
        <v>4.58</v>
      </c>
      <c r="J303" s="38">
        <v>156</v>
      </c>
      <c r="K303" s="39" t="s">
        <v>78</v>
      </c>
      <c r="L303" s="38">
        <v>35</v>
      </c>
      <c r="M303" s="137" t="s">
        <v>590</v>
      </c>
      <c r="N303" s="82"/>
      <c r="O303" s="82"/>
      <c r="P303" s="82"/>
      <c r="Q303" s="83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IFERROR(IF(V303=0,"",ROUNDUP(V303/H303,0)*0.00753),"")</f>
        <v/>
      </c>
      <c r="X303" s="69" t="s">
        <v>48</v>
      </c>
      <c r="Y303" s="70" t="s">
        <v>48</v>
      </c>
    </row>
    <row r="304" spans="1:25" ht="27" customHeight="1" x14ac:dyDescent="0.25">
      <c r="A304" s="64" t="s">
        <v>591</v>
      </c>
      <c r="B304" s="64" t="s">
        <v>592</v>
      </c>
      <c r="C304" s="37">
        <v>4301031140</v>
      </c>
      <c r="D304" s="80">
        <v>4607091384826</v>
      </c>
      <c r="E304" s="80"/>
      <c r="F304" s="63">
        <v>0.35</v>
      </c>
      <c r="G304" s="38">
        <v>8</v>
      </c>
      <c r="H304" s="63">
        <v>2.8</v>
      </c>
      <c r="I304" s="63">
        <v>2.9</v>
      </c>
      <c r="J304" s="38">
        <v>234</v>
      </c>
      <c r="K304" s="39" t="s">
        <v>78</v>
      </c>
      <c r="L304" s="38">
        <v>35</v>
      </c>
      <c r="M304" s="138" t="s">
        <v>593</v>
      </c>
      <c r="N304" s="82"/>
      <c r="O304" s="82"/>
      <c r="P304" s="82"/>
      <c r="Q304" s="83"/>
      <c r="R304" s="40" t="s">
        <v>48</v>
      </c>
      <c r="S304" s="40" t="s">
        <v>48</v>
      </c>
      <c r="T304" s="41" t="s">
        <v>0</v>
      </c>
      <c r="U304" s="59">
        <v>16.8</v>
      </c>
      <c r="V304" s="56">
        <f>IFERROR(IF(U304="",0,CEILING((U304/$H304),1)*$H304),"")</f>
        <v>16.799999999999997</v>
      </c>
      <c r="W304" s="42">
        <f>IFERROR(IF(V304=0,"",ROUNDUP(V304/H304,0)*0.00502),"")</f>
        <v>3.0120000000000001E-2</v>
      </c>
      <c r="X304" s="69" t="s">
        <v>48</v>
      </c>
      <c r="Y304" s="70" t="s">
        <v>48</v>
      </c>
    </row>
    <row r="305" spans="1:25" x14ac:dyDescent="0.2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89"/>
      <c r="M305" s="86" t="s">
        <v>43</v>
      </c>
      <c r="N305" s="87"/>
      <c r="O305" s="87"/>
      <c r="P305" s="87"/>
      <c r="Q305" s="87"/>
      <c r="R305" s="87"/>
      <c r="S305" s="88"/>
      <c r="T305" s="43" t="s">
        <v>42</v>
      </c>
      <c r="U305" s="44">
        <f>IFERROR(U303/H303,"0")+IFERROR(U304/H304,"0")</f>
        <v>6.0000000000000009</v>
      </c>
      <c r="V305" s="44">
        <f>IFERROR(V303/H303,"0")+IFERROR(V304/H304,"0")</f>
        <v>5.9999999999999991</v>
      </c>
      <c r="W305" s="44">
        <f>IFERROR(IF(W303="",0,W303),"0")+IFERROR(IF(W304="",0,W304),"0")</f>
        <v>3.0120000000000001E-2</v>
      </c>
      <c r="X305" s="68"/>
      <c r="Y305" s="68"/>
    </row>
    <row r="306" spans="1:25" x14ac:dyDescent="0.2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89"/>
      <c r="M306" s="86" t="s">
        <v>43</v>
      </c>
      <c r="N306" s="87"/>
      <c r="O306" s="87"/>
      <c r="P306" s="87"/>
      <c r="Q306" s="87"/>
      <c r="R306" s="87"/>
      <c r="S306" s="88"/>
      <c r="T306" s="43" t="s">
        <v>0</v>
      </c>
      <c r="U306" s="44">
        <f>IFERROR(SUM(U303:U304),"0")</f>
        <v>16.8</v>
      </c>
      <c r="V306" s="44">
        <f>IFERROR(SUM(V303:V304),"0")</f>
        <v>16.799999999999997</v>
      </c>
      <c r="W306" s="43"/>
      <c r="X306" s="68"/>
      <c r="Y306" s="68"/>
    </row>
    <row r="307" spans="1:25" ht="14.25" customHeight="1" x14ac:dyDescent="0.25">
      <c r="A307" s="90" t="s">
        <v>79</v>
      </c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67"/>
      <c r="Y307" s="67"/>
    </row>
    <row r="308" spans="1:25" ht="27" customHeight="1" x14ac:dyDescent="0.25">
      <c r="A308" s="64" t="s">
        <v>594</v>
      </c>
      <c r="B308" s="64" t="s">
        <v>595</v>
      </c>
      <c r="C308" s="37">
        <v>4301051303</v>
      </c>
      <c r="D308" s="80">
        <v>4607091384246</v>
      </c>
      <c r="E308" s="80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40</v>
      </c>
      <c r="M308" s="135" t="s">
        <v>596</v>
      </c>
      <c r="N308" s="82"/>
      <c r="O308" s="82"/>
      <c r="P308" s="82"/>
      <c r="Q308" s="83"/>
      <c r="R308" s="40" t="s">
        <v>48</v>
      </c>
      <c r="S308" s="40" t="s">
        <v>48</v>
      </c>
      <c r="T308" s="41" t="s">
        <v>0</v>
      </c>
      <c r="U308" s="59">
        <v>30</v>
      </c>
      <c r="V308" s="56">
        <f>IFERROR(IF(U308="",0,CEILING((U308/$H308),1)*$H308),"")</f>
        <v>31.2</v>
      </c>
      <c r="W308" s="42">
        <f>IFERROR(IF(V308=0,"",ROUNDUP(V308/H308,0)*0.02175),"")</f>
        <v>8.6999999999999994E-2</v>
      </c>
      <c r="X308" s="69" t="s">
        <v>48</v>
      </c>
      <c r="Y308" s="70" t="s">
        <v>48</v>
      </c>
    </row>
    <row r="309" spans="1:25" ht="27" customHeight="1" x14ac:dyDescent="0.25">
      <c r="A309" s="64" t="s">
        <v>597</v>
      </c>
      <c r="B309" s="64" t="s">
        <v>598</v>
      </c>
      <c r="C309" s="37">
        <v>4301051297</v>
      </c>
      <c r="D309" s="80">
        <v>4607091384253</v>
      </c>
      <c r="E309" s="80"/>
      <c r="F309" s="63">
        <v>0.4</v>
      </c>
      <c r="G309" s="38">
        <v>6</v>
      </c>
      <c r="H309" s="63">
        <v>2.4</v>
      </c>
      <c r="I309" s="63">
        <v>2.6840000000000002</v>
      </c>
      <c r="J309" s="38">
        <v>156</v>
      </c>
      <c r="K309" s="39" t="s">
        <v>78</v>
      </c>
      <c r="L309" s="38">
        <v>40</v>
      </c>
      <c r="M309" s="136" t="s">
        <v>599</v>
      </c>
      <c r="N309" s="82"/>
      <c r="O309" s="82"/>
      <c r="P309" s="82"/>
      <c r="Q309" s="83"/>
      <c r="R309" s="40" t="s">
        <v>48</v>
      </c>
      <c r="S309" s="40" t="s">
        <v>48</v>
      </c>
      <c r="T309" s="41" t="s">
        <v>0</v>
      </c>
      <c r="U309" s="59">
        <v>30</v>
      </c>
      <c r="V309" s="56">
        <f>IFERROR(IF(U309="",0,CEILING((U309/$H309),1)*$H309),"")</f>
        <v>31.2</v>
      </c>
      <c r="W309" s="42">
        <f>IFERROR(IF(V309=0,"",ROUNDUP(V309/H309,0)*0.00753),"")</f>
        <v>9.7890000000000005E-2</v>
      </c>
      <c r="X309" s="69" t="s">
        <v>48</v>
      </c>
      <c r="Y309" s="70" t="s">
        <v>48</v>
      </c>
    </row>
    <row r="310" spans="1:25" x14ac:dyDescent="0.2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89"/>
      <c r="M310" s="86" t="s">
        <v>43</v>
      </c>
      <c r="N310" s="87"/>
      <c r="O310" s="87"/>
      <c r="P310" s="87"/>
      <c r="Q310" s="87"/>
      <c r="R310" s="87"/>
      <c r="S310" s="88"/>
      <c r="T310" s="43" t="s">
        <v>42</v>
      </c>
      <c r="U310" s="44">
        <f>IFERROR(U308/H308,"0")+IFERROR(U309/H309,"0")</f>
        <v>16.346153846153847</v>
      </c>
      <c r="V310" s="44">
        <f>IFERROR(V308/H308,"0")+IFERROR(V309/H309,"0")</f>
        <v>17</v>
      </c>
      <c r="W310" s="44">
        <f>IFERROR(IF(W308="",0,W308),"0")+IFERROR(IF(W309="",0,W309),"0")</f>
        <v>0.18489</v>
      </c>
      <c r="X310" s="68"/>
      <c r="Y310" s="68"/>
    </row>
    <row r="311" spans="1:25" x14ac:dyDescent="0.2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89"/>
      <c r="M311" s="86" t="s">
        <v>43</v>
      </c>
      <c r="N311" s="87"/>
      <c r="O311" s="87"/>
      <c r="P311" s="87"/>
      <c r="Q311" s="87"/>
      <c r="R311" s="87"/>
      <c r="S311" s="88"/>
      <c r="T311" s="43" t="s">
        <v>0</v>
      </c>
      <c r="U311" s="44">
        <f>IFERROR(SUM(U308:U309),"0")</f>
        <v>60</v>
      </c>
      <c r="V311" s="44">
        <f>IFERROR(SUM(V308:V309),"0")</f>
        <v>62.4</v>
      </c>
      <c r="W311" s="43"/>
      <c r="X311" s="68"/>
      <c r="Y311" s="68"/>
    </row>
    <row r="312" spans="1:25" ht="14.25" customHeight="1" x14ac:dyDescent="0.25">
      <c r="A312" s="90" t="s">
        <v>253</v>
      </c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67"/>
      <c r="Y312" s="67"/>
    </row>
    <row r="313" spans="1:25" ht="27" customHeight="1" x14ac:dyDescent="0.25">
      <c r="A313" s="64" t="s">
        <v>600</v>
      </c>
      <c r="B313" s="64" t="s">
        <v>601</v>
      </c>
      <c r="C313" s="37">
        <v>4301060323</v>
      </c>
      <c r="D313" s="80">
        <v>4607091389357</v>
      </c>
      <c r="E313" s="80"/>
      <c r="F313" s="63">
        <v>1.3</v>
      </c>
      <c r="G313" s="38">
        <v>6</v>
      </c>
      <c r="H313" s="63">
        <v>7.8</v>
      </c>
      <c r="I313" s="63">
        <v>8.2799999999999994</v>
      </c>
      <c r="J313" s="38">
        <v>56</v>
      </c>
      <c r="K313" s="39" t="s">
        <v>78</v>
      </c>
      <c r="L313" s="38">
        <v>30</v>
      </c>
      <c r="M313" s="133" t="s">
        <v>602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89"/>
      <c r="M314" s="86" t="s">
        <v>43</v>
      </c>
      <c r="N314" s="87"/>
      <c r="O314" s="87"/>
      <c r="P314" s="87"/>
      <c r="Q314" s="87"/>
      <c r="R314" s="87"/>
      <c r="S314" s="88"/>
      <c r="T314" s="43" t="s">
        <v>42</v>
      </c>
      <c r="U314" s="44">
        <f>IFERROR(U313/H313,"0")</f>
        <v>0</v>
      </c>
      <c r="V314" s="44">
        <f>IFERROR(V313/H313,"0")</f>
        <v>0</v>
      </c>
      <c r="W314" s="44">
        <f>IFERROR(IF(W313="",0,W313),"0")</f>
        <v>0</v>
      </c>
      <c r="X314" s="68"/>
      <c r="Y314" s="68"/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0</v>
      </c>
      <c r="U315" s="44">
        <f>IFERROR(SUM(U313:U313),"0")</f>
        <v>0</v>
      </c>
      <c r="V315" s="44">
        <f>IFERROR(SUM(V313:V313),"0")</f>
        <v>0</v>
      </c>
      <c r="W315" s="43"/>
      <c r="X315" s="68"/>
      <c r="Y315" s="68"/>
    </row>
    <row r="316" spans="1:25" ht="27.75" customHeight="1" x14ac:dyDescent="0.2">
      <c r="A316" s="95" t="s">
        <v>603</v>
      </c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55"/>
      <c r="Y316" s="55"/>
    </row>
    <row r="317" spans="1:25" ht="16.5" customHeight="1" x14ac:dyDescent="0.25">
      <c r="A317" s="96" t="s">
        <v>604</v>
      </c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66"/>
      <c r="Y317" s="66"/>
    </row>
    <row r="318" spans="1:25" ht="14.25" customHeight="1" x14ac:dyDescent="0.25">
      <c r="A318" s="90" t="s">
        <v>127</v>
      </c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67"/>
      <c r="Y318" s="67"/>
    </row>
    <row r="319" spans="1:25" ht="27" customHeight="1" x14ac:dyDescent="0.25">
      <c r="A319" s="64" t="s">
        <v>605</v>
      </c>
      <c r="B319" s="64" t="s">
        <v>606</v>
      </c>
      <c r="C319" s="37">
        <v>4301011428</v>
      </c>
      <c r="D319" s="80">
        <v>4607091389708</v>
      </c>
      <c r="E319" s="80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122</v>
      </c>
      <c r="L319" s="38">
        <v>50</v>
      </c>
      <c r="M319" s="134" t="s">
        <v>607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</row>
    <row r="320" spans="1:25" ht="27" customHeight="1" x14ac:dyDescent="0.25">
      <c r="A320" s="64" t="s">
        <v>608</v>
      </c>
      <c r="B320" s="64" t="s">
        <v>609</v>
      </c>
      <c r="C320" s="37">
        <v>4301011427</v>
      </c>
      <c r="D320" s="80">
        <v>4607091389692</v>
      </c>
      <c r="E320" s="80"/>
      <c r="F320" s="63">
        <v>0.45</v>
      </c>
      <c r="G320" s="38">
        <v>6</v>
      </c>
      <c r="H320" s="63">
        <v>2.7</v>
      </c>
      <c r="I320" s="63">
        <v>2.9</v>
      </c>
      <c r="J320" s="38">
        <v>156</v>
      </c>
      <c r="K320" s="39" t="s">
        <v>122</v>
      </c>
      <c r="L320" s="38">
        <v>50</v>
      </c>
      <c r="M320" s="130" t="s">
        <v>610</v>
      </c>
      <c r="N320" s="82"/>
      <c r="O320" s="82"/>
      <c r="P320" s="82"/>
      <c r="Q320" s="83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25" x14ac:dyDescent="0.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89"/>
      <c r="M322" s="86" t="s">
        <v>43</v>
      </c>
      <c r="N322" s="87"/>
      <c r="O322" s="87"/>
      <c r="P322" s="87"/>
      <c r="Q322" s="87"/>
      <c r="R322" s="87"/>
      <c r="S322" s="88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25" ht="14.25" customHeight="1" x14ac:dyDescent="0.25">
      <c r="A323" s="90" t="s">
        <v>74</v>
      </c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67"/>
      <c r="Y323" s="67"/>
    </row>
    <row r="324" spans="1:25" ht="27" customHeight="1" x14ac:dyDescent="0.25">
      <c r="A324" s="64" t="s">
        <v>611</v>
      </c>
      <c r="B324" s="64" t="s">
        <v>612</v>
      </c>
      <c r="C324" s="37">
        <v>4301031177</v>
      </c>
      <c r="D324" s="80">
        <v>4607091389753</v>
      </c>
      <c r="E324" s="80"/>
      <c r="F324" s="63">
        <v>0.7</v>
      </c>
      <c r="G324" s="38">
        <v>6</v>
      </c>
      <c r="H324" s="63">
        <v>4.2</v>
      </c>
      <c r="I324" s="63">
        <v>4.43</v>
      </c>
      <c r="J324" s="38">
        <v>156</v>
      </c>
      <c r="K324" s="39" t="s">
        <v>78</v>
      </c>
      <c r="L324" s="38">
        <v>45</v>
      </c>
      <c r="M324" s="131" t="s">
        <v>613</v>
      </c>
      <c r="N324" s="82"/>
      <c r="O324" s="82"/>
      <c r="P324" s="82"/>
      <c r="Q324" s="83"/>
      <c r="R324" s="40" t="s">
        <v>48</v>
      </c>
      <c r="S324" s="40" t="s">
        <v>48</v>
      </c>
      <c r="T324" s="41" t="s">
        <v>0</v>
      </c>
      <c r="U324" s="59">
        <v>0</v>
      </c>
      <c r="V324" s="56">
        <f t="shared" ref="V324:V330" si="14"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</row>
    <row r="325" spans="1:25" ht="27" customHeight="1" x14ac:dyDescent="0.25">
      <c r="A325" s="64" t="s">
        <v>614</v>
      </c>
      <c r="B325" s="64" t="s">
        <v>615</v>
      </c>
      <c r="C325" s="37">
        <v>4301031174</v>
      </c>
      <c r="D325" s="80">
        <v>4607091389760</v>
      </c>
      <c r="E325" s="80"/>
      <c r="F325" s="63">
        <v>0.7</v>
      </c>
      <c r="G325" s="38">
        <v>6</v>
      </c>
      <c r="H325" s="63">
        <v>4.2</v>
      </c>
      <c r="I325" s="63">
        <v>4.43</v>
      </c>
      <c r="J325" s="38">
        <v>156</v>
      </c>
      <c r="K325" s="39" t="s">
        <v>78</v>
      </c>
      <c r="L325" s="38">
        <v>45</v>
      </c>
      <c r="M325" s="132" t="s">
        <v>616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4"/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617</v>
      </c>
      <c r="B326" s="64" t="s">
        <v>618</v>
      </c>
      <c r="C326" s="37">
        <v>4301031175</v>
      </c>
      <c r="D326" s="80">
        <v>4607091389746</v>
      </c>
      <c r="E326" s="80"/>
      <c r="F326" s="63">
        <v>0.7</v>
      </c>
      <c r="G326" s="38">
        <v>6</v>
      </c>
      <c r="H326" s="63">
        <v>4.2</v>
      </c>
      <c r="I326" s="63">
        <v>4.43</v>
      </c>
      <c r="J326" s="38">
        <v>156</v>
      </c>
      <c r="K326" s="39" t="s">
        <v>78</v>
      </c>
      <c r="L326" s="38">
        <v>45</v>
      </c>
      <c r="M326" s="125" t="s">
        <v>619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0</v>
      </c>
      <c r="V326" s="56">
        <f t="shared" si="14"/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ht="27" customHeight="1" x14ac:dyDescent="0.25">
      <c r="A327" s="64" t="s">
        <v>620</v>
      </c>
      <c r="B327" s="64" t="s">
        <v>621</v>
      </c>
      <c r="C327" s="37">
        <v>4301031178</v>
      </c>
      <c r="D327" s="80">
        <v>4607091384338</v>
      </c>
      <c r="E327" s="80"/>
      <c r="F327" s="63">
        <v>0.35</v>
      </c>
      <c r="G327" s="38">
        <v>6</v>
      </c>
      <c r="H327" s="63">
        <v>2.1</v>
      </c>
      <c r="I327" s="63">
        <v>2.23</v>
      </c>
      <c r="J327" s="38">
        <v>234</v>
      </c>
      <c r="K327" s="39" t="s">
        <v>78</v>
      </c>
      <c r="L327" s="38">
        <v>45</v>
      </c>
      <c r="M327" s="126" t="s">
        <v>622</v>
      </c>
      <c r="N327" s="82"/>
      <c r="O327" s="82"/>
      <c r="P327" s="82"/>
      <c r="Q327" s="83"/>
      <c r="R327" s="40" t="s">
        <v>48</v>
      </c>
      <c r="S327" s="40" t="s">
        <v>48</v>
      </c>
      <c r="T327" s="41" t="s">
        <v>0</v>
      </c>
      <c r="U327" s="59">
        <v>52.5</v>
      </c>
      <c r="V327" s="56">
        <f t="shared" si="14"/>
        <v>52.5</v>
      </c>
      <c r="W327" s="42">
        <f>IFERROR(IF(V327=0,"",ROUNDUP(V327/H327,0)*0.00502),"")</f>
        <v>0.1255</v>
      </c>
      <c r="X327" s="69" t="s">
        <v>48</v>
      </c>
      <c r="Y327" s="70" t="s">
        <v>48</v>
      </c>
    </row>
    <row r="328" spans="1:25" ht="37.5" customHeight="1" x14ac:dyDescent="0.25">
      <c r="A328" s="64" t="s">
        <v>623</v>
      </c>
      <c r="B328" s="64" t="s">
        <v>624</v>
      </c>
      <c r="C328" s="37">
        <v>4301031171</v>
      </c>
      <c r="D328" s="80">
        <v>4607091389524</v>
      </c>
      <c r="E328" s="80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9" t="s">
        <v>78</v>
      </c>
      <c r="L328" s="38">
        <v>45</v>
      </c>
      <c r="M328" s="127" t="s">
        <v>625</v>
      </c>
      <c r="N328" s="82"/>
      <c r="O328" s="82"/>
      <c r="P328" s="82"/>
      <c r="Q328" s="83"/>
      <c r="R328" s="40" t="s">
        <v>48</v>
      </c>
      <c r="S328" s="40" t="s">
        <v>48</v>
      </c>
      <c r="T328" s="41" t="s">
        <v>0</v>
      </c>
      <c r="U328" s="59">
        <v>52.5</v>
      </c>
      <c r="V328" s="56">
        <f t="shared" si="14"/>
        <v>52.5</v>
      </c>
      <c r="W328" s="42">
        <f>IFERROR(IF(V328=0,"",ROUNDUP(V328/H328,0)*0.00502),"")</f>
        <v>0.1255</v>
      </c>
      <c r="X328" s="69" t="s">
        <v>48</v>
      </c>
      <c r="Y328" s="70" t="s">
        <v>48</v>
      </c>
    </row>
    <row r="329" spans="1:25" ht="27" customHeight="1" x14ac:dyDescent="0.25">
      <c r="A329" s="64" t="s">
        <v>626</v>
      </c>
      <c r="B329" s="64" t="s">
        <v>627</v>
      </c>
      <c r="C329" s="37">
        <v>4301031170</v>
      </c>
      <c r="D329" s="80">
        <v>4607091384345</v>
      </c>
      <c r="E329" s="80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78</v>
      </c>
      <c r="L329" s="38">
        <v>45</v>
      </c>
      <c r="M329" s="128" t="s">
        <v>628</v>
      </c>
      <c r="N329" s="82"/>
      <c r="O329" s="82"/>
      <c r="P329" s="82"/>
      <c r="Q329" s="83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48</v>
      </c>
    </row>
    <row r="330" spans="1:25" ht="27" customHeight="1" x14ac:dyDescent="0.25">
      <c r="A330" s="64" t="s">
        <v>629</v>
      </c>
      <c r="B330" s="64" t="s">
        <v>630</v>
      </c>
      <c r="C330" s="37">
        <v>4301031172</v>
      </c>
      <c r="D330" s="80">
        <v>4607091389531</v>
      </c>
      <c r="E330" s="80"/>
      <c r="F330" s="63">
        <v>0.35</v>
      </c>
      <c r="G330" s="38">
        <v>6</v>
      </c>
      <c r="H330" s="63">
        <v>2.1</v>
      </c>
      <c r="I330" s="63">
        <v>2.23</v>
      </c>
      <c r="J330" s="38">
        <v>234</v>
      </c>
      <c r="K330" s="39" t="s">
        <v>78</v>
      </c>
      <c r="L330" s="38">
        <v>45</v>
      </c>
      <c r="M330" s="129" t="s">
        <v>631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52.5</v>
      </c>
      <c r="V330" s="56">
        <f t="shared" si="14"/>
        <v>52.5</v>
      </c>
      <c r="W330" s="42">
        <f>IFERROR(IF(V330=0,"",ROUNDUP(V330/H330,0)*0.00502),"")</f>
        <v>0.1255</v>
      </c>
      <c r="X330" s="69" t="s">
        <v>48</v>
      </c>
      <c r="Y330" s="70" t="s">
        <v>48</v>
      </c>
    </row>
    <row r="331" spans="1:25" x14ac:dyDescent="0.2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89"/>
      <c r="M331" s="86" t="s">
        <v>43</v>
      </c>
      <c r="N331" s="87"/>
      <c r="O331" s="87"/>
      <c r="P331" s="87"/>
      <c r="Q331" s="87"/>
      <c r="R331" s="87"/>
      <c r="S331" s="88"/>
      <c r="T331" s="43" t="s">
        <v>42</v>
      </c>
      <c r="U331" s="44">
        <f>IFERROR(U324/H324,"0")+IFERROR(U325/H325,"0")+IFERROR(U326/H326,"0")+IFERROR(U327/H327,"0")+IFERROR(U328/H328,"0")+IFERROR(U329/H329,"0")+IFERROR(U330/H330,"0")</f>
        <v>75</v>
      </c>
      <c r="V331" s="44">
        <f>IFERROR(V324/H324,"0")+IFERROR(V325/H325,"0")+IFERROR(V326/H326,"0")+IFERROR(V327/H327,"0")+IFERROR(V328/H328,"0")+IFERROR(V329/H329,"0")+IFERROR(V330/H330,"0")</f>
        <v>75</v>
      </c>
      <c r="W331" s="44">
        <f>IFERROR(IF(W324="",0,W324),"0")+IFERROR(IF(W325="",0,W325),"0")+IFERROR(IF(W326="",0,W326),"0")+IFERROR(IF(W327="",0,W327),"0")+IFERROR(IF(W328="",0,W328),"0")+IFERROR(IF(W329="",0,W329),"0")+IFERROR(IF(W330="",0,W330),"0")</f>
        <v>0.3765</v>
      </c>
      <c r="X331" s="68"/>
      <c r="Y331" s="68"/>
    </row>
    <row r="332" spans="1:25" x14ac:dyDescent="0.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89"/>
      <c r="M332" s="86" t="s">
        <v>43</v>
      </c>
      <c r="N332" s="87"/>
      <c r="O332" s="87"/>
      <c r="P332" s="87"/>
      <c r="Q332" s="87"/>
      <c r="R332" s="87"/>
      <c r="S332" s="88"/>
      <c r="T332" s="43" t="s">
        <v>0</v>
      </c>
      <c r="U332" s="44">
        <f>IFERROR(SUM(U324:U330),"0")</f>
        <v>157.5</v>
      </c>
      <c r="V332" s="44">
        <f>IFERROR(SUM(V324:V330),"0")</f>
        <v>157.5</v>
      </c>
      <c r="W332" s="43"/>
      <c r="X332" s="68"/>
      <c r="Y332" s="68"/>
    </row>
    <row r="333" spans="1:25" ht="14.25" customHeight="1" x14ac:dyDescent="0.25">
      <c r="A333" s="90" t="s">
        <v>79</v>
      </c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67"/>
      <c r="Y333" s="67"/>
    </row>
    <row r="334" spans="1:25" ht="27" customHeight="1" x14ac:dyDescent="0.25">
      <c r="A334" s="64" t="s">
        <v>632</v>
      </c>
      <c r="B334" s="64" t="s">
        <v>633</v>
      </c>
      <c r="C334" s="37">
        <v>4301051258</v>
      </c>
      <c r="D334" s="80">
        <v>4607091389685</v>
      </c>
      <c r="E334" s="80"/>
      <c r="F334" s="63">
        <v>1.3</v>
      </c>
      <c r="G334" s="38">
        <v>6</v>
      </c>
      <c r="H334" s="63">
        <v>7.8</v>
      </c>
      <c r="I334" s="63">
        <v>8.3460000000000001</v>
      </c>
      <c r="J334" s="38">
        <v>56</v>
      </c>
      <c r="K334" s="39" t="s">
        <v>159</v>
      </c>
      <c r="L334" s="38">
        <v>45</v>
      </c>
      <c r="M334" s="122" t="s">
        <v>634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635</v>
      </c>
      <c r="B335" s="64" t="s">
        <v>636</v>
      </c>
      <c r="C335" s="37">
        <v>4301051431</v>
      </c>
      <c r="D335" s="80">
        <v>4607091389654</v>
      </c>
      <c r="E335" s="80"/>
      <c r="F335" s="63">
        <v>0.33</v>
      </c>
      <c r="G335" s="38">
        <v>6</v>
      </c>
      <c r="H335" s="63">
        <v>1.98</v>
      </c>
      <c r="I335" s="63">
        <v>2.258</v>
      </c>
      <c r="J335" s="38">
        <v>156</v>
      </c>
      <c r="K335" s="39" t="s">
        <v>159</v>
      </c>
      <c r="L335" s="38">
        <v>45</v>
      </c>
      <c r="M335" s="123" t="s">
        <v>637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638</v>
      </c>
      <c r="B336" s="64" t="s">
        <v>639</v>
      </c>
      <c r="C336" s="37">
        <v>4301051284</v>
      </c>
      <c r="D336" s="80">
        <v>4607091384352</v>
      </c>
      <c r="E336" s="80"/>
      <c r="F336" s="63">
        <v>0.6</v>
      </c>
      <c r="G336" s="38">
        <v>4</v>
      </c>
      <c r="H336" s="63">
        <v>2.4</v>
      </c>
      <c r="I336" s="63">
        <v>2.6459999999999999</v>
      </c>
      <c r="J336" s="38">
        <v>120</v>
      </c>
      <c r="K336" s="39" t="s">
        <v>159</v>
      </c>
      <c r="L336" s="38">
        <v>45</v>
      </c>
      <c r="M336" s="124" t="s">
        <v>640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IFERROR(IF(V336=0,"",ROUNDUP(V336/H336,0)*0.00937),"")</f>
        <v/>
      </c>
      <c r="X336" s="69" t="s">
        <v>48</v>
      </c>
      <c r="Y336" s="70" t="s">
        <v>48</v>
      </c>
    </row>
    <row r="337" spans="1:25" ht="27" customHeight="1" x14ac:dyDescent="0.25">
      <c r="A337" s="64" t="s">
        <v>641</v>
      </c>
      <c r="B337" s="64" t="s">
        <v>642</v>
      </c>
      <c r="C337" s="37">
        <v>4301051257</v>
      </c>
      <c r="D337" s="80">
        <v>4607091389661</v>
      </c>
      <c r="E337" s="80"/>
      <c r="F337" s="63">
        <v>0.55000000000000004</v>
      </c>
      <c r="G337" s="38">
        <v>4</v>
      </c>
      <c r="H337" s="63">
        <v>2.2000000000000002</v>
      </c>
      <c r="I337" s="63">
        <v>2.492</v>
      </c>
      <c r="J337" s="38">
        <v>120</v>
      </c>
      <c r="K337" s="39" t="s">
        <v>159</v>
      </c>
      <c r="L337" s="38">
        <v>45</v>
      </c>
      <c r="M337" s="120" t="s">
        <v>643</v>
      </c>
      <c r="N337" s="82"/>
      <c r="O337" s="82"/>
      <c r="P337" s="82"/>
      <c r="Q337" s="83"/>
      <c r="R337" s="40" t="s">
        <v>48</v>
      </c>
      <c r="S337" s="40" t="s">
        <v>48</v>
      </c>
      <c r="T337" s="41" t="s">
        <v>0</v>
      </c>
      <c r="U337" s="59">
        <v>0</v>
      </c>
      <c r="V337" s="56">
        <f>IFERROR(IF(U337="",0,CEILING((U337/$H337),1)*$H337),"")</f>
        <v>0</v>
      </c>
      <c r="W337" s="42" t="str">
        <f>IFERROR(IF(V337=0,"",ROUNDUP(V337/H337,0)*0.00937),"")</f>
        <v/>
      </c>
      <c r="X337" s="69" t="s">
        <v>48</v>
      </c>
      <c r="Y337" s="70" t="s">
        <v>48</v>
      </c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42</v>
      </c>
      <c r="U338" s="44">
        <f>IFERROR(U334/H334,"0")+IFERROR(U335/H335,"0")+IFERROR(U336/H336,"0")+IFERROR(U337/H337,"0")</f>
        <v>0</v>
      </c>
      <c r="V338" s="44">
        <f>IFERROR(V334/H334,"0")+IFERROR(V335/H335,"0")+IFERROR(V336/H336,"0")+IFERROR(V337/H337,"0")</f>
        <v>0</v>
      </c>
      <c r="W338" s="44">
        <f>IFERROR(IF(W334="",0,W334),"0")+IFERROR(IF(W335="",0,W335),"0")+IFERROR(IF(W336="",0,W336),"0")+IFERROR(IF(W337="",0,W337),"0")</f>
        <v>0</v>
      </c>
      <c r="X338" s="68"/>
      <c r="Y338" s="68"/>
    </row>
    <row r="339" spans="1:25" x14ac:dyDescent="0.2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89"/>
      <c r="M339" s="86" t="s">
        <v>43</v>
      </c>
      <c r="N339" s="87"/>
      <c r="O339" s="87"/>
      <c r="P339" s="87"/>
      <c r="Q339" s="87"/>
      <c r="R339" s="87"/>
      <c r="S339" s="88"/>
      <c r="T339" s="43" t="s">
        <v>0</v>
      </c>
      <c r="U339" s="44">
        <f>IFERROR(SUM(U334:U337),"0")</f>
        <v>0</v>
      </c>
      <c r="V339" s="44">
        <f>IFERROR(SUM(V334:V337),"0")</f>
        <v>0</v>
      </c>
      <c r="W339" s="43"/>
      <c r="X339" s="68"/>
      <c r="Y339" s="68"/>
    </row>
    <row r="340" spans="1:25" ht="14.25" customHeight="1" x14ac:dyDescent="0.25">
      <c r="A340" s="90" t="s">
        <v>253</v>
      </c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67"/>
      <c r="Y340" s="67"/>
    </row>
    <row r="341" spans="1:25" ht="27" customHeight="1" x14ac:dyDescent="0.25">
      <c r="A341" s="64" t="s">
        <v>644</v>
      </c>
      <c r="B341" s="64" t="s">
        <v>645</v>
      </c>
      <c r="C341" s="37">
        <v>4301060352</v>
      </c>
      <c r="D341" s="80">
        <v>4680115881648</v>
      </c>
      <c r="E341" s="80"/>
      <c r="F341" s="63">
        <v>1</v>
      </c>
      <c r="G341" s="38">
        <v>4</v>
      </c>
      <c r="H341" s="63">
        <v>4</v>
      </c>
      <c r="I341" s="63">
        <v>4.4039999999999999</v>
      </c>
      <c r="J341" s="38">
        <v>104</v>
      </c>
      <c r="K341" s="39" t="s">
        <v>78</v>
      </c>
      <c r="L341" s="38">
        <v>35</v>
      </c>
      <c r="M341" s="121" t="s">
        <v>646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IFERROR(IF(V341=0,"",ROUNDUP(V341/H341,0)*0.01196),"")</f>
        <v/>
      </c>
      <c r="X341" s="69" t="s">
        <v>48</v>
      </c>
      <c r="Y341" s="70" t="s">
        <v>48</v>
      </c>
    </row>
    <row r="342" spans="1:25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89"/>
      <c r="M342" s="86" t="s">
        <v>43</v>
      </c>
      <c r="N342" s="87"/>
      <c r="O342" s="87"/>
      <c r="P342" s="87"/>
      <c r="Q342" s="87"/>
      <c r="R342" s="87"/>
      <c r="S342" s="88"/>
      <c r="T342" s="43" t="s">
        <v>42</v>
      </c>
      <c r="U342" s="44">
        <f>IFERROR(U341/H341,"0")</f>
        <v>0</v>
      </c>
      <c r="V342" s="44">
        <f>IFERROR(V341/H341,"0")</f>
        <v>0</v>
      </c>
      <c r="W342" s="44">
        <f>IFERROR(IF(W341="",0,W341),"0")</f>
        <v>0</v>
      </c>
      <c r="X342" s="68"/>
      <c r="Y342" s="68"/>
    </row>
    <row r="343" spans="1:25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89"/>
      <c r="M343" s="86" t="s">
        <v>43</v>
      </c>
      <c r="N343" s="87"/>
      <c r="O343" s="87"/>
      <c r="P343" s="87"/>
      <c r="Q343" s="87"/>
      <c r="R343" s="87"/>
      <c r="S343" s="88"/>
      <c r="T343" s="43" t="s">
        <v>0</v>
      </c>
      <c r="U343" s="44">
        <f>IFERROR(SUM(U341:U341),"0")</f>
        <v>0</v>
      </c>
      <c r="V343" s="44">
        <f>IFERROR(SUM(V341:V341),"0")</f>
        <v>0</v>
      </c>
      <c r="W343" s="43"/>
      <c r="X343" s="68"/>
      <c r="Y343" s="68"/>
    </row>
    <row r="344" spans="1:25" ht="16.5" customHeight="1" x14ac:dyDescent="0.25">
      <c r="A344" s="96" t="s">
        <v>647</v>
      </c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66"/>
      <c r="Y344" s="66"/>
    </row>
    <row r="345" spans="1:25" ht="14.25" customHeight="1" x14ac:dyDescent="0.25">
      <c r="A345" s="90" t="s">
        <v>118</v>
      </c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67"/>
      <c r="Y345" s="67"/>
    </row>
    <row r="346" spans="1:25" ht="27" customHeight="1" x14ac:dyDescent="0.25">
      <c r="A346" s="64" t="s">
        <v>648</v>
      </c>
      <c r="B346" s="64" t="s">
        <v>649</v>
      </c>
      <c r="C346" s="37">
        <v>4301020196</v>
      </c>
      <c r="D346" s="80">
        <v>4607091389388</v>
      </c>
      <c r="E346" s="80"/>
      <c r="F346" s="63">
        <v>1.3</v>
      </c>
      <c r="G346" s="38">
        <v>4</v>
      </c>
      <c r="H346" s="63">
        <v>5.2</v>
      </c>
      <c r="I346" s="63">
        <v>5.6079999999999997</v>
      </c>
      <c r="J346" s="38">
        <v>104</v>
      </c>
      <c r="K346" s="39" t="s">
        <v>159</v>
      </c>
      <c r="L346" s="38">
        <v>35</v>
      </c>
      <c r="M346" s="118" t="s">
        <v>650</v>
      </c>
      <c r="N346" s="82"/>
      <c r="O346" s="82"/>
      <c r="P346" s="82"/>
      <c r="Q346" s="83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IFERROR(IF(V346=0,"",ROUNDUP(V346/H346,0)*0.01196),"")</f>
        <v/>
      </c>
      <c r="X346" s="69" t="s">
        <v>48</v>
      </c>
      <c r="Y346" s="70" t="s">
        <v>48</v>
      </c>
    </row>
    <row r="347" spans="1:25" ht="27" customHeight="1" x14ac:dyDescent="0.25">
      <c r="A347" s="64" t="s">
        <v>651</v>
      </c>
      <c r="B347" s="64" t="s">
        <v>652</v>
      </c>
      <c r="C347" s="37">
        <v>4301020185</v>
      </c>
      <c r="D347" s="80">
        <v>4607091389364</v>
      </c>
      <c r="E347" s="80"/>
      <c r="F347" s="63">
        <v>0.42</v>
      </c>
      <c r="G347" s="38">
        <v>6</v>
      </c>
      <c r="H347" s="63">
        <v>2.52</v>
      </c>
      <c r="I347" s="63">
        <v>2.75</v>
      </c>
      <c r="J347" s="38">
        <v>156</v>
      </c>
      <c r="K347" s="39" t="s">
        <v>159</v>
      </c>
      <c r="L347" s="38">
        <v>35</v>
      </c>
      <c r="M347" s="119" t="s">
        <v>653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IFERROR(U346/H346,"0")+IFERROR(U347/H347,"0")</f>
        <v>0</v>
      </c>
      <c r="V348" s="44">
        <f>IFERROR(V346/H346,"0")+IFERROR(V347/H347,"0")</f>
        <v>0</v>
      </c>
      <c r="W348" s="44">
        <f>IFERROR(IF(W346="",0,W346),"0")+IFERROR(IF(W347="",0,W347),"0")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IFERROR(SUM(U346:U347),"0")</f>
        <v>0</v>
      </c>
      <c r="V349" s="44">
        <f>IFERROR(SUM(V346:V347),"0")</f>
        <v>0</v>
      </c>
      <c r="W349" s="43"/>
      <c r="X349" s="68"/>
      <c r="Y349" s="68"/>
    </row>
    <row r="350" spans="1:25" ht="14.25" customHeight="1" x14ac:dyDescent="0.25">
      <c r="A350" s="90" t="s">
        <v>74</v>
      </c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67"/>
      <c r="Y350" s="67"/>
    </row>
    <row r="351" spans="1:25" ht="27" customHeight="1" x14ac:dyDescent="0.25">
      <c r="A351" s="64" t="s">
        <v>654</v>
      </c>
      <c r="B351" s="64" t="s">
        <v>655</v>
      </c>
      <c r="C351" s="37">
        <v>4301031195</v>
      </c>
      <c r="D351" s="80">
        <v>4607091389739</v>
      </c>
      <c r="E351" s="80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114" t="s">
        <v>656</v>
      </c>
      <c r="N351" s="82"/>
      <c r="O351" s="82"/>
      <c r="P351" s="82"/>
      <c r="Q351" s="83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</row>
    <row r="352" spans="1:25" ht="27" customHeight="1" x14ac:dyDescent="0.25">
      <c r="A352" s="64" t="s">
        <v>657</v>
      </c>
      <c r="B352" s="64" t="s">
        <v>658</v>
      </c>
      <c r="C352" s="37">
        <v>4301031176</v>
      </c>
      <c r="D352" s="80">
        <v>4607091389425</v>
      </c>
      <c r="E352" s="80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115" t="s">
        <v>659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IFERROR(IF(V352=0,"",ROUNDUP(V352/H352,0)*0.00502),"")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660</v>
      </c>
      <c r="B353" s="64" t="s">
        <v>661</v>
      </c>
      <c r="C353" s="37">
        <v>4301031167</v>
      </c>
      <c r="D353" s="80">
        <v>4680115880771</v>
      </c>
      <c r="E353" s="80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116" t="s">
        <v>662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IFERROR(IF(V353=0,"",ROUNDUP(V353/H353,0)*0.00502),"")</f>
        <v/>
      </c>
      <c r="X353" s="69" t="s">
        <v>48</v>
      </c>
      <c r="Y353" s="70" t="s">
        <v>48</v>
      </c>
    </row>
    <row r="354" spans="1:25" ht="27" customHeight="1" x14ac:dyDescent="0.25">
      <c r="A354" s="64" t="s">
        <v>663</v>
      </c>
      <c r="B354" s="64" t="s">
        <v>664</v>
      </c>
      <c r="C354" s="37">
        <v>4301031173</v>
      </c>
      <c r="D354" s="80">
        <v>4607091389500</v>
      </c>
      <c r="E354" s="80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117" t="s">
        <v>665</v>
      </c>
      <c r="N354" s="82"/>
      <c r="O354" s="82"/>
      <c r="P354" s="82"/>
      <c r="Q354" s="83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IFERROR(IF(V354=0,"",ROUNDUP(V354/H354,0)*0.00502),"")</f>
        <v/>
      </c>
      <c r="X354" s="69" t="s">
        <v>48</v>
      </c>
      <c r="Y354" s="70" t="s">
        <v>48</v>
      </c>
    </row>
    <row r="355" spans="1:25" ht="27" customHeight="1" x14ac:dyDescent="0.25">
      <c r="A355" s="64" t="s">
        <v>666</v>
      </c>
      <c r="B355" s="64" t="s">
        <v>667</v>
      </c>
      <c r="C355" s="37">
        <v>4301031103</v>
      </c>
      <c r="D355" s="80">
        <v>4680115881983</v>
      </c>
      <c r="E355" s="80"/>
      <c r="F355" s="63">
        <v>0.28000000000000003</v>
      </c>
      <c r="G355" s="38">
        <v>4</v>
      </c>
      <c r="H355" s="63">
        <v>1.1200000000000001</v>
      </c>
      <c r="I355" s="63">
        <v>1.252</v>
      </c>
      <c r="J355" s="38">
        <v>234</v>
      </c>
      <c r="K355" s="39" t="s">
        <v>78</v>
      </c>
      <c r="L355" s="38">
        <v>40</v>
      </c>
      <c r="M355" s="112" t="s">
        <v>668</v>
      </c>
      <c r="N355" s="82"/>
      <c r="O355" s="82"/>
      <c r="P355" s="82"/>
      <c r="Q355" s="83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IFERROR(IF(V355=0,"",ROUNDUP(V355/H355,0)*0.00502),"")</f>
        <v/>
      </c>
      <c r="X355" s="69" t="s">
        <v>48</v>
      </c>
      <c r="Y355" s="70" t="s">
        <v>48</v>
      </c>
    </row>
    <row r="356" spans="1:25" x14ac:dyDescent="0.2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89"/>
      <c r="M356" s="86" t="s">
        <v>43</v>
      </c>
      <c r="N356" s="87"/>
      <c r="O356" s="87"/>
      <c r="P356" s="87"/>
      <c r="Q356" s="87"/>
      <c r="R356" s="87"/>
      <c r="S356" s="88"/>
      <c r="T356" s="43" t="s">
        <v>42</v>
      </c>
      <c r="U356" s="44">
        <f>IFERROR(U351/H351,"0")+IFERROR(U352/H352,"0")+IFERROR(U353/H353,"0")+IFERROR(U354/H354,"0")+IFERROR(U355/H355,"0")</f>
        <v>0</v>
      </c>
      <c r="V356" s="44">
        <f>IFERROR(V351/H351,"0")+IFERROR(V352/H352,"0")+IFERROR(V353/H353,"0")+IFERROR(V354/H354,"0")+IFERROR(V355/H355,"0")</f>
        <v>0</v>
      </c>
      <c r="W356" s="44">
        <f>IFERROR(IF(W351="",0,W351),"0")+IFERROR(IF(W352="",0,W352),"0")+IFERROR(IF(W353="",0,W353),"0")+IFERROR(IF(W354="",0,W354),"0")+IFERROR(IF(W355="",0,W355),"0")</f>
        <v>0</v>
      </c>
      <c r="X356" s="68"/>
      <c r="Y356" s="68"/>
    </row>
    <row r="357" spans="1:25" x14ac:dyDescent="0.2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89"/>
      <c r="M357" s="86" t="s">
        <v>43</v>
      </c>
      <c r="N357" s="87"/>
      <c r="O357" s="87"/>
      <c r="P357" s="87"/>
      <c r="Q357" s="87"/>
      <c r="R357" s="87"/>
      <c r="S357" s="88"/>
      <c r="T357" s="43" t="s">
        <v>0</v>
      </c>
      <c r="U357" s="44">
        <f>IFERROR(SUM(U351:U355),"0")</f>
        <v>0</v>
      </c>
      <c r="V357" s="44">
        <f>IFERROR(SUM(V351:V355),"0")</f>
        <v>0</v>
      </c>
      <c r="W357" s="43"/>
      <c r="X357" s="68"/>
      <c r="Y357" s="68"/>
    </row>
    <row r="358" spans="1:25" ht="27.75" customHeight="1" x14ac:dyDescent="0.2">
      <c r="A358" s="95" t="s">
        <v>669</v>
      </c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55"/>
      <c r="Y358" s="55"/>
    </row>
    <row r="359" spans="1:25" ht="16.5" customHeight="1" x14ac:dyDescent="0.25">
      <c r="A359" s="96" t="s">
        <v>669</v>
      </c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66"/>
      <c r="Y359" s="66"/>
    </row>
    <row r="360" spans="1:25" ht="14.25" customHeight="1" x14ac:dyDescent="0.25">
      <c r="A360" s="90" t="s">
        <v>127</v>
      </c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67"/>
      <c r="Y360" s="67"/>
    </row>
    <row r="361" spans="1:25" ht="27" customHeight="1" x14ac:dyDescent="0.25">
      <c r="A361" s="64" t="s">
        <v>670</v>
      </c>
      <c r="B361" s="64" t="s">
        <v>671</v>
      </c>
      <c r="C361" s="37">
        <v>4301011371</v>
      </c>
      <c r="D361" s="80">
        <v>4607091389067</v>
      </c>
      <c r="E361" s="80"/>
      <c r="F361" s="63">
        <v>0.88</v>
      </c>
      <c r="G361" s="38">
        <v>6</v>
      </c>
      <c r="H361" s="63">
        <v>5.28</v>
      </c>
      <c r="I361" s="63">
        <v>5.64</v>
      </c>
      <c r="J361" s="38">
        <v>104</v>
      </c>
      <c r="K361" s="39" t="s">
        <v>159</v>
      </c>
      <c r="L361" s="38">
        <v>55</v>
      </c>
      <c r="M361" s="113" t="s">
        <v>672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0</v>
      </c>
      <c r="V361" s="56">
        <f t="shared" ref="V361:V366" si="15"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</row>
    <row r="362" spans="1:25" ht="27" customHeight="1" x14ac:dyDescent="0.25">
      <c r="A362" s="64" t="s">
        <v>673</v>
      </c>
      <c r="B362" s="64" t="s">
        <v>674</v>
      </c>
      <c r="C362" s="37">
        <v>4301011363</v>
      </c>
      <c r="D362" s="80">
        <v>4607091383522</v>
      </c>
      <c r="E362" s="80"/>
      <c r="F362" s="63">
        <v>0.88</v>
      </c>
      <c r="G362" s="38">
        <v>6</v>
      </c>
      <c r="H362" s="63">
        <v>5.28</v>
      </c>
      <c r="I362" s="63">
        <v>5.64</v>
      </c>
      <c r="J362" s="38">
        <v>104</v>
      </c>
      <c r="K362" s="39" t="s">
        <v>122</v>
      </c>
      <c r="L362" s="38">
        <v>55</v>
      </c>
      <c r="M362" s="107" t="s">
        <v>675</v>
      </c>
      <c r="N362" s="82"/>
      <c r="O362" s="82"/>
      <c r="P362" s="82"/>
      <c r="Q362" s="83"/>
      <c r="R362" s="40" t="s">
        <v>48</v>
      </c>
      <c r="S362" s="40" t="s">
        <v>48</v>
      </c>
      <c r="T362" s="41" t="s">
        <v>0</v>
      </c>
      <c r="U362" s="59">
        <v>0</v>
      </c>
      <c r="V362" s="56">
        <f t="shared" si="15"/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</row>
    <row r="363" spans="1:25" ht="27" customHeight="1" x14ac:dyDescent="0.25">
      <c r="A363" s="64" t="s">
        <v>676</v>
      </c>
      <c r="B363" s="64" t="s">
        <v>677</v>
      </c>
      <c r="C363" s="37">
        <v>4301011431</v>
      </c>
      <c r="D363" s="80">
        <v>4607091384437</v>
      </c>
      <c r="E363" s="80"/>
      <c r="F363" s="63">
        <v>0.88</v>
      </c>
      <c r="G363" s="38">
        <v>6</v>
      </c>
      <c r="H363" s="63">
        <v>5.28</v>
      </c>
      <c r="I363" s="63">
        <v>5.64</v>
      </c>
      <c r="J363" s="38">
        <v>104</v>
      </c>
      <c r="K363" s="39" t="s">
        <v>122</v>
      </c>
      <c r="L363" s="38">
        <v>50</v>
      </c>
      <c r="M363" s="108" t="s">
        <v>678</v>
      </c>
      <c r="N363" s="82"/>
      <c r="O363" s="82"/>
      <c r="P363" s="82"/>
      <c r="Q363" s="83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si="15"/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</row>
    <row r="364" spans="1:25" ht="27" customHeight="1" x14ac:dyDescent="0.25">
      <c r="A364" s="64" t="s">
        <v>679</v>
      </c>
      <c r="B364" s="64" t="s">
        <v>680</v>
      </c>
      <c r="C364" s="37">
        <v>4301011365</v>
      </c>
      <c r="D364" s="80">
        <v>4607091389104</v>
      </c>
      <c r="E364" s="80"/>
      <c r="F364" s="63">
        <v>0.88</v>
      </c>
      <c r="G364" s="38">
        <v>6</v>
      </c>
      <c r="H364" s="63">
        <v>5.28</v>
      </c>
      <c r="I364" s="63">
        <v>5.64</v>
      </c>
      <c r="J364" s="38">
        <v>104</v>
      </c>
      <c r="K364" s="39" t="s">
        <v>122</v>
      </c>
      <c r="L364" s="38">
        <v>55</v>
      </c>
      <c r="M364" s="109" t="s">
        <v>681</v>
      </c>
      <c r="N364" s="82"/>
      <c r="O364" s="82"/>
      <c r="P364" s="82"/>
      <c r="Q364" s="83"/>
      <c r="R364" s="40" t="s">
        <v>48</v>
      </c>
      <c r="S364" s="40" t="s">
        <v>48</v>
      </c>
      <c r="T364" s="41" t="s">
        <v>0</v>
      </c>
      <c r="U364" s="59">
        <v>0</v>
      </c>
      <c r="V364" s="56">
        <f t="shared" si="15"/>
        <v>0</v>
      </c>
      <c r="W364" s="42" t="str">
        <f>IFERROR(IF(V364=0,"",ROUNDUP(V364/H364,0)*0.01196),"")</f>
        <v/>
      </c>
      <c r="X364" s="69" t="s">
        <v>48</v>
      </c>
      <c r="Y364" s="70" t="s">
        <v>48</v>
      </c>
    </row>
    <row r="365" spans="1:25" ht="27" customHeight="1" x14ac:dyDescent="0.25">
      <c r="A365" s="64" t="s">
        <v>682</v>
      </c>
      <c r="B365" s="64" t="s">
        <v>683</v>
      </c>
      <c r="C365" s="37">
        <v>4301011142</v>
      </c>
      <c r="D365" s="80">
        <v>4607091389036</v>
      </c>
      <c r="E365" s="80"/>
      <c r="F365" s="63">
        <v>0.4</v>
      </c>
      <c r="G365" s="38">
        <v>6</v>
      </c>
      <c r="H365" s="63">
        <v>2.4</v>
      </c>
      <c r="I365" s="63">
        <v>2.6</v>
      </c>
      <c r="J365" s="38">
        <v>156</v>
      </c>
      <c r="K365" s="39" t="s">
        <v>159</v>
      </c>
      <c r="L365" s="38">
        <v>50</v>
      </c>
      <c r="M365" s="110" t="s">
        <v>684</v>
      </c>
      <c r="N365" s="82"/>
      <c r="O365" s="82"/>
      <c r="P365" s="82"/>
      <c r="Q365" s="83"/>
      <c r="R365" s="40" t="s">
        <v>48</v>
      </c>
      <c r="S365" s="40" t="s">
        <v>48</v>
      </c>
      <c r="T365" s="41" t="s">
        <v>0</v>
      </c>
      <c r="U365" s="59">
        <v>2</v>
      </c>
      <c r="V365" s="56">
        <f t="shared" si="15"/>
        <v>2.4</v>
      </c>
      <c r="W365" s="42">
        <f>IFERROR(IF(V365=0,"",ROUNDUP(V365/H365,0)*0.00753),"")</f>
        <v>7.5300000000000002E-3</v>
      </c>
      <c r="X365" s="69" t="s">
        <v>48</v>
      </c>
      <c r="Y365" s="70" t="s">
        <v>48</v>
      </c>
    </row>
    <row r="366" spans="1:25" ht="27" customHeight="1" x14ac:dyDescent="0.25">
      <c r="A366" s="64" t="s">
        <v>685</v>
      </c>
      <c r="B366" s="64" t="s">
        <v>686</v>
      </c>
      <c r="C366" s="37">
        <v>4301011190</v>
      </c>
      <c r="D366" s="80">
        <v>4607091389098</v>
      </c>
      <c r="E366" s="80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9" t="s">
        <v>159</v>
      </c>
      <c r="L366" s="38">
        <v>50</v>
      </c>
      <c r="M366" s="111" t="s">
        <v>687</v>
      </c>
      <c r="N366" s="82"/>
      <c r="O366" s="82"/>
      <c r="P366" s="82"/>
      <c r="Q366" s="83"/>
      <c r="R366" s="40" t="s">
        <v>48</v>
      </c>
      <c r="S366" s="40" t="s">
        <v>48</v>
      </c>
      <c r="T366" s="41" t="s">
        <v>0</v>
      </c>
      <c r="U366" s="59">
        <v>2</v>
      </c>
      <c r="V366" s="56">
        <f t="shared" si="15"/>
        <v>2.4</v>
      </c>
      <c r="W366" s="42">
        <f>IFERROR(IF(V366=0,"",ROUNDUP(V366/H366,0)*0.00753),"")</f>
        <v>7.5300000000000002E-3</v>
      </c>
      <c r="X366" s="69" t="s">
        <v>48</v>
      </c>
      <c r="Y366" s="70" t="s">
        <v>48</v>
      </c>
    </row>
    <row r="367" spans="1:25" x14ac:dyDescent="0.2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89"/>
      <c r="M367" s="86" t="s">
        <v>43</v>
      </c>
      <c r="N367" s="87"/>
      <c r="O367" s="87"/>
      <c r="P367" s="87"/>
      <c r="Q367" s="87"/>
      <c r="R367" s="87"/>
      <c r="S367" s="88"/>
      <c r="T367" s="43" t="s">
        <v>42</v>
      </c>
      <c r="U367" s="44">
        <f>IFERROR(U361/H361,"0")+IFERROR(U362/H362,"0")+IFERROR(U363/H363,"0")+IFERROR(U364/H364,"0")+IFERROR(U365/H365,"0")+IFERROR(U366/H366,"0")</f>
        <v>1.6666666666666667</v>
      </c>
      <c r="V367" s="44">
        <f>IFERROR(V361/H361,"0")+IFERROR(V362/H362,"0")+IFERROR(V363/H363,"0")+IFERROR(V364/H364,"0")+IFERROR(V365/H365,"0")+IFERROR(V366/H366,"0")</f>
        <v>2</v>
      </c>
      <c r="W367" s="44">
        <f>IFERROR(IF(W361="",0,W361),"0")+IFERROR(IF(W362="",0,W362),"0")+IFERROR(IF(W363="",0,W363),"0")+IFERROR(IF(W364="",0,W364),"0")+IFERROR(IF(W365="",0,W365),"0")+IFERROR(IF(W366="",0,W366),"0")</f>
        <v>1.506E-2</v>
      </c>
      <c r="X367" s="68"/>
      <c r="Y367" s="68"/>
    </row>
    <row r="368" spans="1:25" x14ac:dyDescent="0.2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89"/>
      <c r="M368" s="86" t="s">
        <v>43</v>
      </c>
      <c r="N368" s="87"/>
      <c r="O368" s="87"/>
      <c r="P368" s="87"/>
      <c r="Q368" s="87"/>
      <c r="R368" s="87"/>
      <c r="S368" s="88"/>
      <c r="T368" s="43" t="s">
        <v>0</v>
      </c>
      <c r="U368" s="44">
        <f>IFERROR(SUM(U361:U366),"0")</f>
        <v>4</v>
      </c>
      <c r="V368" s="44">
        <f>IFERROR(SUM(V361:V366),"0")</f>
        <v>4.8</v>
      </c>
      <c r="W368" s="43"/>
      <c r="X368" s="68"/>
      <c r="Y368" s="68"/>
    </row>
    <row r="369" spans="1:25" ht="14.25" customHeight="1" x14ac:dyDescent="0.25">
      <c r="A369" s="90" t="s">
        <v>118</v>
      </c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67"/>
      <c r="Y369" s="67"/>
    </row>
    <row r="370" spans="1:25" ht="16.5" customHeight="1" x14ac:dyDescent="0.25">
      <c r="A370" s="64" t="s">
        <v>688</v>
      </c>
      <c r="B370" s="64" t="s">
        <v>689</v>
      </c>
      <c r="C370" s="37">
        <v>4301020222</v>
      </c>
      <c r="D370" s="80">
        <v>4607091388930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55</v>
      </c>
      <c r="M370" s="106" t="s">
        <v>690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x14ac:dyDescent="0.2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89"/>
      <c r="M371" s="86" t="s">
        <v>43</v>
      </c>
      <c r="N371" s="87"/>
      <c r="O371" s="87"/>
      <c r="P371" s="87"/>
      <c r="Q371" s="87"/>
      <c r="R371" s="87"/>
      <c r="S371" s="88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5" x14ac:dyDescent="0.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89"/>
      <c r="M372" s="86" t="s">
        <v>43</v>
      </c>
      <c r="N372" s="87"/>
      <c r="O372" s="87"/>
      <c r="P372" s="87"/>
      <c r="Q372" s="87"/>
      <c r="R372" s="87"/>
      <c r="S372" s="88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5" ht="14.25" customHeight="1" x14ac:dyDescent="0.25">
      <c r="A373" s="90" t="s">
        <v>74</v>
      </c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67"/>
      <c r="Y373" s="67"/>
    </row>
    <row r="374" spans="1:25" ht="27" customHeight="1" x14ac:dyDescent="0.25">
      <c r="A374" s="64" t="s">
        <v>691</v>
      </c>
      <c r="B374" s="64" t="s">
        <v>692</v>
      </c>
      <c r="C374" s="37">
        <v>4301031217</v>
      </c>
      <c r="D374" s="80">
        <v>4680115882102</v>
      </c>
      <c r="E374" s="80"/>
      <c r="F374" s="63">
        <v>0.6</v>
      </c>
      <c r="G374" s="38">
        <v>6</v>
      </c>
      <c r="H374" s="63">
        <v>3.6</v>
      </c>
      <c r="I374" s="63">
        <v>3.81</v>
      </c>
      <c r="J374" s="38">
        <v>120</v>
      </c>
      <c r="K374" s="39" t="s">
        <v>78</v>
      </c>
      <c r="L374" s="38">
        <v>55</v>
      </c>
      <c r="M374" s="102" t="s">
        <v>693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IFERROR(IF(V374=0,"",ROUNDUP(V374/H374,0)*0.00937),"")</f>
        <v/>
      </c>
      <c r="X374" s="69" t="s">
        <v>48</v>
      </c>
      <c r="Y374" s="70" t="s">
        <v>336</v>
      </c>
    </row>
    <row r="375" spans="1:25" ht="27" customHeight="1" x14ac:dyDescent="0.25">
      <c r="A375" s="64" t="s">
        <v>694</v>
      </c>
      <c r="B375" s="64" t="s">
        <v>695</v>
      </c>
      <c r="C375" s="37">
        <v>4301031216</v>
      </c>
      <c r="D375" s="80">
        <v>4680115882096</v>
      </c>
      <c r="E375" s="80"/>
      <c r="F375" s="63">
        <v>0.6</v>
      </c>
      <c r="G375" s="38">
        <v>6</v>
      </c>
      <c r="H375" s="63">
        <v>3.6</v>
      </c>
      <c r="I375" s="63">
        <v>3.81</v>
      </c>
      <c r="J375" s="38">
        <v>120</v>
      </c>
      <c r="K375" s="39" t="s">
        <v>78</v>
      </c>
      <c r="L375" s="38">
        <v>55</v>
      </c>
      <c r="M375" s="103" t="s">
        <v>696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IFERROR(IF(V375=0,"",ROUNDUP(V375/H375,0)*0.00937),"")</f>
        <v/>
      </c>
      <c r="X375" s="69" t="s">
        <v>48</v>
      </c>
      <c r="Y375" s="70" t="s">
        <v>336</v>
      </c>
    </row>
    <row r="376" spans="1:25" ht="27" customHeight="1" x14ac:dyDescent="0.25">
      <c r="A376" s="64" t="s">
        <v>697</v>
      </c>
      <c r="B376" s="64" t="s">
        <v>698</v>
      </c>
      <c r="C376" s="37">
        <v>4301031198</v>
      </c>
      <c r="D376" s="80">
        <v>4607091383348</v>
      </c>
      <c r="E376" s="80"/>
      <c r="F376" s="63">
        <v>0.88</v>
      </c>
      <c r="G376" s="38">
        <v>6</v>
      </c>
      <c r="H376" s="63">
        <v>5.28</v>
      </c>
      <c r="I376" s="63">
        <v>5.64</v>
      </c>
      <c r="J376" s="38">
        <v>104</v>
      </c>
      <c r="K376" s="39" t="s">
        <v>122</v>
      </c>
      <c r="L376" s="38">
        <v>55</v>
      </c>
      <c r="M376" s="104" t="s">
        <v>699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5</v>
      </c>
      <c r="V376" s="56">
        <f>IFERROR(IF(U376="",0,CEILING((U376/$H376),1)*$H376),"")</f>
        <v>5.28</v>
      </c>
      <c r="W376" s="42">
        <f>IFERROR(IF(V376=0,"",ROUNDUP(V376/H376,0)*0.01196),"")</f>
        <v>1.196E-2</v>
      </c>
      <c r="X376" s="69" t="s">
        <v>48</v>
      </c>
      <c r="Y376" s="70" t="s">
        <v>48</v>
      </c>
    </row>
    <row r="377" spans="1:25" ht="27" customHeight="1" x14ac:dyDescent="0.25">
      <c r="A377" s="64" t="s">
        <v>700</v>
      </c>
      <c r="B377" s="64" t="s">
        <v>701</v>
      </c>
      <c r="C377" s="37">
        <v>4301031188</v>
      </c>
      <c r="D377" s="80">
        <v>4607091383386</v>
      </c>
      <c r="E377" s="80"/>
      <c r="F377" s="63">
        <v>0.88</v>
      </c>
      <c r="G377" s="38">
        <v>6</v>
      </c>
      <c r="H377" s="63">
        <v>5.28</v>
      </c>
      <c r="I377" s="63">
        <v>5.64</v>
      </c>
      <c r="J377" s="38">
        <v>104</v>
      </c>
      <c r="K377" s="39" t="s">
        <v>78</v>
      </c>
      <c r="L377" s="38">
        <v>55</v>
      </c>
      <c r="M377" s="105" t="s">
        <v>702</v>
      </c>
      <c r="N377" s="82"/>
      <c r="O377" s="82"/>
      <c r="P377" s="82"/>
      <c r="Q377" s="83"/>
      <c r="R377" s="40" t="s">
        <v>48</v>
      </c>
      <c r="S377" s="40" t="s">
        <v>48</v>
      </c>
      <c r="T377" s="41" t="s">
        <v>0</v>
      </c>
      <c r="U377" s="59">
        <v>5</v>
      </c>
      <c r="V377" s="56">
        <f>IFERROR(IF(U377="",0,CEILING((U377/$H377),1)*$H377),"")</f>
        <v>5.28</v>
      </c>
      <c r="W377" s="42">
        <f>IFERROR(IF(V377=0,"",ROUNDUP(V377/H377,0)*0.01196),"")</f>
        <v>1.196E-2</v>
      </c>
      <c r="X377" s="69" t="s">
        <v>48</v>
      </c>
      <c r="Y377" s="70" t="s">
        <v>48</v>
      </c>
    </row>
    <row r="378" spans="1:25" ht="27" customHeight="1" x14ac:dyDescent="0.25">
      <c r="A378" s="64" t="s">
        <v>703</v>
      </c>
      <c r="B378" s="64" t="s">
        <v>704</v>
      </c>
      <c r="C378" s="37">
        <v>4301031189</v>
      </c>
      <c r="D378" s="80">
        <v>4607091383355</v>
      </c>
      <c r="E378" s="80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78</v>
      </c>
      <c r="L378" s="38">
        <v>55</v>
      </c>
      <c r="M378" s="99" t="s">
        <v>705</v>
      </c>
      <c r="N378" s="82"/>
      <c r="O378" s="82"/>
      <c r="P378" s="82"/>
      <c r="Q378" s="83"/>
      <c r="R378" s="40" t="s">
        <v>48</v>
      </c>
      <c r="S378" s="40" t="s">
        <v>48</v>
      </c>
      <c r="T378" s="41" t="s">
        <v>0</v>
      </c>
      <c r="U378" s="59">
        <v>5</v>
      </c>
      <c r="V378" s="56">
        <f>IFERROR(IF(U378="",0,CEILING((U378/$H378),1)*$H378),"")</f>
        <v>5.28</v>
      </c>
      <c r="W378" s="42">
        <f>IFERROR(IF(V378=0,"",ROUNDUP(V378/H378,0)*0.01196),"")</f>
        <v>1.196E-2</v>
      </c>
      <c r="X378" s="69" t="s">
        <v>48</v>
      </c>
      <c r="Y378" s="70" t="s">
        <v>48</v>
      </c>
    </row>
    <row r="379" spans="1:25" x14ac:dyDescent="0.2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89"/>
      <c r="M379" s="86" t="s">
        <v>43</v>
      </c>
      <c r="N379" s="87"/>
      <c r="O379" s="87"/>
      <c r="P379" s="87"/>
      <c r="Q379" s="87"/>
      <c r="R379" s="87"/>
      <c r="S379" s="88"/>
      <c r="T379" s="43" t="s">
        <v>42</v>
      </c>
      <c r="U379" s="44">
        <f>IFERROR(U374/H374,"0")+IFERROR(U375/H375,"0")+IFERROR(U376/H376,"0")+IFERROR(U377/H377,"0")+IFERROR(U378/H378,"0")</f>
        <v>2.8409090909090908</v>
      </c>
      <c r="V379" s="44">
        <f>IFERROR(V374/H374,"0")+IFERROR(V375/H375,"0")+IFERROR(V376/H376,"0")+IFERROR(V377/H377,"0")+IFERROR(V378/H378,"0")</f>
        <v>3</v>
      </c>
      <c r="W379" s="44">
        <f>IFERROR(IF(W374="",0,W374),"0")+IFERROR(IF(W375="",0,W375),"0")+IFERROR(IF(W376="",0,W376),"0")+IFERROR(IF(W377="",0,W377),"0")+IFERROR(IF(W378="",0,W378),"0")</f>
        <v>3.5880000000000002E-2</v>
      </c>
      <c r="X379" s="68"/>
      <c r="Y379" s="68"/>
    </row>
    <row r="380" spans="1:25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89"/>
      <c r="M380" s="86" t="s">
        <v>43</v>
      </c>
      <c r="N380" s="87"/>
      <c r="O380" s="87"/>
      <c r="P380" s="87"/>
      <c r="Q380" s="87"/>
      <c r="R380" s="87"/>
      <c r="S380" s="88"/>
      <c r="T380" s="43" t="s">
        <v>0</v>
      </c>
      <c r="U380" s="44">
        <f>IFERROR(SUM(U374:U378),"0")</f>
        <v>15</v>
      </c>
      <c r="V380" s="44">
        <f>IFERROR(SUM(V374:V378),"0")</f>
        <v>15.84</v>
      </c>
      <c r="W380" s="43"/>
      <c r="X380" s="68"/>
      <c r="Y380" s="68"/>
    </row>
    <row r="381" spans="1:25" ht="14.25" customHeight="1" x14ac:dyDescent="0.25">
      <c r="A381" s="90" t="s">
        <v>79</v>
      </c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67"/>
      <c r="Y381" s="67"/>
    </row>
    <row r="382" spans="1:25" ht="16.5" customHeight="1" x14ac:dyDescent="0.25">
      <c r="A382" s="64" t="s">
        <v>706</v>
      </c>
      <c r="B382" s="64" t="s">
        <v>707</v>
      </c>
      <c r="C382" s="37">
        <v>4301051230</v>
      </c>
      <c r="D382" s="80">
        <v>4607091383409</v>
      </c>
      <c r="E382" s="80"/>
      <c r="F382" s="63">
        <v>1.3</v>
      </c>
      <c r="G382" s="38">
        <v>6</v>
      </c>
      <c r="H382" s="63">
        <v>7.8</v>
      </c>
      <c r="I382" s="63">
        <v>8.3460000000000001</v>
      </c>
      <c r="J382" s="38">
        <v>56</v>
      </c>
      <c r="K382" s="39" t="s">
        <v>78</v>
      </c>
      <c r="L382" s="38">
        <v>45</v>
      </c>
      <c r="M382" s="100" t="s">
        <v>708</v>
      </c>
      <c r="N382" s="82"/>
      <c r="O382" s="82"/>
      <c r="P382" s="82"/>
      <c r="Q382" s="83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IFERROR(IF(V382=0,"",ROUNDUP(V382/H382,0)*0.02175),"")</f>
        <v/>
      </c>
      <c r="X382" s="69" t="s">
        <v>48</v>
      </c>
      <c r="Y382" s="70" t="s">
        <v>48</v>
      </c>
    </row>
    <row r="383" spans="1:25" ht="16.5" customHeight="1" x14ac:dyDescent="0.25">
      <c r="A383" s="64" t="s">
        <v>709</v>
      </c>
      <c r="B383" s="64" t="s">
        <v>710</v>
      </c>
      <c r="C383" s="37">
        <v>4301051231</v>
      </c>
      <c r="D383" s="80">
        <v>4607091383416</v>
      </c>
      <c r="E383" s="80"/>
      <c r="F383" s="63">
        <v>1.3</v>
      </c>
      <c r="G383" s="38">
        <v>6</v>
      </c>
      <c r="H383" s="63">
        <v>7.8</v>
      </c>
      <c r="I383" s="63">
        <v>8.3460000000000001</v>
      </c>
      <c r="J383" s="38">
        <v>56</v>
      </c>
      <c r="K383" s="39" t="s">
        <v>78</v>
      </c>
      <c r="L383" s="38">
        <v>45</v>
      </c>
      <c r="M383" s="101" t="s">
        <v>711</v>
      </c>
      <c r="N383" s="82"/>
      <c r="O383" s="82"/>
      <c r="P383" s="82"/>
      <c r="Q383" s="83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IFERROR(IF(V383=0,"",ROUNDUP(V383/H383,0)*0.02175),"")</f>
        <v/>
      </c>
      <c r="X383" s="69" t="s">
        <v>48</v>
      </c>
      <c r="Y383" s="70" t="s">
        <v>48</v>
      </c>
    </row>
    <row r="384" spans="1:25" x14ac:dyDescent="0.2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89"/>
      <c r="M384" s="86" t="s">
        <v>43</v>
      </c>
      <c r="N384" s="87"/>
      <c r="O384" s="87"/>
      <c r="P384" s="87"/>
      <c r="Q384" s="87"/>
      <c r="R384" s="87"/>
      <c r="S384" s="88"/>
      <c r="T384" s="43" t="s">
        <v>42</v>
      </c>
      <c r="U384" s="44">
        <f>IFERROR(U382/H382,"0")+IFERROR(U383/H383,"0")</f>
        <v>0</v>
      </c>
      <c r="V384" s="44">
        <f>IFERROR(V382/H382,"0")+IFERROR(V383/H383,"0")</f>
        <v>0</v>
      </c>
      <c r="W384" s="44">
        <f>IFERROR(IF(W382="",0,W382),"0")+IFERROR(IF(W383="",0,W383),"0")</f>
        <v>0</v>
      </c>
      <c r="X384" s="68"/>
      <c r="Y384" s="68"/>
    </row>
    <row r="385" spans="1:25" x14ac:dyDescent="0.2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89"/>
      <c r="M385" s="86" t="s">
        <v>43</v>
      </c>
      <c r="N385" s="87"/>
      <c r="O385" s="87"/>
      <c r="P385" s="87"/>
      <c r="Q385" s="87"/>
      <c r="R385" s="87"/>
      <c r="S385" s="88"/>
      <c r="T385" s="43" t="s">
        <v>0</v>
      </c>
      <c r="U385" s="44">
        <f>IFERROR(SUM(U382:U383),"0")</f>
        <v>0</v>
      </c>
      <c r="V385" s="44">
        <f>IFERROR(SUM(V382:V383),"0")</f>
        <v>0</v>
      </c>
      <c r="W385" s="43"/>
      <c r="X385" s="68"/>
      <c r="Y385" s="68"/>
    </row>
    <row r="386" spans="1:25" ht="27.75" customHeight="1" x14ac:dyDescent="0.2">
      <c r="A386" s="95" t="s">
        <v>712</v>
      </c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55"/>
      <c r="Y386" s="55"/>
    </row>
    <row r="387" spans="1:25" ht="16.5" customHeight="1" x14ac:dyDescent="0.25">
      <c r="A387" s="96" t="s">
        <v>713</v>
      </c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66"/>
      <c r="Y387" s="66"/>
    </row>
    <row r="388" spans="1:25" ht="14.25" customHeight="1" x14ac:dyDescent="0.25">
      <c r="A388" s="90" t="s">
        <v>127</v>
      </c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67"/>
      <c r="Y388" s="67"/>
    </row>
    <row r="389" spans="1:25" ht="27" customHeight="1" x14ac:dyDescent="0.25">
      <c r="A389" s="64" t="s">
        <v>714</v>
      </c>
      <c r="B389" s="64" t="s">
        <v>715</v>
      </c>
      <c r="C389" s="37">
        <v>4301011434</v>
      </c>
      <c r="D389" s="80">
        <v>4680115881099</v>
      </c>
      <c r="E389" s="80"/>
      <c r="F389" s="63">
        <v>1.5</v>
      </c>
      <c r="G389" s="38">
        <v>8</v>
      </c>
      <c r="H389" s="63">
        <v>12</v>
      </c>
      <c r="I389" s="63">
        <v>12.48</v>
      </c>
      <c r="J389" s="38">
        <v>56</v>
      </c>
      <c r="K389" s="39" t="s">
        <v>122</v>
      </c>
      <c r="L389" s="38">
        <v>50</v>
      </c>
      <c r="M389" s="97" t="s">
        <v>716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>IFERROR(IF(U389="",0,CEILING((U389/$H389),1)*$H389),"")</f>
        <v>0</v>
      </c>
      <c r="W389" s="42" t="str">
        <f>IFERROR(IF(V389=0,"",ROUNDUP(V389/H389,0)*0.02175),"")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717</v>
      </c>
      <c r="B390" s="64" t="s">
        <v>718</v>
      </c>
      <c r="C390" s="37">
        <v>4301011435</v>
      </c>
      <c r="D390" s="80">
        <v>4680115881150</v>
      </c>
      <c r="E390" s="80"/>
      <c r="F390" s="63">
        <v>1.5</v>
      </c>
      <c r="G390" s="38">
        <v>8</v>
      </c>
      <c r="H390" s="63">
        <v>12</v>
      </c>
      <c r="I390" s="63">
        <v>12.48</v>
      </c>
      <c r="J390" s="38">
        <v>56</v>
      </c>
      <c r="K390" s="39" t="s">
        <v>122</v>
      </c>
      <c r="L390" s="38">
        <v>50</v>
      </c>
      <c r="M390" s="98" t="s">
        <v>719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0</v>
      </c>
      <c r="V390" s="56">
        <f>IFERROR(IF(U390="",0,CEILING((U390/$H390),1)*$H390),"")</f>
        <v>0</v>
      </c>
      <c r="W390" s="42" t="str">
        <f>IFERROR(IF(V390=0,"",ROUNDUP(V390/H390,0)*0.02175),"")</f>
        <v/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IFERROR(U389/H389,"0")+IFERROR(U390/H390,"0")</f>
        <v>0</v>
      </c>
      <c r="V391" s="44">
        <f>IFERROR(V389/H389,"0")+IFERROR(V390/H390,"0")</f>
        <v>0</v>
      </c>
      <c r="W391" s="44">
        <f>IFERROR(IF(W389="",0,W389),"0")+IFERROR(IF(W390="",0,W390),"0")</f>
        <v>0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IFERROR(SUM(U389:U390),"0")</f>
        <v>0</v>
      </c>
      <c r="V392" s="44">
        <f>IFERROR(SUM(V389:V390),"0")</f>
        <v>0</v>
      </c>
      <c r="W392" s="43"/>
      <c r="X392" s="68"/>
      <c r="Y392" s="68"/>
    </row>
    <row r="393" spans="1:25" ht="14.25" customHeight="1" x14ac:dyDescent="0.25">
      <c r="A393" s="90" t="s">
        <v>118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720</v>
      </c>
      <c r="B394" s="64" t="s">
        <v>721</v>
      </c>
      <c r="C394" s="37">
        <v>4301020230</v>
      </c>
      <c r="D394" s="80">
        <v>4680115881112</v>
      </c>
      <c r="E394" s="80"/>
      <c r="F394" s="63">
        <v>1.35</v>
      </c>
      <c r="G394" s="38">
        <v>8</v>
      </c>
      <c r="H394" s="63">
        <v>10.8</v>
      </c>
      <c r="I394" s="63">
        <v>11.28</v>
      </c>
      <c r="J394" s="38">
        <v>56</v>
      </c>
      <c r="K394" s="39" t="s">
        <v>122</v>
      </c>
      <c r="L394" s="38">
        <v>50</v>
      </c>
      <c r="M394" s="93" t="s">
        <v>722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27" customHeight="1" x14ac:dyDescent="0.25">
      <c r="A395" s="64" t="s">
        <v>723</v>
      </c>
      <c r="B395" s="64" t="s">
        <v>724</v>
      </c>
      <c r="C395" s="37">
        <v>4301020231</v>
      </c>
      <c r="D395" s="80">
        <v>4680115881129</v>
      </c>
      <c r="E395" s="80"/>
      <c r="F395" s="63">
        <v>1.8</v>
      </c>
      <c r="G395" s="38">
        <v>6</v>
      </c>
      <c r="H395" s="63">
        <v>10.8</v>
      </c>
      <c r="I395" s="63">
        <v>11.28</v>
      </c>
      <c r="J395" s="38">
        <v>56</v>
      </c>
      <c r="K395" s="39" t="s">
        <v>122</v>
      </c>
      <c r="L395" s="38">
        <v>50</v>
      </c>
      <c r="M395" s="94" t="s">
        <v>725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14.25" customHeight="1" x14ac:dyDescent="0.25">
      <c r="A398" s="90" t="s">
        <v>74</v>
      </c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67"/>
      <c r="Y398" s="67"/>
    </row>
    <row r="399" spans="1:25" ht="27" customHeight="1" x14ac:dyDescent="0.25">
      <c r="A399" s="64" t="s">
        <v>726</v>
      </c>
      <c r="B399" s="64" t="s">
        <v>727</v>
      </c>
      <c r="C399" s="37">
        <v>4301031192</v>
      </c>
      <c r="D399" s="80">
        <v>4680115881167</v>
      </c>
      <c r="E399" s="80"/>
      <c r="F399" s="63">
        <v>0.63</v>
      </c>
      <c r="G399" s="38">
        <v>6</v>
      </c>
      <c r="H399" s="63">
        <v>3.78</v>
      </c>
      <c r="I399" s="63">
        <v>4.04</v>
      </c>
      <c r="J399" s="38">
        <v>156</v>
      </c>
      <c r="K399" s="39" t="s">
        <v>78</v>
      </c>
      <c r="L399" s="38">
        <v>40</v>
      </c>
      <c r="M399" s="91" t="s">
        <v>728</v>
      </c>
      <c r="N399" s="82"/>
      <c r="O399" s="82"/>
      <c r="P399" s="82"/>
      <c r="Q399" s="83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IFERROR(IF(V399=0,"",ROUNDUP(V399/H399,0)*0.00753),"")</f>
        <v/>
      </c>
      <c r="X399" s="69" t="s">
        <v>48</v>
      </c>
      <c r="Y399" s="70" t="s">
        <v>48</v>
      </c>
    </row>
    <row r="400" spans="1:25" ht="16.5" customHeight="1" x14ac:dyDescent="0.25">
      <c r="A400" s="64" t="s">
        <v>729</v>
      </c>
      <c r="B400" s="64" t="s">
        <v>730</v>
      </c>
      <c r="C400" s="37">
        <v>4301031193</v>
      </c>
      <c r="D400" s="80">
        <v>4680115881136</v>
      </c>
      <c r="E400" s="80"/>
      <c r="F400" s="63">
        <v>0.63</v>
      </c>
      <c r="G400" s="38">
        <v>6</v>
      </c>
      <c r="H400" s="63">
        <v>3.78</v>
      </c>
      <c r="I400" s="63">
        <v>4.04</v>
      </c>
      <c r="J400" s="38">
        <v>156</v>
      </c>
      <c r="K400" s="39" t="s">
        <v>78</v>
      </c>
      <c r="L400" s="38">
        <v>40</v>
      </c>
      <c r="M400" s="92" t="s">
        <v>731</v>
      </c>
      <c r="N400" s="82"/>
      <c r="O400" s="82"/>
      <c r="P400" s="82"/>
      <c r="Q400" s="83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IFERROR(IF(V400=0,"",ROUNDUP(V400/H400,0)*0.00753),"")</f>
        <v/>
      </c>
      <c r="X400" s="69" t="s">
        <v>48</v>
      </c>
      <c r="Y400" s="70" t="s">
        <v>48</v>
      </c>
    </row>
    <row r="401" spans="1:28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89"/>
      <c r="M401" s="86" t="s">
        <v>43</v>
      </c>
      <c r="N401" s="87"/>
      <c r="O401" s="87"/>
      <c r="P401" s="87"/>
      <c r="Q401" s="87"/>
      <c r="R401" s="87"/>
      <c r="S401" s="88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8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89"/>
      <c r="M402" s="86" t="s">
        <v>43</v>
      </c>
      <c r="N402" s="87"/>
      <c r="O402" s="87"/>
      <c r="P402" s="87"/>
      <c r="Q402" s="87"/>
      <c r="R402" s="87"/>
      <c r="S402" s="88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8" ht="14.25" customHeight="1" x14ac:dyDescent="0.25">
      <c r="A403" s="90" t="s">
        <v>79</v>
      </c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67"/>
      <c r="Y403" s="67"/>
    </row>
    <row r="404" spans="1:28" ht="27" customHeight="1" x14ac:dyDescent="0.25">
      <c r="A404" s="64" t="s">
        <v>732</v>
      </c>
      <c r="B404" s="64" t="s">
        <v>733</v>
      </c>
      <c r="C404" s="37">
        <v>4301051383</v>
      </c>
      <c r="D404" s="80">
        <v>4680115881143</v>
      </c>
      <c r="E404" s="80"/>
      <c r="F404" s="63">
        <v>1.3</v>
      </c>
      <c r="G404" s="38">
        <v>6</v>
      </c>
      <c r="H404" s="63">
        <v>7.8</v>
      </c>
      <c r="I404" s="63">
        <v>8.3640000000000008</v>
      </c>
      <c r="J404" s="38">
        <v>56</v>
      </c>
      <c r="K404" s="39" t="s">
        <v>78</v>
      </c>
      <c r="L404" s="38">
        <v>40</v>
      </c>
      <c r="M404" s="81" t="s">
        <v>734</v>
      </c>
      <c r="N404" s="82"/>
      <c r="O404" s="82"/>
      <c r="P404" s="82"/>
      <c r="Q404" s="83"/>
      <c r="R404" s="40" t="s">
        <v>48</v>
      </c>
      <c r="S404" s="40" t="s">
        <v>48</v>
      </c>
      <c r="T404" s="41" t="s">
        <v>0</v>
      </c>
      <c r="U404" s="59">
        <v>150</v>
      </c>
      <c r="V404" s="56">
        <f>IFERROR(IF(U404="",0,CEILING((U404/$H404),1)*$H404),"")</f>
        <v>156</v>
      </c>
      <c r="W404" s="42">
        <f>IFERROR(IF(V404=0,"",ROUNDUP(V404/H404,0)*0.02175),"")</f>
        <v>0.43499999999999994</v>
      </c>
      <c r="X404" s="69" t="s">
        <v>48</v>
      </c>
      <c r="Y404" s="70" t="s">
        <v>48</v>
      </c>
    </row>
    <row r="405" spans="1:28" ht="27" customHeight="1" x14ac:dyDescent="0.25">
      <c r="A405" s="64" t="s">
        <v>735</v>
      </c>
      <c r="B405" s="64" t="s">
        <v>736</v>
      </c>
      <c r="C405" s="37">
        <v>4301051381</v>
      </c>
      <c r="D405" s="80">
        <v>4680115881068</v>
      </c>
      <c r="E405" s="80"/>
      <c r="F405" s="63">
        <v>1.3</v>
      </c>
      <c r="G405" s="38">
        <v>6</v>
      </c>
      <c r="H405" s="63">
        <v>7.8</v>
      </c>
      <c r="I405" s="63">
        <v>8.2799999999999994</v>
      </c>
      <c r="J405" s="38">
        <v>56</v>
      </c>
      <c r="K405" s="39" t="s">
        <v>78</v>
      </c>
      <c r="L405" s="38">
        <v>30</v>
      </c>
      <c r="M405" s="84" t="s">
        <v>737</v>
      </c>
      <c r="N405" s="82"/>
      <c r="O405" s="82"/>
      <c r="P405" s="82"/>
      <c r="Q405" s="83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</row>
    <row r="406" spans="1:28" ht="27" customHeight="1" x14ac:dyDescent="0.25">
      <c r="A406" s="64" t="s">
        <v>738</v>
      </c>
      <c r="B406" s="64" t="s">
        <v>739</v>
      </c>
      <c r="C406" s="37">
        <v>4301051382</v>
      </c>
      <c r="D406" s="80">
        <v>4680115881075</v>
      </c>
      <c r="E406" s="80"/>
      <c r="F406" s="63">
        <v>0.5</v>
      </c>
      <c r="G406" s="38">
        <v>6</v>
      </c>
      <c r="H406" s="63">
        <v>3</v>
      </c>
      <c r="I406" s="63">
        <v>3.2</v>
      </c>
      <c r="J406" s="38">
        <v>156</v>
      </c>
      <c r="K406" s="39" t="s">
        <v>78</v>
      </c>
      <c r="L406" s="38">
        <v>30</v>
      </c>
      <c r="M406" s="85" t="s">
        <v>740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IFERROR(IF(V406=0,"",ROUNDUP(V406/H406,0)*0.00753),"")</f>
        <v/>
      </c>
      <c r="X406" s="69" t="s">
        <v>48</v>
      </c>
      <c r="Y406" s="70" t="s">
        <v>48</v>
      </c>
    </row>
    <row r="407" spans="1:28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89"/>
      <c r="M407" s="86" t="s">
        <v>43</v>
      </c>
      <c r="N407" s="87"/>
      <c r="O407" s="87"/>
      <c r="P407" s="87"/>
      <c r="Q407" s="87"/>
      <c r="R407" s="87"/>
      <c r="S407" s="88"/>
      <c r="T407" s="43" t="s">
        <v>42</v>
      </c>
      <c r="U407" s="44">
        <f>IFERROR(U404/H404,"0")+IFERROR(U405/H405,"0")+IFERROR(U406/H406,"0")</f>
        <v>19.23076923076923</v>
      </c>
      <c r="V407" s="44">
        <f>IFERROR(V404/H404,"0")+IFERROR(V405/H405,"0")+IFERROR(V406/H406,"0")</f>
        <v>20</v>
      </c>
      <c r="W407" s="44">
        <f>IFERROR(IF(W404="",0,W404),"0")+IFERROR(IF(W405="",0,W405),"0")+IFERROR(IF(W406="",0,W406),"0")</f>
        <v>0.43499999999999994</v>
      </c>
      <c r="X407" s="68"/>
      <c r="Y407" s="68"/>
    </row>
    <row r="408" spans="1:28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0</v>
      </c>
      <c r="U408" s="44">
        <f>IFERROR(SUM(U404:U406),"0")</f>
        <v>150</v>
      </c>
      <c r="V408" s="44">
        <f>IFERROR(SUM(V404:V406),"0")</f>
        <v>156</v>
      </c>
      <c r="W408" s="43"/>
      <c r="X408" s="68"/>
      <c r="Y408" s="68"/>
    </row>
    <row r="409" spans="1:28" ht="15" customHeight="1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9"/>
      <c r="M409" s="75" t="s">
        <v>36</v>
      </c>
      <c r="N409" s="76"/>
      <c r="O409" s="76"/>
      <c r="P409" s="76"/>
      <c r="Q409" s="76"/>
      <c r="R409" s="76"/>
      <c r="S409" s="77"/>
      <c r="T409" s="43" t="s">
        <v>0</v>
      </c>
      <c r="U409" s="44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6006.8600000000006</v>
      </c>
      <c r="V409" s="44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6088.7400000000007</v>
      </c>
      <c r="W409" s="43"/>
      <c r="X409" s="68"/>
      <c r="Y409" s="68"/>
    </row>
    <row r="410" spans="1:28" x14ac:dyDescent="0.2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9"/>
      <c r="M410" s="75" t="s">
        <v>37</v>
      </c>
      <c r="N410" s="76"/>
      <c r="O410" s="76"/>
      <c r="P410" s="76"/>
      <c r="Q410" s="76"/>
      <c r="R410" s="76"/>
      <c r="S410" s="77"/>
      <c r="T410" s="43" t="s">
        <v>0</v>
      </c>
      <c r="U41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6404.74395885596</v>
      </c>
      <c r="V41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6491.5840000000035</v>
      </c>
      <c r="W410" s="43"/>
      <c r="X410" s="68"/>
      <c r="Y410" s="68"/>
    </row>
    <row r="411" spans="1:28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9"/>
      <c r="M411" s="75" t="s">
        <v>38</v>
      </c>
      <c r="N411" s="76"/>
      <c r="O411" s="76"/>
      <c r="P411" s="76"/>
      <c r="Q411" s="76"/>
      <c r="R411" s="76"/>
      <c r="S411" s="77"/>
      <c r="T411" s="43" t="s">
        <v>23</v>
      </c>
      <c r="U41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13</v>
      </c>
      <c r="V41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13</v>
      </c>
      <c r="W411" s="43"/>
      <c r="X411" s="68"/>
      <c r="Y411" s="68"/>
    </row>
    <row r="412" spans="1:28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9"/>
      <c r="M412" s="75" t="s">
        <v>39</v>
      </c>
      <c r="N412" s="76"/>
      <c r="O412" s="76"/>
      <c r="P412" s="76"/>
      <c r="Q412" s="76"/>
      <c r="R412" s="76"/>
      <c r="S412" s="77"/>
      <c r="T412" s="43" t="s">
        <v>0</v>
      </c>
      <c r="U412" s="44">
        <f>GrossWeightTotal+PalletQtyTotal*25</f>
        <v>6729.74395885596</v>
      </c>
      <c r="V412" s="44">
        <f>GrossWeightTotalR+PalletQtyTotalR*25</f>
        <v>6816.5840000000035</v>
      </c>
      <c r="W412" s="43"/>
      <c r="X412" s="68"/>
      <c r="Y412" s="68"/>
    </row>
    <row r="413" spans="1:28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9"/>
      <c r="M413" s="75" t="s">
        <v>40</v>
      </c>
      <c r="N413" s="76"/>
      <c r="O413" s="76"/>
      <c r="P413" s="76"/>
      <c r="Q413" s="76"/>
      <c r="R413" s="76"/>
      <c r="S413" s="77"/>
      <c r="T413" s="43" t="s">
        <v>23</v>
      </c>
      <c r="U413" s="44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1406.2862194087684</v>
      </c>
      <c r="V413" s="44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1419</v>
      </c>
      <c r="W413" s="43"/>
      <c r="X413" s="68"/>
      <c r="Y413" s="68"/>
    </row>
    <row r="414" spans="1:28" ht="14.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9"/>
      <c r="M414" s="75" t="s">
        <v>41</v>
      </c>
      <c r="N414" s="76"/>
      <c r="O414" s="76"/>
      <c r="P414" s="76"/>
      <c r="Q414" s="76"/>
      <c r="R414" s="76"/>
      <c r="S414" s="77"/>
      <c r="T414" s="46" t="s">
        <v>54</v>
      </c>
      <c r="U414" s="43"/>
      <c r="V414" s="43"/>
      <c r="W414" s="43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13.97471</v>
      </c>
      <c r="X414" s="68"/>
      <c r="Y414" s="68"/>
    </row>
    <row r="415" spans="1:28" ht="13.5" thickBot="1" x14ac:dyDescent="0.25"/>
    <row r="416" spans="1:28" ht="27" thickTop="1" thickBot="1" x14ac:dyDescent="0.25">
      <c r="A416" s="47" t="s">
        <v>9</v>
      </c>
      <c r="B416" s="71" t="s">
        <v>73</v>
      </c>
      <c r="C416" s="72" t="s">
        <v>116</v>
      </c>
      <c r="D416" s="72" t="s">
        <v>116</v>
      </c>
      <c r="E416" s="72" t="s">
        <v>116</v>
      </c>
      <c r="F416" s="72" t="s">
        <v>116</v>
      </c>
      <c r="G416" s="72" t="s">
        <v>279</v>
      </c>
      <c r="H416" s="72" t="s">
        <v>279</v>
      </c>
      <c r="I416" s="72" t="s">
        <v>279</v>
      </c>
      <c r="J416" s="72" t="s">
        <v>279</v>
      </c>
      <c r="K416" s="72" t="s">
        <v>536</v>
      </c>
      <c r="L416" s="72" t="s">
        <v>536</v>
      </c>
      <c r="M416" s="72" t="s">
        <v>603</v>
      </c>
      <c r="N416" s="72" t="s">
        <v>603</v>
      </c>
      <c r="O416" s="71" t="s">
        <v>669</v>
      </c>
      <c r="P416" s="71" t="s">
        <v>712</v>
      </c>
      <c r="Q416" s="1"/>
      <c r="R416" s="1"/>
      <c r="S416" s="1"/>
      <c r="T416" s="1"/>
      <c r="Y416" s="61"/>
      <c r="AB416" s="1"/>
    </row>
    <row r="417" spans="1:28" ht="14.25" customHeight="1" thickTop="1" x14ac:dyDescent="0.2">
      <c r="A417" s="73" t="s">
        <v>10</v>
      </c>
      <c r="B417" s="72" t="s">
        <v>73</v>
      </c>
      <c r="C417" s="72" t="s">
        <v>117</v>
      </c>
      <c r="D417" s="72" t="s">
        <v>126</v>
      </c>
      <c r="E417" s="72" t="s">
        <v>116</v>
      </c>
      <c r="F417" s="72" t="s">
        <v>266</v>
      </c>
      <c r="G417" s="72" t="s">
        <v>280</v>
      </c>
      <c r="H417" s="72" t="s">
        <v>290</v>
      </c>
      <c r="I417" s="72" t="s">
        <v>486</v>
      </c>
      <c r="J417" s="72" t="s">
        <v>510</v>
      </c>
      <c r="K417" s="72" t="s">
        <v>537</v>
      </c>
      <c r="L417" s="72" t="s">
        <v>574</v>
      </c>
      <c r="M417" s="72" t="s">
        <v>604</v>
      </c>
      <c r="N417" s="72" t="s">
        <v>647</v>
      </c>
      <c r="O417" s="72" t="s">
        <v>669</v>
      </c>
      <c r="P417" s="72" t="s">
        <v>713</v>
      </c>
      <c r="Q417" s="1"/>
      <c r="R417" s="1"/>
      <c r="S417" s="1"/>
      <c r="T417" s="1"/>
      <c r="Y417" s="61"/>
      <c r="AB417" s="1"/>
    </row>
    <row r="418" spans="1:28" ht="13.5" thickBot="1" x14ac:dyDescent="0.25">
      <c r="A418" s="74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1"/>
      <c r="R418" s="1"/>
      <c r="S418" s="1"/>
      <c r="T418" s="1"/>
      <c r="Y418" s="61"/>
      <c r="AB418" s="1"/>
    </row>
    <row r="419" spans="1:28" ht="18" thickTop="1" thickBot="1" x14ac:dyDescent="0.25">
      <c r="A419" s="47" t="s">
        <v>13</v>
      </c>
      <c r="B419" s="53">
        <f>IFERROR(V22*1,"0")+IFERROR(V26*1,"0")+IFERROR(V27*1,"0")+IFERROR(V28*1,"0")+IFERROR(V29*1,"0")+IFERROR(V30*1,"0")+IFERROR(V31*1,"0")+IFERROR(V35*1,"0")+IFERROR(V36*1,"0")+IFERROR(V40*1,"0")+IFERROR(V44*1,"0")</f>
        <v>0</v>
      </c>
      <c r="C419" s="53">
        <f>IFERROR(V50*1,"0")+IFERROR(V51*1,"0")</f>
        <v>440.1</v>
      </c>
      <c r="D419" s="53">
        <f>IFERROR(V56*1,"0")+IFERROR(V57*1,"0")+IFERROR(V58*1,"0")</f>
        <v>460</v>
      </c>
      <c r="E41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1451.6</v>
      </c>
      <c r="F419" s="53">
        <f>IFERROR(V121*1,"0")+IFERROR(V122*1,"0")+IFERROR(V123*1,"0")+IFERROR(V124*1,"0")</f>
        <v>243</v>
      </c>
      <c r="G419" s="53">
        <f>IFERROR(V130*1,"0")+IFERROR(V131*1,"0")+IFERROR(V132*1,"0")</f>
        <v>0</v>
      </c>
      <c r="H41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1185.2</v>
      </c>
      <c r="I419" s="53">
        <f>IFERROR(V225*1,"0")+IFERROR(V226*1,"0")+IFERROR(V227*1,"0")+IFERROR(V228*1,"0")+IFERROR(V229*1,"0")+IFERROR(V230*1,"0")+IFERROR(V231*1,"0")+IFERROR(V235*1,"0")+IFERROR(V236*1,"0")</f>
        <v>30</v>
      </c>
      <c r="J419" s="53">
        <f>IFERROR(V241*1,"0")+IFERROR(V242*1,"0")+IFERROR(V246*1,"0")+IFERROR(V247*1,"0")+IFERROR(V248*1,"0")+IFERROR(V252*1,"0")+IFERROR(V256*1,"0")+IFERROR(V260*1,"0")</f>
        <v>350.09999999999997</v>
      </c>
      <c r="K419" s="53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1475.3999999999999</v>
      </c>
      <c r="L419" s="53">
        <f>IFERROR(V296*1,"0")+IFERROR(V297*1,"0")+IFERROR(V298*1,"0")+IFERROR(V299*1,"0")+IFERROR(V303*1,"0")+IFERROR(V304*1,"0")+IFERROR(V308*1,"0")+IFERROR(V309*1,"0")+IFERROR(V313*1,"0")</f>
        <v>119.2</v>
      </c>
      <c r="M419" s="53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157.5</v>
      </c>
      <c r="N419" s="53">
        <f>IFERROR(V346*1,"0")+IFERROR(V347*1,"0")+IFERROR(V351*1,"0")+IFERROR(V352*1,"0")+IFERROR(V353*1,"0")+IFERROR(V354*1,"0")+IFERROR(V355*1,"0")</f>
        <v>0</v>
      </c>
      <c r="O419" s="53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20.64</v>
      </c>
      <c r="P419" s="53">
        <f>IFERROR(V389*1,"0")+IFERROR(V390*1,"0")+IFERROR(V394*1,"0")+IFERROR(V395*1,"0")+IFERROR(V399*1,"0")+IFERROR(V400*1,"0")+IFERROR(V404*1,"0")+IFERROR(V405*1,"0")+IFERROR(V406*1,"0")</f>
        <v>156</v>
      </c>
      <c r="Q419" s="1"/>
      <c r="R419" s="1"/>
      <c r="S419" s="1"/>
      <c r="T419" s="1"/>
      <c r="Y419" s="61"/>
      <c r="AB419" s="1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41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45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4" t="s">
        <v>742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744</v>
      </c>
      <c r="C6" s="54" t="s">
        <v>745</v>
      </c>
      <c r="D6" s="54" t="s">
        <v>746</v>
      </c>
      <c r="E6" s="54" t="s">
        <v>48</v>
      </c>
    </row>
    <row r="7" spans="2:8" x14ac:dyDescent="0.2">
      <c r="B7" s="54" t="s">
        <v>747</v>
      </c>
      <c r="C7" s="54" t="s">
        <v>748</v>
      </c>
      <c r="D7" s="54" t="s">
        <v>749</v>
      </c>
      <c r="E7" s="54" t="s">
        <v>48</v>
      </c>
    </row>
    <row r="8" spans="2:8" x14ac:dyDescent="0.2">
      <c r="B8" s="54" t="s">
        <v>750</v>
      </c>
      <c r="C8" s="54" t="s">
        <v>751</v>
      </c>
      <c r="D8" s="54" t="s">
        <v>752</v>
      </c>
      <c r="E8" s="54" t="s">
        <v>48</v>
      </c>
    </row>
    <row r="9" spans="2:8" x14ac:dyDescent="0.2">
      <c r="B9" s="54" t="s">
        <v>753</v>
      </c>
      <c r="C9" s="54" t="s">
        <v>754</v>
      </c>
      <c r="D9" s="54" t="s">
        <v>755</v>
      </c>
      <c r="E9" s="54" t="s">
        <v>48</v>
      </c>
    </row>
    <row r="10" spans="2:8" x14ac:dyDescent="0.2">
      <c r="B10" s="54" t="s">
        <v>756</v>
      </c>
      <c r="C10" s="54" t="s">
        <v>757</v>
      </c>
      <c r="D10" s="54" t="s">
        <v>758</v>
      </c>
      <c r="E10" s="54" t="s">
        <v>48</v>
      </c>
    </row>
    <row r="11" spans="2:8" x14ac:dyDescent="0.2">
      <c r="B11" s="54" t="s">
        <v>759</v>
      </c>
      <c r="C11" s="54" t="s">
        <v>760</v>
      </c>
      <c r="D11" s="54" t="s">
        <v>761</v>
      </c>
      <c r="E11" s="54" t="s">
        <v>48</v>
      </c>
    </row>
    <row r="12" spans="2:8" x14ac:dyDescent="0.2">
      <c r="B12" s="54" t="s">
        <v>762</v>
      </c>
      <c r="C12" s="54" t="s">
        <v>763</v>
      </c>
      <c r="D12" s="54" t="s">
        <v>764</v>
      </c>
      <c r="E12" s="54" t="s">
        <v>48</v>
      </c>
    </row>
    <row r="13" spans="2:8" x14ac:dyDescent="0.2">
      <c r="B13" s="54" t="s">
        <v>765</v>
      </c>
      <c r="C13" s="54" t="s">
        <v>766</v>
      </c>
      <c r="D13" s="54" t="s">
        <v>767</v>
      </c>
      <c r="E13" s="54" t="s">
        <v>48</v>
      </c>
    </row>
    <row r="15" spans="2:8" x14ac:dyDescent="0.2">
      <c r="B15" s="54" t="s">
        <v>768</v>
      </c>
      <c r="C15" s="54" t="s">
        <v>745</v>
      </c>
      <c r="D15" s="54" t="s">
        <v>48</v>
      </c>
      <c r="E15" s="54" t="s">
        <v>48</v>
      </c>
    </row>
    <row r="17" spans="2:5" x14ac:dyDescent="0.2">
      <c r="B17" s="54" t="s">
        <v>769</v>
      </c>
      <c r="C17" s="54" t="s">
        <v>748</v>
      </c>
      <c r="D17" s="54" t="s">
        <v>48</v>
      </c>
      <c r="E17" s="54" t="s">
        <v>48</v>
      </c>
    </row>
    <row r="19" spans="2:5" x14ac:dyDescent="0.2">
      <c r="B19" s="54" t="s">
        <v>770</v>
      </c>
      <c r="C19" s="54" t="s">
        <v>751</v>
      </c>
      <c r="D19" s="54" t="s">
        <v>48</v>
      </c>
      <c r="E19" s="54" t="s">
        <v>48</v>
      </c>
    </row>
    <row r="21" spans="2:5" x14ac:dyDescent="0.2">
      <c r="B21" s="54" t="s">
        <v>771</v>
      </c>
      <c r="C21" s="54" t="s">
        <v>754</v>
      </c>
      <c r="D21" s="54" t="s">
        <v>48</v>
      </c>
      <c r="E21" s="54" t="s">
        <v>48</v>
      </c>
    </row>
    <row r="23" spans="2:5" x14ac:dyDescent="0.2">
      <c r="B23" s="54" t="s">
        <v>772</v>
      </c>
      <c r="C23" s="54" t="s">
        <v>757</v>
      </c>
      <c r="D23" s="54" t="s">
        <v>48</v>
      </c>
      <c r="E23" s="54" t="s">
        <v>48</v>
      </c>
    </row>
    <row r="25" spans="2:5" x14ac:dyDescent="0.2">
      <c r="B25" s="54" t="s">
        <v>773</v>
      </c>
      <c r="C25" s="54" t="s">
        <v>760</v>
      </c>
      <c r="D25" s="54" t="s">
        <v>48</v>
      </c>
      <c r="E25" s="54" t="s">
        <v>48</v>
      </c>
    </row>
    <row r="27" spans="2:5" x14ac:dyDescent="0.2">
      <c r="B27" s="54" t="s">
        <v>774</v>
      </c>
      <c r="C27" s="54" t="s">
        <v>763</v>
      </c>
      <c r="D27" s="54" t="s">
        <v>48</v>
      </c>
      <c r="E27" s="54" t="s">
        <v>48</v>
      </c>
    </row>
    <row r="29" spans="2:5" x14ac:dyDescent="0.2">
      <c r="B29" s="54" t="s">
        <v>775</v>
      </c>
      <c r="C29" s="54" t="s">
        <v>766</v>
      </c>
      <c r="D29" s="54" t="s">
        <v>48</v>
      </c>
      <c r="E29" s="54" t="s">
        <v>48</v>
      </c>
    </row>
    <row r="31" spans="2:5" x14ac:dyDescent="0.2">
      <c r="B31" s="54" t="s">
        <v>776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780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781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782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783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784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785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786</v>
      </c>
      <c r="C41" s="54" t="s">
        <v>48</v>
      </c>
      <c r="D41" s="54" t="s">
        <v>48</v>
      </c>
      <c r="E41" s="54" t="s">
        <v>48</v>
      </c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915</vt:i4>
      </vt:variant>
    </vt:vector>
  </HeadingPairs>
  <TitlesOfParts>
    <vt:vector size="9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2023-07-04T10:44:11Z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