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240" windowHeight="1225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заказа'!$U$422:$U$422</definedName>
    <definedName name="GrossWeightTotalR">'Бланк заказа'!$V$422:$V$422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заказа'!$U$423:$U$423</definedName>
    <definedName name="PalletQtyTotalR">'Бланк заказа'!$V$423:$V$423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заказа'!$B$216:$B$216</definedName>
    <definedName name="ProductId131">'Бланк заказа'!$B$217:$B$217</definedName>
    <definedName name="ProductId132">'Бланк заказа'!$B$218:$B$218</definedName>
    <definedName name="ProductId133">'Бланк заказа'!$B$222:$B$222</definedName>
    <definedName name="ProductId134">'Бланк заказа'!$B$223:$B$223</definedName>
    <definedName name="ProductId135">'Бланк заказа'!$B$224:$B$224</definedName>
    <definedName name="ProductId136">'Бланк заказа'!$B$225:$B$225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заказа'!$B$240:$B$240</definedName>
    <definedName name="ProductId145">'Бланк заказа'!$B$241:$B$241</definedName>
    <definedName name="ProductId146">'Бланк заказа'!$B$246:$B$246</definedName>
    <definedName name="ProductId147">'Бланк заказа'!$B$247:$B$247</definedName>
    <definedName name="ProductId148">'Бланк заказа'!$B$251:$B$251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заказа'!$B$257:$B$257</definedName>
    <definedName name="ProductId152">'Бланк заказа'!$B$261:$B$261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заказа'!$B$287:$B$287</definedName>
    <definedName name="ProductId165">'Бланк заказа'!$B$291:$B$291</definedName>
    <definedName name="ProductId166">'Бланк заказа'!$B$296:$B$296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заказа'!$B$303:$B$303</definedName>
    <definedName name="ProductId171">'Бланк заказа'!$B$304:$B$304</definedName>
    <definedName name="ProductId172">'Бланк заказа'!$B$308:$B$308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заказа'!$B$315:$B$315</definedName>
    <definedName name="ProductId177">'Бланк заказа'!$B$321:$B$321</definedName>
    <definedName name="ProductId178">'Бланк заказа'!$B$322:$B$322</definedName>
    <definedName name="ProductId179">'Бланк заказа'!$B$326:$B$326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заказа'!$B$340:$B$340</definedName>
    <definedName name="ProductId191">'Бланк заказа'!$B$341:$B$341</definedName>
    <definedName name="ProductId192">'Бланк заказа'!$B$342:$B$342</definedName>
    <definedName name="ProductId193">'Бланк заказа'!$B$343:$B$343</definedName>
    <definedName name="ProductId194">'Бланк заказа'!$B$347:$B$347</definedName>
    <definedName name="ProductId195">'Бланк заказа'!$B$352:$B$352</definedName>
    <definedName name="ProductId196">'Бланк заказа'!$B$353:$B$353</definedName>
    <definedName name="ProductId197">'Бланк заказа'!$B$357:$B$357</definedName>
    <definedName name="ProductId198">'Бланк заказа'!$B$358:$B$358</definedName>
    <definedName name="ProductId199">'Бланк заказа'!$B$359:$B$359</definedName>
    <definedName name="ProductId2">'Бланк заказа'!$B$26:$B$26</definedName>
    <definedName name="ProductId20">'Бланк заказа'!$B$66:$B$66</definedName>
    <definedName name="ProductId200">'Бланк заказа'!$B$360:$B$360</definedName>
    <definedName name="ProductId201">'Бланк заказа'!$B$361:$B$361</definedName>
    <definedName name="ProductId202">'Бланк заказа'!$B$367:$B$367</definedName>
    <definedName name="ProductId203">'Бланк заказа'!$B$368:$B$368</definedName>
    <definedName name="ProductId204">'Бланк заказа'!$B$369:$B$369</definedName>
    <definedName name="ProductId205">'Бланк заказа'!$B$370:$B$370</definedName>
    <definedName name="ProductId206">'Бланк заказа'!$B$371:$B$371</definedName>
    <definedName name="ProductId207">'Бланк заказа'!$B$372:$B$372</definedName>
    <definedName name="ProductId208">'Бланк заказа'!$B$373:$B$373</definedName>
    <definedName name="ProductId209">'Бланк заказа'!$B$374:$B$374</definedName>
    <definedName name="ProductId21">'Бланк заказа'!$B$67:$B$67</definedName>
    <definedName name="ProductId210">'Бланк заказа'!$B$375:$B$375</definedName>
    <definedName name="ProductId211">'Бланк заказа'!$B$376:$B$376</definedName>
    <definedName name="ProductId212">'Бланк заказа'!$B$380:$B$380</definedName>
    <definedName name="ProductId213">'Бланк заказа'!$B$381:$B$381</definedName>
    <definedName name="ProductId214">'Бланк заказа'!$B$385:$B$385</definedName>
    <definedName name="ProductId215">'Бланк заказа'!$B$386:$B$386</definedName>
    <definedName name="ProductId216">'Бланк заказа'!$B$387:$B$387</definedName>
    <definedName name="ProductId217">'Бланк заказа'!$B$388:$B$388</definedName>
    <definedName name="ProductId218">'Бланк заказа'!$B$389:$B$389</definedName>
    <definedName name="ProductId219">'Бланк заказа'!$B$390:$B$390</definedName>
    <definedName name="ProductId22">'Бланк заказа'!$B$68:$B$68</definedName>
    <definedName name="ProductId220">'Бланк заказа'!$B$394:$B$394</definedName>
    <definedName name="ProductId221">'Бланк заказа'!$B$395:$B$395</definedName>
    <definedName name="ProductId222">'Бланк заказа'!$B$401:$B$401</definedName>
    <definedName name="ProductId223">'Бланк заказа'!$B$402:$B$402</definedName>
    <definedName name="ProductId224">'Бланк заказа'!$B$406:$B$406</definedName>
    <definedName name="ProductId225">'Бланк заказа'!$B$407:$B$407</definedName>
    <definedName name="ProductId226">'Бланк заказа'!$B$411:$B$411</definedName>
    <definedName name="ProductId227">'Бланк заказа'!$B$412:$B$412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заказа'!$B$157:$B$157</definedName>
    <definedName name="ProductId84">'Бланк заказа'!$B$158:$B$158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заказа'!$U$216:$U$216</definedName>
    <definedName name="SalesQty131">'Бланк заказа'!$U$217:$U$217</definedName>
    <definedName name="SalesQty132">'Бланк заказа'!$U$218:$U$218</definedName>
    <definedName name="SalesQty133">'Бланк заказа'!$U$222:$U$222</definedName>
    <definedName name="SalesQty134">'Бланк заказа'!$U$223:$U$223</definedName>
    <definedName name="SalesQty135">'Бланк заказа'!$U$224:$U$224</definedName>
    <definedName name="SalesQty136">'Бланк заказа'!$U$225:$U$225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заказа'!$U$240:$U$240</definedName>
    <definedName name="SalesQty145">'Бланк заказа'!$U$241:$U$241</definedName>
    <definedName name="SalesQty146">'Бланк заказа'!$U$246:$U$246</definedName>
    <definedName name="SalesQty147">'Бланк заказа'!$U$247:$U$247</definedName>
    <definedName name="SalesQty148">'Бланк заказа'!$U$251:$U$251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заказа'!$U$257:$U$257</definedName>
    <definedName name="SalesQty152">'Бланк заказа'!$U$261:$U$261</definedName>
    <definedName name="SalesQty153">'Бланк заказа'!$U$267:$U$267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заказа'!$U$278:$U$278</definedName>
    <definedName name="SalesQty162">'Бланк заказа'!$U$279:$U$279</definedName>
    <definedName name="SalesQty163">'Бланк заказа'!$U$283:$U$283</definedName>
    <definedName name="SalesQty164">'Бланк заказа'!$U$287:$U$287</definedName>
    <definedName name="SalesQty165">'Бланк заказа'!$U$291:$U$291</definedName>
    <definedName name="SalesQty166">'Бланк заказа'!$U$296:$U$296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заказа'!$U$303:$U$303</definedName>
    <definedName name="SalesQty171">'Бланк заказа'!$U$304:$U$304</definedName>
    <definedName name="SalesQty172">'Бланк заказа'!$U$308:$U$308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заказа'!$U$315:$U$315</definedName>
    <definedName name="SalesQty177">'Бланк заказа'!$U$321:$U$321</definedName>
    <definedName name="SalesQty178">'Бланк заказа'!$U$322:$U$322</definedName>
    <definedName name="SalesQty179">'Бланк заказа'!$U$326:$U$326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заказа'!$U$340:$U$340</definedName>
    <definedName name="SalesQty191">'Бланк заказа'!$U$341:$U$341</definedName>
    <definedName name="SalesQty192">'Бланк заказа'!$U$342:$U$342</definedName>
    <definedName name="SalesQty193">'Бланк заказа'!$U$343:$U$343</definedName>
    <definedName name="SalesQty194">'Бланк заказа'!$U$347:$U$347</definedName>
    <definedName name="SalesQty195">'Бланк заказа'!$U$352:$U$352</definedName>
    <definedName name="SalesQty196">'Бланк заказа'!$U$353:$U$353</definedName>
    <definedName name="SalesQty197">'Бланк заказа'!$U$357:$U$357</definedName>
    <definedName name="SalesQty198">'Бланк заказа'!$U$358:$U$358</definedName>
    <definedName name="SalesQty199">'Бланк заказа'!$U$359:$U$359</definedName>
    <definedName name="SalesQty2">'Бланк заказа'!$U$26:$U$26</definedName>
    <definedName name="SalesQty20">'Бланк заказа'!$U$66:$U$66</definedName>
    <definedName name="SalesQty200">'Бланк заказа'!$U$360:$U$360</definedName>
    <definedName name="SalesQty201">'Бланк заказа'!$U$361:$U$361</definedName>
    <definedName name="SalesQty202">'Бланк заказа'!$U$367:$U$367</definedName>
    <definedName name="SalesQty203">'Бланк заказа'!$U$368:$U$368</definedName>
    <definedName name="SalesQty204">'Бланк заказа'!$U$369:$U$369</definedName>
    <definedName name="SalesQty205">'Бланк заказа'!$U$370:$U$370</definedName>
    <definedName name="SalesQty206">'Бланк заказа'!$U$371:$U$371</definedName>
    <definedName name="SalesQty207">'Бланк заказа'!$U$372:$U$372</definedName>
    <definedName name="SalesQty208">'Бланк заказа'!$U$373:$U$373</definedName>
    <definedName name="SalesQty209">'Бланк заказа'!$U$374:$U$374</definedName>
    <definedName name="SalesQty21">'Бланк заказа'!$U$67:$U$67</definedName>
    <definedName name="SalesQty210">'Бланк заказа'!$U$375:$U$375</definedName>
    <definedName name="SalesQty211">'Бланк заказа'!$U$376:$U$376</definedName>
    <definedName name="SalesQty212">'Бланк заказа'!$U$380:$U$380</definedName>
    <definedName name="SalesQty213">'Бланк заказа'!$U$381:$U$381</definedName>
    <definedName name="SalesQty214">'Бланк заказа'!$U$385:$U$385</definedName>
    <definedName name="SalesQty215">'Бланк заказа'!$U$386:$U$386</definedName>
    <definedName name="SalesQty216">'Бланк заказа'!$U$387:$U$387</definedName>
    <definedName name="SalesQty217">'Бланк заказа'!$U$388:$U$388</definedName>
    <definedName name="SalesQty218">'Бланк заказа'!$U$389:$U$389</definedName>
    <definedName name="SalesQty219">'Бланк заказа'!$U$390:$U$390</definedName>
    <definedName name="SalesQty22">'Бланк заказа'!$U$68:$U$68</definedName>
    <definedName name="SalesQty220">'Бланк заказа'!$U$394:$U$394</definedName>
    <definedName name="SalesQty221">'Бланк заказа'!$U$395:$U$395</definedName>
    <definedName name="SalesQty222">'Бланк заказа'!$U$401:$U$401</definedName>
    <definedName name="SalesQty223">'Бланк заказа'!$U$402:$U$402</definedName>
    <definedName name="SalesQty224">'Бланк заказа'!$U$406:$U$406</definedName>
    <definedName name="SalesQty225">'Бланк заказа'!$U$407:$U$407</definedName>
    <definedName name="SalesQty226">'Бланк заказа'!$U$411:$U$411</definedName>
    <definedName name="SalesQty227">'Бланк заказа'!$U$412:$U$412</definedName>
    <definedName name="SalesQty228">'Бланк заказа'!$U$416:$U$416</definedName>
    <definedName name="SalesQty229">'Бланк заказа'!$U$417:$U$417</definedName>
    <definedName name="SalesQty23">'Бланк заказа'!$U$69:$U$69</definedName>
    <definedName name="SalesQty230">'Бланк заказа'!$U$418:$U$418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заказа'!$U$157:$U$157</definedName>
    <definedName name="SalesQty84">'Бланк заказа'!$U$158:$U$158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заказа'!$V$216:$V$216</definedName>
    <definedName name="SalesRoundBox131">'Бланк заказа'!$V$217:$V$217</definedName>
    <definedName name="SalesRoundBox132">'Бланк заказа'!$V$218:$V$218</definedName>
    <definedName name="SalesRoundBox133">'Бланк заказа'!$V$222:$V$222</definedName>
    <definedName name="SalesRoundBox134">'Бланк заказа'!$V$223:$V$223</definedName>
    <definedName name="SalesRoundBox135">'Бланк заказа'!$V$224:$V$224</definedName>
    <definedName name="SalesRoundBox136">'Бланк заказа'!$V$225:$V$225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заказа'!$V$240:$V$240</definedName>
    <definedName name="SalesRoundBox145">'Бланк заказа'!$V$241:$V$241</definedName>
    <definedName name="SalesRoundBox146">'Бланк заказа'!$V$246:$V$246</definedName>
    <definedName name="SalesRoundBox147">'Бланк заказа'!$V$247:$V$247</definedName>
    <definedName name="SalesRoundBox148">'Бланк заказа'!$V$251:$V$251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заказа'!$V$257:$V$257</definedName>
    <definedName name="SalesRoundBox152">'Бланк заказа'!$V$261:$V$261</definedName>
    <definedName name="SalesRoundBox153">'Бланк заказа'!$V$267:$V$267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заказа'!$V$278:$V$278</definedName>
    <definedName name="SalesRoundBox162">'Бланк заказа'!$V$279:$V$279</definedName>
    <definedName name="SalesRoundBox163">'Бланк заказа'!$V$283:$V$283</definedName>
    <definedName name="SalesRoundBox164">'Бланк заказа'!$V$287:$V$287</definedName>
    <definedName name="SalesRoundBox165">'Бланк заказа'!$V$291:$V$291</definedName>
    <definedName name="SalesRoundBox166">'Бланк заказа'!$V$296:$V$296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заказа'!$V$303:$V$303</definedName>
    <definedName name="SalesRoundBox171">'Бланк заказа'!$V$304:$V$304</definedName>
    <definedName name="SalesRoundBox172">'Бланк заказа'!$V$308:$V$308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заказа'!$V$315:$V$315</definedName>
    <definedName name="SalesRoundBox177">'Бланк заказа'!$V$321:$V$321</definedName>
    <definedName name="SalesRoundBox178">'Бланк заказа'!$V$322:$V$322</definedName>
    <definedName name="SalesRoundBox179">'Бланк заказа'!$V$326:$V$326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заказа'!$V$340:$V$340</definedName>
    <definedName name="SalesRoundBox191">'Бланк заказа'!$V$341:$V$341</definedName>
    <definedName name="SalesRoundBox192">'Бланк заказа'!$V$342:$V$342</definedName>
    <definedName name="SalesRoundBox193">'Бланк заказа'!$V$343:$V$343</definedName>
    <definedName name="SalesRoundBox194">'Бланк заказа'!$V$347:$V$347</definedName>
    <definedName name="SalesRoundBox195">'Бланк заказа'!$V$352:$V$352</definedName>
    <definedName name="SalesRoundBox196">'Бланк заказа'!$V$353:$V$353</definedName>
    <definedName name="SalesRoundBox197">'Бланк заказа'!$V$357:$V$357</definedName>
    <definedName name="SalesRoundBox198">'Бланк заказа'!$V$358:$V$358</definedName>
    <definedName name="SalesRoundBox199">'Бланк заказа'!$V$359:$V$359</definedName>
    <definedName name="SalesRoundBox2">'Бланк заказа'!$V$26:$V$26</definedName>
    <definedName name="SalesRoundBox20">'Бланк заказа'!$V$66:$V$66</definedName>
    <definedName name="SalesRoundBox200">'Бланк заказа'!$V$360:$V$360</definedName>
    <definedName name="SalesRoundBox201">'Бланк заказа'!$V$361:$V$361</definedName>
    <definedName name="SalesRoundBox202">'Бланк заказа'!$V$367:$V$367</definedName>
    <definedName name="SalesRoundBox203">'Бланк заказа'!$V$368:$V$368</definedName>
    <definedName name="SalesRoundBox204">'Бланк заказа'!$V$369:$V$369</definedName>
    <definedName name="SalesRoundBox205">'Бланк заказа'!$V$370:$V$370</definedName>
    <definedName name="SalesRoundBox206">'Бланк заказа'!$V$371:$V$371</definedName>
    <definedName name="SalesRoundBox207">'Бланк заказа'!$V$372:$V$372</definedName>
    <definedName name="SalesRoundBox208">'Бланк заказа'!$V$373:$V$373</definedName>
    <definedName name="SalesRoundBox209">'Бланк заказа'!$V$374:$V$374</definedName>
    <definedName name="SalesRoundBox21">'Бланк заказа'!$V$67:$V$67</definedName>
    <definedName name="SalesRoundBox210">'Бланк заказа'!$V$375:$V$375</definedName>
    <definedName name="SalesRoundBox211">'Бланк заказа'!$V$376:$V$376</definedName>
    <definedName name="SalesRoundBox212">'Бланк заказа'!$V$380:$V$380</definedName>
    <definedName name="SalesRoundBox213">'Бланк заказа'!$V$381:$V$381</definedName>
    <definedName name="SalesRoundBox214">'Бланк заказа'!$V$385:$V$385</definedName>
    <definedName name="SalesRoundBox215">'Бланк заказа'!$V$386:$V$386</definedName>
    <definedName name="SalesRoundBox216">'Бланк заказа'!$V$387:$V$387</definedName>
    <definedName name="SalesRoundBox217">'Бланк заказа'!$V$388:$V$388</definedName>
    <definedName name="SalesRoundBox218">'Бланк заказа'!$V$389:$V$389</definedName>
    <definedName name="SalesRoundBox219">'Бланк заказа'!$V$390:$V$390</definedName>
    <definedName name="SalesRoundBox22">'Бланк заказа'!$V$68:$V$68</definedName>
    <definedName name="SalesRoundBox220">'Бланк заказа'!$V$394:$V$394</definedName>
    <definedName name="SalesRoundBox221">'Бланк заказа'!$V$395:$V$395</definedName>
    <definedName name="SalesRoundBox222">'Бланк заказа'!$V$401:$V$401</definedName>
    <definedName name="SalesRoundBox223">'Бланк заказа'!$V$402:$V$402</definedName>
    <definedName name="SalesRoundBox224">'Бланк заказа'!$V$406:$V$406</definedName>
    <definedName name="SalesRoundBox225">'Бланк заказа'!$V$407:$V$407</definedName>
    <definedName name="SalesRoundBox226">'Бланк заказа'!$V$411:$V$411</definedName>
    <definedName name="SalesRoundBox227">'Бланк заказа'!$V$412:$V$412</definedName>
    <definedName name="SalesRoundBox228">'Бланк заказа'!$V$416:$V$416</definedName>
    <definedName name="SalesRoundBox229">'Бланк заказа'!$V$417:$V$417</definedName>
    <definedName name="SalesRoundBox23">'Бланк заказа'!$V$69:$V$69</definedName>
    <definedName name="SalesRoundBox230">'Бланк заказа'!$V$418:$V$418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заказа'!$V$157:$V$157</definedName>
    <definedName name="SalesRoundBox84">'Бланк заказа'!$V$158:$V$158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заказа'!$T$216:$T$216</definedName>
    <definedName name="UnitOfMeasure131">'Бланк заказа'!$T$217:$T$217</definedName>
    <definedName name="UnitOfMeasure132">'Бланк заказа'!$T$218:$T$218</definedName>
    <definedName name="UnitOfMeasure133">'Бланк заказа'!$T$222:$T$222</definedName>
    <definedName name="UnitOfMeasure134">'Бланк заказа'!$T$223:$T$223</definedName>
    <definedName name="UnitOfMeasure135">'Бланк заказа'!$T$224:$T$224</definedName>
    <definedName name="UnitOfMeasure136">'Бланк заказа'!$T$225:$T$225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заказа'!$T$240:$T$240</definedName>
    <definedName name="UnitOfMeasure145">'Бланк заказа'!$T$241:$T$241</definedName>
    <definedName name="UnitOfMeasure146">'Бланк заказа'!$T$246:$T$246</definedName>
    <definedName name="UnitOfMeasure147">'Бланк заказа'!$T$247:$T$247</definedName>
    <definedName name="UnitOfMeasure148">'Бланк заказа'!$T$251:$T$251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заказа'!$T$257:$T$257</definedName>
    <definedName name="UnitOfMeasure152">'Бланк заказа'!$T$261:$T$261</definedName>
    <definedName name="UnitOfMeasure153">'Бланк заказа'!$T$267:$T$267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заказа'!$T$278:$T$278</definedName>
    <definedName name="UnitOfMeasure162">'Бланк заказа'!$T$279:$T$279</definedName>
    <definedName name="UnitOfMeasure163">'Бланк заказа'!$T$283:$T$283</definedName>
    <definedName name="UnitOfMeasure164">'Бланк заказа'!$T$287:$T$287</definedName>
    <definedName name="UnitOfMeasure165">'Бланк заказа'!$T$291:$T$291</definedName>
    <definedName name="UnitOfMeasure166">'Бланк заказа'!$T$296:$T$296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заказа'!$T$303:$T$303</definedName>
    <definedName name="UnitOfMeasure171">'Бланк заказа'!$T$304:$T$304</definedName>
    <definedName name="UnitOfMeasure172">'Бланк заказа'!$T$308:$T$308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заказа'!$T$315:$T$315</definedName>
    <definedName name="UnitOfMeasure177">'Бланк заказа'!$T$321:$T$321</definedName>
    <definedName name="UnitOfMeasure178">'Бланк заказа'!$T$322:$T$322</definedName>
    <definedName name="UnitOfMeasure179">'Бланк заказа'!$T$326:$T$326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заказа'!$T$340:$T$340</definedName>
    <definedName name="UnitOfMeasure191">'Бланк заказа'!$T$341:$T$341</definedName>
    <definedName name="UnitOfMeasure192">'Бланк заказа'!$T$342:$T$342</definedName>
    <definedName name="UnitOfMeasure193">'Бланк заказа'!$T$343:$T$343</definedName>
    <definedName name="UnitOfMeasure194">'Бланк заказа'!$T$347:$T$347</definedName>
    <definedName name="UnitOfMeasure195">'Бланк заказа'!$T$352:$T$352</definedName>
    <definedName name="UnitOfMeasure196">'Бланк заказа'!$T$353:$T$353</definedName>
    <definedName name="UnitOfMeasure197">'Бланк заказа'!$T$357:$T$357</definedName>
    <definedName name="UnitOfMeasure198">'Бланк заказа'!$T$358:$T$358</definedName>
    <definedName name="UnitOfMeasure199">'Бланк заказа'!$T$359:$T$359</definedName>
    <definedName name="UnitOfMeasure2">'Бланк заказа'!$T$26:$T$26</definedName>
    <definedName name="UnitOfMeasure20">'Бланк заказа'!$T$66:$T$66</definedName>
    <definedName name="UnitOfMeasure200">'Бланк заказа'!$T$360:$T$360</definedName>
    <definedName name="UnitOfMeasure201">'Бланк заказа'!$T$361:$T$361</definedName>
    <definedName name="UnitOfMeasure202">'Бланк заказа'!$T$367:$T$367</definedName>
    <definedName name="UnitOfMeasure203">'Бланк заказа'!$T$368:$T$368</definedName>
    <definedName name="UnitOfMeasure204">'Бланк заказа'!$T$369:$T$369</definedName>
    <definedName name="UnitOfMeasure205">'Бланк заказа'!$T$370:$T$370</definedName>
    <definedName name="UnitOfMeasure206">'Бланк заказа'!$T$371:$T$371</definedName>
    <definedName name="UnitOfMeasure207">'Бланк заказа'!$T$372:$T$372</definedName>
    <definedName name="UnitOfMeasure208">'Бланк заказа'!$T$373:$T$373</definedName>
    <definedName name="UnitOfMeasure209">'Бланк заказа'!$T$374:$T$374</definedName>
    <definedName name="UnitOfMeasure21">'Бланк заказа'!$T$67:$T$67</definedName>
    <definedName name="UnitOfMeasure210">'Бланк заказа'!$T$375:$T$375</definedName>
    <definedName name="UnitOfMeasure211">'Бланк заказа'!$T$376:$T$376</definedName>
    <definedName name="UnitOfMeasure212">'Бланк заказа'!$T$380:$T$380</definedName>
    <definedName name="UnitOfMeasure213">'Бланк заказа'!$T$381:$T$381</definedName>
    <definedName name="UnitOfMeasure214">'Бланк заказа'!$T$385:$T$385</definedName>
    <definedName name="UnitOfMeasure215">'Бланк заказа'!$T$386:$T$386</definedName>
    <definedName name="UnitOfMeasure216">'Бланк заказа'!$T$387:$T$387</definedName>
    <definedName name="UnitOfMeasure217">'Бланк заказа'!$T$388:$T$388</definedName>
    <definedName name="UnitOfMeasure218">'Бланк заказа'!$T$389:$T$389</definedName>
    <definedName name="UnitOfMeasure219">'Бланк заказа'!$T$390:$T$390</definedName>
    <definedName name="UnitOfMeasure22">'Бланк заказа'!$T$68:$T$68</definedName>
    <definedName name="UnitOfMeasure220">'Бланк заказа'!$T$394:$T$394</definedName>
    <definedName name="UnitOfMeasure221">'Бланк заказа'!$T$395:$T$395</definedName>
    <definedName name="UnitOfMeasure222">'Бланк заказа'!$T$401:$T$401</definedName>
    <definedName name="UnitOfMeasure223">'Бланк заказа'!$T$402:$T$402</definedName>
    <definedName name="UnitOfMeasure224">'Бланк заказа'!$T$406:$T$406</definedName>
    <definedName name="UnitOfMeasure225">'Бланк заказа'!$T$407:$T$407</definedName>
    <definedName name="UnitOfMeasure226">'Бланк заказа'!$T$411:$T$411</definedName>
    <definedName name="UnitOfMeasure227">'Бланк заказа'!$T$412:$T$412</definedName>
    <definedName name="UnitOfMeasure228">'Бланк заказа'!$T$416:$T$416</definedName>
    <definedName name="UnitOfMeasure229">'Бланк заказа'!$T$417:$T$417</definedName>
    <definedName name="UnitOfMeasure23">'Бланк заказа'!$T$69:$T$69</definedName>
    <definedName name="UnitOfMeasure230">'Бланк заказа'!$T$418:$T$418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заказа'!$T$157:$T$157</definedName>
    <definedName name="UnitOfMeasure84">'Бланк заказа'!$T$158:$T$158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/>
</workbook>
</file>

<file path=xl/calcChain.xml><?xml version="1.0" encoding="utf-8"?>
<calcChain xmlns="http://schemas.openxmlformats.org/spreadsheetml/2006/main">
  <c r="U423" i="1" l="1"/>
  <c r="U422" i="1"/>
  <c r="U424" i="1" s="1"/>
  <c r="U420" i="1"/>
  <c r="V419" i="1"/>
  <c r="U419" i="1"/>
  <c r="W418" i="1"/>
  <c r="V418" i="1"/>
  <c r="W417" i="1"/>
  <c r="V417" i="1"/>
  <c r="W416" i="1"/>
  <c r="W419" i="1" s="1"/>
  <c r="V416" i="1"/>
  <c r="V420" i="1" s="1"/>
  <c r="U414" i="1"/>
  <c r="U413" i="1"/>
  <c r="V412" i="1"/>
  <c r="W412" i="1" s="1"/>
  <c r="V411" i="1"/>
  <c r="U409" i="1"/>
  <c r="V408" i="1"/>
  <c r="U408" i="1"/>
  <c r="W407" i="1"/>
  <c r="V407" i="1"/>
  <c r="W406" i="1"/>
  <c r="V406" i="1"/>
  <c r="V409" i="1" s="1"/>
  <c r="U404" i="1"/>
  <c r="U403" i="1"/>
  <c r="V402" i="1"/>
  <c r="W402" i="1" s="1"/>
  <c r="V401" i="1"/>
  <c r="U397" i="1"/>
  <c r="U396" i="1"/>
  <c r="W395" i="1"/>
  <c r="V395" i="1"/>
  <c r="M395" i="1"/>
  <c r="V394" i="1"/>
  <c r="M394" i="1"/>
  <c r="U392" i="1"/>
  <c r="U391" i="1"/>
  <c r="V390" i="1"/>
  <c r="W390" i="1" s="1"/>
  <c r="V389" i="1"/>
  <c r="W389" i="1" s="1"/>
  <c r="V388" i="1"/>
  <c r="W388" i="1" s="1"/>
  <c r="V387" i="1"/>
  <c r="W387" i="1" s="1"/>
  <c r="M387" i="1"/>
  <c r="W386" i="1"/>
  <c r="V386" i="1"/>
  <c r="M386" i="1"/>
  <c r="V385" i="1"/>
  <c r="M385" i="1"/>
  <c r="U383" i="1"/>
  <c r="U382" i="1"/>
  <c r="V381" i="1"/>
  <c r="W381" i="1" s="1"/>
  <c r="V380" i="1"/>
  <c r="M380" i="1"/>
  <c r="U378" i="1"/>
  <c r="U377" i="1"/>
  <c r="V376" i="1"/>
  <c r="W376" i="1" s="1"/>
  <c r="V375" i="1"/>
  <c r="W375" i="1" s="1"/>
  <c r="M375" i="1"/>
  <c r="W374" i="1"/>
  <c r="V374" i="1"/>
  <c r="W373" i="1"/>
  <c r="V373" i="1"/>
  <c r="W372" i="1"/>
  <c r="V372" i="1"/>
  <c r="W371" i="1"/>
  <c r="V371" i="1"/>
  <c r="M371" i="1"/>
  <c r="V370" i="1"/>
  <c r="W370" i="1" s="1"/>
  <c r="M370" i="1"/>
  <c r="W369" i="1"/>
  <c r="V369" i="1"/>
  <c r="W368" i="1"/>
  <c r="V368" i="1"/>
  <c r="M368" i="1"/>
  <c r="V367" i="1"/>
  <c r="V378" i="1" s="1"/>
  <c r="M367" i="1"/>
  <c r="U363" i="1"/>
  <c r="U362" i="1"/>
  <c r="V361" i="1"/>
  <c r="W361" i="1" s="1"/>
  <c r="V360" i="1"/>
  <c r="W360" i="1" s="1"/>
  <c r="M360" i="1"/>
  <c r="W359" i="1"/>
  <c r="V359" i="1"/>
  <c r="M359" i="1"/>
  <c r="V358" i="1"/>
  <c r="M358" i="1"/>
  <c r="W357" i="1"/>
  <c r="V357" i="1"/>
  <c r="M357" i="1"/>
  <c r="U355" i="1"/>
  <c r="U354" i="1"/>
  <c r="W353" i="1"/>
  <c r="V353" i="1"/>
  <c r="M353" i="1"/>
  <c r="V352" i="1"/>
  <c r="M352" i="1"/>
  <c r="U349" i="1"/>
  <c r="U348" i="1"/>
  <c r="V347" i="1"/>
  <c r="U345" i="1"/>
  <c r="V344" i="1"/>
  <c r="U344" i="1"/>
  <c r="W343" i="1"/>
  <c r="V343" i="1"/>
  <c r="M343" i="1"/>
  <c r="V342" i="1"/>
  <c r="W342" i="1" s="1"/>
  <c r="M342" i="1"/>
  <c r="W341" i="1"/>
  <c r="V341" i="1"/>
  <c r="W340" i="1"/>
  <c r="V340" i="1"/>
  <c r="V345" i="1" s="1"/>
  <c r="M340" i="1"/>
  <c r="U338" i="1"/>
  <c r="U337" i="1"/>
  <c r="W336" i="1"/>
  <c r="V336" i="1"/>
  <c r="M336" i="1"/>
  <c r="V335" i="1"/>
  <c r="W335" i="1" s="1"/>
  <c r="M335" i="1"/>
  <c r="W334" i="1"/>
  <c r="V334" i="1"/>
  <c r="M334" i="1"/>
  <c r="V333" i="1"/>
  <c r="W333" i="1" s="1"/>
  <c r="M333" i="1"/>
  <c r="W332" i="1"/>
  <c r="V332" i="1"/>
  <c r="M332" i="1"/>
  <c r="V331" i="1"/>
  <c r="W331" i="1" s="1"/>
  <c r="M331" i="1"/>
  <c r="W330" i="1"/>
  <c r="V330" i="1"/>
  <c r="M330" i="1"/>
  <c r="V329" i="1"/>
  <c r="W329" i="1" s="1"/>
  <c r="V328" i="1"/>
  <c r="W328" i="1" s="1"/>
  <c r="V327" i="1"/>
  <c r="W327" i="1" s="1"/>
  <c r="V326" i="1"/>
  <c r="U324" i="1"/>
  <c r="V323" i="1"/>
  <c r="U323" i="1"/>
  <c r="W322" i="1"/>
  <c r="V322" i="1"/>
  <c r="W321" i="1"/>
  <c r="V321" i="1"/>
  <c r="V324" i="1" s="1"/>
  <c r="M321" i="1"/>
  <c r="U317" i="1"/>
  <c r="V316" i="1"/>
  <c r="U316" i="1"/>
  <c r="W315" i="1"/>
  <c r="W316" i="1" s="1"/>
  <c r="V315" i="1"/>
  <c r="V317" i="1" s="1"/>
  <c r="U313" i="1"/>
  <c r="W312" i="1"/>
  <c r="U312" i="1"/>
  <c r="V311" i="1"/>
  <c r="W311" i="1" s="1"/>
  <c r="V310" i="1"/>
  <c r="W310" i="1" s="1"/>
  <c r="M310" i="1"/>
  <c r="W309" i="1"/>
  <c r="V309" i="1"/>
  <c r="W308" i="1"/>
  <c r="V308" i="1"/>
  <c r="M308" i="1"/>
  <c r="U306" i="1"/>
  <c r="U305" i="1"/>
  <c r="W304" i="1"/>
  <c r="V304" i="1"/>
  <c r="M304" i="1"/>
  <c r="V303" i="1"/>
  <c r="M303" i="1"/>
  <c r="U301" i="1"/>
  <c r="U300" i="1"/>
  <c r="V299" i="1"/>
  <c r="W299" i="1" s="1"/>
  <c r="M299" i="1"/>
  <c r="W298" i="1"/>
  <c r="V298" i="1"/>
  <c r="W297" i="1"/>
  <c r="V297" i="1"/>
  <c r="M297" i="1"/>
  <c r="V296" i="1"/>
  <c r="V301" i="1" s="1"/>
  <c r="M296" i="1"/>
  <c r="U293" i="1"/>
  <c r="U292" i="1"/>
  <c r="V291" i="1"/>
  <c r="M291" i="1"/>
  <c r="U289" i="1"/>
  <c r="U288" i="1"/>
  <c r="V287" i="1"/>
  <c r="M287" i="1"/>
  <c r="U285" i="1"/>
  <c r="U284" i="1"/>
  <c r="V283" i="1"/>
  <c r="M283" i="1"/>
  <c r="U281" i="1"/>
  <c r="U280" i="1"/>
  <c r="V279" i="1"/>
  <c r="M279" i="1"/>
  <c r="W278" i="1"/>
  <c r="V278" i="1"/>
  <c r="M278" i="1"/>
  <c r="U276" i="1"/>
  <c r="U275" i="1"/>
  <c r="W274" i="1"/>
  <c r="V274" i="1"/>
  <c r="M274" i="1"/>
  <c r="V273" i="1"/>
  <c r="W273" i="1" s="1"/>
  <c r="M273" i="1"/>
  <c r="W272" i="1"/>
  <c r="V272" i="1"/>
  <c r="W271" i="1"/>
  <c r="V271" i="1"/>
  <c r="M271" i="1"/>
  <c r="V270" i="1"/>
  <c r="W270" i="1" s="1"/>
  <c r="M270" i="1"/>
  <c r="W269" i="1"/>
  <c r="V269" i="1"/>
  <c r="M269" i="1"/>
  <c r="V268" i="1"/>
  <c r="W268" i="1" s="1"/>
  <c r="M268" i="1"/>
  <c r="W267" i="1"/>
  <c r="V267" i="1"/>
  <c r="M267" i="1"/>
  <c r="V263" i="1"/>
  <c r="U263" i="1"/>
  <c r="V262" i="1"/>
  <c r="U262" i="1"/>
  <c r="W261" i="1"/>
  <c r="W262" i="1" s="1"/>
  <c r="V261" i="1"/>
  <c r="M261" i="1"/>
  <c r="V259" i="1"/>
  <c r="U259" i="1"/>
  <c r="V258" i="1"/>
  <c r="U258" i="1"/>
  <c r="W257" i="1"/>
  <c r="W258" i="1" s="1"/>
  <c r="V257" i="1"/>
  <c r="M257" i="1"/>
  <c r="U255" i="1"/>
  <c r="V254" i="1"/>
  <c r="U254" i="1"/>
  <c r="W253" i="1"/>
  <c r="V253" i="1"/>
  <c r="M253" i="1"/>
  <c r="V252" i="1"/>
  <c r="W252" i="1" s="1"/>
  <c r="M252" i="1"/>
  <c r="W251" i="1"/>
  <c r="W254" i="1" s="1"/>
  <c r="V251" i="1"/>
  <c r="V255" i="1" s="1"/>
  <c r="M251" i="1"/>
  <c r="U249" i="1"/>
  <c r="U248" i="1"/>
  <c r="W247" i="1"/>
  <c r="V247" i="1"/>
  <c r="M247" i="1"/>
  <c r="V246" i="1"/>
  <c r="M246" i="1"/>
  <c r="U243" i="1"/>
  <c r="U242" i="1"/>
  <c r="V241" i="1"/>
  <c r="M241" i="1"/>
  <c r="W240" i="1"/>
  <c r="V240" i="1"/>
  <c r="M240" i="1"/>
  <c r="U238" i="1"/>
  <c r="V237" i="1"/>
  <c r="U237" i="1"/>
  <c r="W236" i="1"/>
  <c r="V236" i="1"/>
  <c r="M236" i="1"/>
  <c r="V235" i="1"/>
  <c r="W235" i="1" s="1"/>
  <c r="M235" i="1"/>
  <c r="W234" i="1"/>
  <c r="V234" i="1"/>
  <c r="M234" i="1"/>
  <c r="V233" i="1"/>
  <c r="W233" i="1" s="1"/>
  <c r="M233" i="1"/>
  <c r="W232" i="1"/>
  <c r="V232" i="1"/>
  <c r="M232" i="1"/>
  <c r="V231" i="1"/>
  <c r="W231" i="1" s="1"/>
  <c r="M231" i="1"/>
  <c r="W230" i="1"/>
  <c r="V230" i="1"/>
  <c r="M230" i="1"/>
  <c r="U227" i="1"/>
  <c r="U226" i="1"/>
  <c r="W225" i="1"/>
  <c r="V225" i="1"/>
  <c r="M225" i="1"/>
  <c r="V224" i="1"/>
  <c r="W224" i="1" s="1"/>
  <c r="V223" i="1"/>
  <c r="W223" i="1" s="1"/>
  <c r="V222" i="1"/>
  <c r="M222" i="1"/>
  <c r="U220" i="1"/>
  <c r="U219" i="1"/>
  <c r="V218" i="1"/>
  <c r="W218" i="1" s="1"/>
  <c r="M218" i="1"/>
  <c r="W217" i="1"/>
  <c r="W219" i="1" s="1"/>
  <c r="V217" i="1"/>
  <c r="W216" i="1"/>
  <c r="V216" i="1"/>
  <c r="V219" i="1" s="1"/>
  <c r="U214" i="1"/>
  <c r="U213" i="1"/>
  <c r="V212" i="1"/>
  <c r="W212" i="1" s="1"/>
  <c r="V211" i="1"/>
  <c r="W211" i="1" s="1"/>
  <c r="V210" i="1"/>
  <c r="W210" i="1" s="1"/>
  <c r="V209" i="1"/>
  <c r="W209" i="1" s="1"/>
  <c r="M209" i="1"/>
  <c r="W208" i="1"/>
  <c r="V208" i="1"/>
  <c r="M208" i="1"/>
  <c r="V207" i="1"/>
  <c r="M207" i="1"/>
  <c r="U205" i="1"/>
  <c r="U204" i="1"/>
  <c r="V203" i="1"/>
  <c r="W203" i="1" s="1"/>
  <c r="V202" i="1"/>
  <c r="W202" i="1" s="1"/>
  <c r="M202" i="1"/>
  <c r="W201" i="1"/>
  <c r="V201" i="1"/>
  <c r="W200" i="1"/>
  <c r="V200" i="1"/>
  <c r="W199" i="1"/>
  <c r="V199" i="1"/>
  <c r="W198" i="1"/>
  <c r="V198" i="1"/>
  <c r="M198" i="1"/>
  <c r="V197" i="1"/>
  <c r="W197" i="1" s="1"/>
  <c r="M197" i="1"/>
  <c r="W196" i="1"/>
  <c r="V196" i="1"/>
  <c r="M196" i="1"/>
  <c r="V195" i="1"/>
  <c r="W195" i="1" s="1"/>
  <c r="V194" i="1"/>
  <c r="W194" i="1" s="1"/>
  <c r="V193" i="1"/>
  <c r="W193" i="1" s="1"/>
  <c r="V192" i="1"/>
  <c r="W192" i="1" s="1"/>
  <c r="M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M186" i="1"/>
  <c r="V185" i="1"/>
  <c r="W185" i="1" s="1"/>
  <c r="M185" i="1"/>
  <c r="W184" i="1"/>
  <c r="V184" i="1"/>
  <c r="M184" i="1"/>
  <c r="V183" i="1"/>
  <c r="W183" i="1" s="1"/>
  <c r="V182" i="1"/>
  <c r="W182" i="1" s="1"/>
  <c r="V181" i="1"/>
  <c r="U179" i="1"/>
  <c r="U178" i="1"/>
  <c r="W177" i="1"/>
  <c r="V177" i="1"/>
  <c r="M177" i="1"/>
  <c r="V176" i="1"/>
  <c r="W176" i="1" s="1"/>
  <c r="M176" i="1"/>
  <c r="W175" i="1"/>
  <c r="V175" i="1"/>
  <c r="M175" i="1"/>
  <c r="V174" i="1"/>
  <c r="W174" i="1" s="1"/>
  <c r="V173" i="1"/>
  <c r="W173" i="1" s="1"/>
  <c r="M173" i="1"/>
  <c r="W172" i="1"/>
  <c r="V172" i="1"/>
  <c r="M172" i="1"/>
  <c r="V171" i="1"/>
  <c r="W171" i="1" s="1"/>
  <c r="M171" i="1"/>
  <c r="W170" i="1"/>
  <c r="V170" i="1"/>
  <c r="W169" i="1"/>
  <c r="V169" i="1"/>
  <c r="W168" i="1"/>
  <c r="V168" i="1"/>
  <c r="W167" i="1"/>
  <c r="V167" i="1"/>
  <c r="W166" i="1"/>
  <c r="V166" i="1"/>
  <c r="M166" i="1"/>
  <c r="V165" i="1"/>
  <c r="W165" i="1" s="1"/>
  <c r="V164" i="1"/>
  <c r="W164" i="1" s="1"/>
  <c r="M164" i="1"/>
  <c r="W163" i="1"/>
  <c r="V163" i="1"/>
  <c r="M163" i="1"/>
  <c r="V162" i="1"/>
  <c r="V178" i="1" s="1"/>
  <c r="M162" i="1"/>
  <c r="U160" i="1"/>
  <c r="U159" i="1"/>
  <c r="V158" i="1"/>
  <c r="W158" i="1" s="1"/>
  <c r="V157" i="1"/>
  <c r="U155" i="1"/>
  <c r="U154" i="1"/>
  <c r="W153" i="1"/>
  <c r="V153" i="1"/>
  <c r="M153" i="1"/>
  <c r="V152" i="1"/>
  <c r="W152" i="1" s="1"/>
  <c r="M152" i="1"/>
  <c r="W151" i="1"/>
  <c r="V151" i="1"/>
  <c r="W150" i="1"/>
  <c r="V150" i="1"/>
  <c r="W149" i="1"/>
  <c r="V149" i="1"/>
  <c r="M149" i="1"/>
  <c r="V148" i="1"/>
  <c r="W148" i="1" s="1"/>
  <c r="M148" i="1"/>
  <c r="W147" i="1"/>
  <c r="V147" i="1"/>
  <c r="M147" i="1"/>
  <c r="V146" i="1"/>
  <c r="W146" i="1" s="1"/>
  <c r="M146" i="1"/>
  <c r="W145" i="1"/>
  <c r="V145" i="1"/>
  <c r="W144" i="1"/>
  <c r="V144" i="1"/>
  <c r="M144" i="1"/>
  <c r="V143" i="1"/>
  <c r="W143" i="1" s="1"/>
  <c r="M143" i="1"/>
  <c r="W142" i="1"/>
  <c r="V142" i="1"/>
  <c r="M142" i="1"/>
  <c r="V141" i="1"/>
  <c r="W141" i="1" s="1"/>
  <c r="M141" i="1"/>
  <c r="W140" i="1"/>
  <c r="V140" i="1"/>
  <c r="M140" i="1"/>
  <c r="V139" i="1"/>
  <c r="W139" i="1" s="1"/>
  <c r="M139" i="1"/>
  <c r="W138" i="1"/>
  <c r="V138" i="1"/>
  <c r="M138" i="1"/>
  <c r="V137" i="1"/>
  <c r="U134" i="1"/>
  <c r="V133" i="1"/>
  <c r="U133" i="1"/>
  <c r="W132" i="1"/>
  <c r="V132" i="1"/>
  <c r="M132" i="1"/>
  <c r="V131" i="1"/>
  <c r="W131" i="1" s="1"/>
  <c r="M131" i="1"/>
  <c r="W130" i="1"/>
  <c r="W133" i="1" s="1"/>
  <c r="V130" i="1"/>
  <c r="V134" i="1" s="1"/>
  <c r="M130" i="1"/>
  <c r="U126" i="1"/>
  <c r="V125" i="1"/>
  <c r="U125" i="1"/>
  <c r="W124" i="1"/>
  <c r="V124" i="1"/>
  <c r="M124" i="1"/>
  <c r="W123" i="1"/>
  <c r="V123" i="1"/>
  <c r="M123" i="1"/>
  <c r="W122" i="1"/>
  <c r="V122" i="1"/>
  <c r="M122" i="1"/>
  <c r="V121" i="1"/>
  <c r="M121" i="1"/>
  <c r="U118" i="1"/>
  <c r="U117" i="1"/>
  <c r="V116" i="1"/>
  <c r="W116" i="1" s="1"/>
  <c r="V115" i="1"/>
  <c r="W115" i="1" s="1"/>
  <c r="V114" i="1"/>
  <c r="W114" i="1" s="1"/>
  <c r="M114" i="1"/>
  <c r="W113" i="1"/>
  <c r="V113" i="1"/>
  <c r="M113" i="1"/>
  <c r="U111" i="1"/>
  <c r="U110" i="1"/>
  <c r="W109" i="1"/>
  <c r="V109" i="1"/>
  <c r="M109" i="1"/>
  <c r="W108" i="1"/>
  <c r="V108" i="1"/>
  <c r="V107" i="1"/>
  <c r="W107" i="1" s="1"/>
  <c r="W106" i="1"/>
  <c r="V106" i="1"/>
  <c r="V105" i="1"/>
  <c r="W105" i="1" s="1"/>
  <c r="M105" i="1"/>
  <c r="W104" i="1"/>
  <c r="V104" i="1"/>
  <c r="M104" i="1"/>
  <c r="V103" i="1"/>
  <c r="V111" i="1" s="1"/>
  <c r="U101" i="1"/>
  <c r="U100" i="1"/>
  <c r="V99" i="1"/>
  <c r="W99" i="1" s="1"/>
  <c r="M99" i="1"/>
  <c r="W98" i="1"/>
  <c r="V98" i="1"/>
  <c r="M98" i="1"/>
  <c r="W97" i="1"/>
  <c r="V97" i="1"/>
  <c r="M97" i="1"/>
  <c r="V96" i="1"/>
  <c r="W96" i="1" s="1"/>
  <c r="M96" i="1"/>
  <c r="V95" i="1"/>
  <c r="W95" i="1" s="1"/>
  <c r="M95" i="1"/>
  <c r="W94" i="1"/>
  <c r="V94" i="1"/>
  <c r="M94" i="1"/>
  <c r="W93" i="1"/>
  <c r="V93" i="1"/>
  <c r="M93" i="1"/>
  <c r="V92" i="1"/>
  <c r="W92" i="1" s="1"/>
  <c r="M92" i="1"/>
  <c r="V91" i="1"/>
  <c r="V101" i="1" s="1"/>
  <c r="M91" i="1"/>
  <c r="U89" i="1"/>
  <c r="U88" i="1"/>
  <c r="V87" i="1"/>
  <c r="W87" i="1" s="1"/>
  <c r="M87" i="1"/>
  <c r="W86" i="1"/>
  <c r="V86" i="1"/>
  <c r="M86" i="1"/>
  <c r="W85" i="1"/>
  <c r="V85" i="1"/>
  <c r="V84" i="1"/>
  <c r="W84" i="1" s="1"/>
  <c r="M84" i="1"/>
  <c r="W83" i="1"/>
  <c r="V83" i="1"/>
  <c r="V82" i="1"/>
  <c r="V89" i="1" s="1"/>
  <c r="M82" i="1"/>
  <c r="U80" i="1"/>
  <c r="U79" i="1"/>
  <c r="V78" i="1"/>
  <c r="W78" i="1" s="1"/>
  <c r="M78" i="1"/>
  <c r="V77" i="1"/>
  <c r="W77" i="1" s="1"/>
  <c r="M77" i="1"/>
  <c r="W76" i="1"/>
  <c r="V76" i="1"/>
  <c r="M76" i="1"/>
  <c r="W75" i="1"/>
  <c r="V75" i="1"/>
  <c r="M75" i="1"/>
  <c r="V74" i="1"/>
  <c r="W74" i="1" s="1"/>
  <c r="M74" i="1"/>
  <c r="V73" i="1"/>
  <c r="W73" i="1" s="1"/>
  <c r="M73" i="1"/>
  <c r="W72" i="1"/>
  <c r="V72" i="1"/>
  <c r="M72" i="1"/>
  <c r="W71" i="1"/>
  <c r="V71" i="1"/>
  <c r="M71" i="1"/>
  <c r="V70" i="1"/>
  <c r="W70" i="1" s="1"/>
  <c r="M70" i="1"/>
  <c r="V69" i="1"/>
  <c r="W69" i="1" s="1"/>
  <c r="M69" i="1"/>
  <c r="W68" i="1"/>
  <c r="V68" i="1"/>
  <c r="M68" i="1"/>
  <c r="W67" i="1"/>
  <c r="V67" i="1"/>
  <c r="V66" i="1"/>
  <c r="W66" i="1" s="1"/>
  <c r="M66" i="1"/>
  <c r="W65" i="1"/>
  <c r="V65" i="1"/>
  <c r="M65" i="1"/>
  <c r="W64" i="1"/>
  <c r="V64" i="1"/>
  <c r="M64" i="1"/>
  <c r="V63" i="1"/>
  <c r="V79" i="1" s="1"/>
  <c r="M63" i="1"/>
  <c r="U60" i="1"/>
  <c r="U59" i="1"/>
  <c r="V58" i="1"/>
  <c r="W58" i="1" s="1"/>
  <c r="W57" i="1"/>
  <c r="V57" i="1"/>
  <c r="M57" i="1"/>
  <c r="W56" i="1"/>
  <c r="V56" i="1"/>
  <c r="V60" i="1" s="1"/>
  <c r="M56" i="1"/>
  <c r="U53" i="1"/>
  <c r="U52" i="1"/>
  <c r="W51" i="1"/>
  <c r="V51" i="1"/>
  <c r="M51" i="1"/>
  <c r="V50" i="1"/>
  <c r="C431" i="1" s="1"/>
  <c r="M50" i="1"/>
  <c r="U46" i="1"/>
  <c r="U45" i="1"/>
  <c r="V44" i="1"/>
  <c r="V45" i="1" s="1"/>
  <c r="M44" i="1"/>
  <c r="U42" i="1"/>
  <c r="U41" i="1"/>
  <c r="V40" i="1"/>
  <c r="V41" i="1" s="1"/>
  <c r="M40" i="1"/>
  <c r="U38" i="1"/>
  <c r="U37" i="1"/>
  <c r="V36" i="1"/>
  <c r="W36" i="1" s="1"/>
  <c r="M36" i="1"/>
  <c r="V35" i="1"/>
  <c r="V37" i="1" s="1"/>
  <c r="M35" i="1"/>
  <c r="U33" i="1"/>
  <c r="V32" i="1"/>
  <c r="U32" i="1"/>
  <c r="V31" i="1"/>
  <c r="W31" i="1" s="1"/>
  <c r="M31" i="1"/>
  <c r="W30" i="1"/>
  <c r="V30" i="1"/>
  <c r="M30" i="1"/>
  <c r="W29" i="1"/>
  <c r="V29" i="1"/>
  <c r="V28" i="1"/>
  <c r="W28" i="1" s="1"/>
  <c r="M28" i="1"/>
  <c r="W27" i="1"/>
  <c r="V27" i="1"/>
  <c r="M27" i="1"/>
  <c r="W26" i="1"/>
  <c r="V26" i="1"/>
  <c r="V33" i="1" s="1"/>
  <c r="M26" i="1"/>
  <c r="V24" i="1"/>
  <c r="U24" i="1"/>
  <c r="U421" i="1" s="1"/>
  <c r="U23" i="1"/>
  <c r="U425" i="1" s="1"/>
  <c r="W22" i="1"/>
  <c r="W23" i="1" s="1"/>
  <c r="V22" i="1"/>
  <c r="V23" i="1" s="1"/>
  <c r="H10" i="1"/>
  <c r="A9" i="1"/>
  <c r="J9" i="1" s="1"/>
  <c r="D7" i="1"/>
  <c r="N6" i="1"/>
  <c r="M2" i="1"/>
  <c r="W59" i="1" l="1"/>
  <c r="W32" i="1"/>
  <c r="W117" i="1"/>
  <c r="V88" i="1"/>
  <c r="V100" i="1"/>
  <c r="V110" i="1"/>
  <c r="V117" i="1"/>
  <c r="V159" i="1"/>
  <c r="W157" i="1"/>
  <c r="W159" i="1" s="1"/>
  <c r="V204" i="1"/>
  <c r="W181" i="1"/>
  <c r="W204" i="1" s="1"/>
  <c r="V213" i="1"/>
  <c r="W207" i="1"/>
  <c r="W213" i="1" s="1"/>
  <c r="V214" i="1"/>
  <c r="V227" i="1"/>
  <c r="W222" i="1"/>
  <c r="W226" i="1" s="1"/>
  <c r="J431" i="1"/>
  <c r="V249" i="1"/>
  <c r="W246" i="1"/>
  <c r="W248" i="1" s="1"/>
  <c r="V306" i="1"/>
  <c r="W303" i="1"/>
  <c r="W305" i="1" s="1"/>
  <c r="V338" i="1"/>
  <c r="W326" i="1"/>
  <c r="W337" i="1" s="1"/>
  <c r="N431" i="1"/>
  <c r="V355" i="1"/>
  <c r="W352" i="1"/>
  <c r="W354" i="1" s="1"/>
  <c r="V382" i="1"/>
  <c r="W380" i="1"/>
  <c r="W382" i="1" s="1"/>
  <c r="P431" i="1"/>
  <c r="V403" i="1"/>
  <c r="W401" i="1"/>
  <c r="W403" i="1" s="1"/>
  <c r="A10" i="1"/>
  <c r="F9" i="1"/>
  <c r="F10" i="1"/>
  <c r="W40" i="1"/>
  <c r="W41" i="1" s="1"/>
  <c r="W44" i="1"/>
  <c r="W45" i="1" s="1"/>
  <c r="W50" i="1"/>
  <c r="W52" i="1" s="1"/>
  <c r="V53" i="1"/>
  <c r="W63" i="1"/>
  <c r="W79" i="1" s="1"/>
  <c r="W82" i="1"/>
  <c r="W88" i="1" s="1"/>
  <c r="W103" i="1"/>
  <c r="W110" i="1" s="1"/>
  <c r="W121" i="1"/>
  <c r="W125" i="1" s="1"/>
  <c r="F431" i="1"/>
  <c r="V126" i="1"/>
  <c r="H431" i="1"/>
  <c r="V155" i="1"/>
  <c r="W137" i="1"/>
  <c r="W154" i="1" s="1"/>
  <c r="V160" i="1"/>
  <c r="V248" i="1"/>
  <c r="V276" i="1"/>
  <c r="V275" i="1"/>
  <c r="V284" i="1"/>
  <c r="W283" i="1"/>
  <c r="W284" i="1" s="1"/>
  <c r="V285" i="1"/>
  <c r="V292" i="1"/>
  <c r="W291" i="1"/>
  <c r="W292" i="1" s="1"/>
  <c r="V293" i="1"/>
  <c r="V305" i="1"/>
  <c r="V354" i="1"/>
  <c r="V363" i="1"/>
  <c r="V383" i="1"/>
  <c r="V397" i="1"/>
  <c r="W394" i="1"/>
  <c r="W396" i="1" s="1"/>
  <c r="V404" i="1"/>
  <c r="V413" i="1"/>
  <c r="W411" i="1"/>
  <c r="W413" i="1" s="1"/>
  <c r="E431" i="1"/>
  <c r="W35" i="1"/>
  <c r="W37" i="1" s="1"/>
  <c r="V38" i="1"/>
  <c r="V421" i="1" s="1"/>
  <c r="V42" i="1"/>
  <c r="V46" i="1"/>
  <c r="V52" i="1"/>
  <c r="V425" i="1" s="1"/>
  <c r="V80" i="1"/>
  <c r="W91" i="1"/>
  <c r="W100" i="1" s="1"/>
  <c r="V154" i="1"/>
  <c r="V205" i="1"/>
  <c r="V220" i="1"/>
  <c r="V238" i="1"/>
  <c r="V242" i="1"/>
  <c r="W241" i="1"/>
  <c r="W242" i="1" s="1"/>
  <c r="V243" i="1"/>
  <c r="W275" i="1"/>
  <c r="V312" i="1"/>
  <c r="V313" i="1"/>
  <c r="W323" i="1"/>
  <c r="V348" i="1"/>
  <c r="W347" i="1"/>
  <c r="W348" i="1" s="1"/>
  <c r="V349" i="1"/>
  <c r="V396" i="1"/>
  <c r="V414" i="1"/>
  <c r="I431" i="1"/>
  <c r="H9" i="1"/>
  <c r="V423" i="1"/>
  <c r="B431" i="1"/>
  <c r="V422" i="1"/>
  <c r="D431" i="1"/>
  <c r="V59" i="1"/>
  <c r="V118" i="1"/>
  <c r="V179" i="1"/>
  <c r="W162" i="1"/>
  <c r="W178" i="1" s="1"/>
  <c r="V226" i="1"/>
  <c r="W237" i="1"/>
  <c r="V280" i="1"/>
  <c r="W279" i="1"/>
  <c r="W280" i="1" s="1"/>
  <c r="V281" i="1"/>
  <c r="V288" i="1"/>
  <c r="W287" i="1"/>
  <c r="W288" i="1" s="1"/>
  <c r="V289" i="1"/>
  <c r="L431" i="1"/>
  <c r="V300" i="1"/>
  <c r="W296" i="1"/>
  <c r="W300" i="1" s="1"/>
  <c r="V337" i="1"/>
  <c r="W344" i="1"/>
  <c r="W358" i="1"/>
  <c r="W362" i="1" s="1"/>
  <c r="V362" i="1"/>
  <c r="V377" i="1"/>
  <c r="W367" i="1"/>
  <c r="W377" i="1" s="1"/>
  <c r="O431" i="1"/>
  <c r="W385" i="1"/>
  <c r="W391" i="1" s="1"/>
  <c r="V391" i="1"/>
  <c r="V392" i="1"/>
  <c r="W408" i="1"/>
  <c r="M431" i="1"/>
  <c r="G431" i="1"/>
  <c r="K431" i="1"/>
  <c r="W426" i="1" l="1"/>
  <c r="V424" i="1"/>
</calcChain>
</file>

<file path=xl/sharedStrings.xml><?xml version="1.0" encoding="utf-8"?>
<sst xmlns="http://schemas.openxmlformats.org/spreadsheetml/2006/main" count="1660" uniqueCount="687">
  <si>
    <t xml:space="preserve">  БЛАНК ЗАКАЗА </t>
  </si>
  <si>
    <t>КИ</t>
  </si>
  <si>
    <t>на отгрузку продукции с ООО Трейд-Сервис с</t>
  </si>
  <si>
    <t>31.07.2023</t>
  </si>
  <si>
    <t>бланк создан</t>
  </si>
  <si>
    <t>28.07.2023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</si>
  <si>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</si>
  <si>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</si>
  <si>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</si>
  <si>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</si>
  <si>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</si>
  <si>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</si>
  <si>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Адрес доставки: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</si>
  <si>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</si>
  <si>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</si>
  <si>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</si>
  <si>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</si>
  <si>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</si>
  <si>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</si>
  <si>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</si>
  <si>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</si>
  <si>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</si>
  <si>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</si>
  <si>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</si>
  <si>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</si>
  <si>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</si>
  <si>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</si>
  <si>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</si>
  <si>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</si>
  <si>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</si>
  <si>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</si>
  <si>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</si>
  <si>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</si>
  <si>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</si>
  <si>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</si>
  <si>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</si>
  <si>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</si>
  <si>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</si>
  <si>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</si>
  <si>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</si>
  <si>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</si>
  <si>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</si>
  <si>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</si>
  <si>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</si>
  <si>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</si>
  <si>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</si>
  <si>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</si>
  <si>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</si>
  <si>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</si>
  <si>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</si>
  <si>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</si>
  <si>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</si>
  <si>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</si>
  <si>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</si>
  <si>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</si>
  <si>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</si>
  <si>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</si>
  <si>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</si>
  <si>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</si>
  <si>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</si>
  <si>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</si>
  <si>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</si>
  <si>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</si>
  <si>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</si>
  <si>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</si>
  <si>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</si>
  <si>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</si>
  <si>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</si>
  <si>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</si>
  <si>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</si>
  <si>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</si>
  <si>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</si>
  <si>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</si>
  <si>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</si>
  <si>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</si>
  <si>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</si>
  <si>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</si>
  <si>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</si>
  <si>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</si>
  <si>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</si>
  <si>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</si>
  <si>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</si>
  <si>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</si>
  <si>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</si>
  <si>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</si>
  <si>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</si>
  <si>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</si>
  <si>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</si>
  <si>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</si>
  <si>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</si>
  <si>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</si>
  <si>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</si>
  <si>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</si>
  <si>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</si>
  <si>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</si>
  <si>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</si>
  <si>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</si>
  <si>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</si>
  <si>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</si>
  <si>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</si>
  <si>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</si>
  <si>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</si>
  <si>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</si>
  <si>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</si>
  <si>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</si>
  <si>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</si>
  <si>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</si>
  <si>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</si>
  <si>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</si>
  <si>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</si>
  <si>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</si>
  <si>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</si>
  <si>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</si>
  <si>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</si>
  <si>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</si>
  <si>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</si>
  <si>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</si>
  <si>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</si>
  <si>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</si>
  <si>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</si>
  <si>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</si>
  <si>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</si>
  <si>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</si>
  <si>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</si>
  <si>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</si>
  <si>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SU001485</t>
  </si>
  <si>
    <t>P003008</t>
  </si>
  <si>
    <t>СК3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</si>
  <si>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</si>
  <si>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</si>
  <si>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</si>
  <si>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</si>
  <si>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</si>
  <si>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</si>
  <si>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</si>
  <si>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</si>
  <si>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</si>
  <si>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</si>
  <si>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</si>
  <si>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</si>
  <si>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</si>
  <si>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</si>
  <si>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</si>
  <si>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</si>
  <si>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</si>
  <si>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</si>
  <si>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</si>
  <si>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</si>
  <si>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</si>
  <si>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</si>
  <si>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</si>
  <si>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</si>
  <si>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</si>
  <si>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</si>
  <si>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</si>
  <si>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</si>
  <si>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</si>
  <si>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</si>
  <si>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</si>
  <si>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</si>
  <si>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</si>
  <si>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</si>
  <si>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</si>
  <si>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</si>
  <si>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</si>
  <si>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</si>
  <si>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</si>
  <si>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</si>
  <si>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</si>
  <si>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</si>
  <si>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</si>
  <si>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</si>
  <si>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</si>
  <si>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</si>
  <si>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</si>
  <si>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</si>
  <si>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</si>
  <si>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</si>
  <si>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</si>
  <si>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</si>
  <si>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</si>
  <si>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</si>
  <si>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</si>
  <si>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</si>
  <si>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</si>
  <si>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</si>
  <si>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</si>
  <si>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</si>
  <si>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</si>
  <si>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</si>
  <si>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</si>
  <si>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</si>
  <si>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</si>
  <si>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</si>
  <si>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</si>
  <si>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</si>
  <si>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</si>
  <si>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</si>
  <si>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</si>
  <si>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SU001831</t>
  </si>
  <si>
    <t>P002042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</si>
  <si>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</si>
  <si>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</si>
  <si>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</si>
  <si>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</si>
  <si>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</si>
  <si>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</si>
  <si>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</si>
  <si>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</si>
  <si>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</si>
  <si>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</si>
  <si>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</si>
  <si>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</si>
  <si>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</si>
  <si>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</si>
  <si>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</si>
  <si>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</si>
  <si>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</si>
  <si>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</si>
  <si>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</si>
  <si>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</si>
  <si>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</si>
  <si>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</si>
  <si>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</si>
  <si>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</si>
  <si>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SU002787</t>
  </si>
  <si>
    <t>P003189</t>
  </si>
  <si>
    <t>Вареные колбасы "Молочная с нежным филе" Фикс.вес 0,4 кг п/а ТМ "Особый рецепт"</t>
  </si>
  <si>
    <t>Новинка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</si>
  <si>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</si>
  <si>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</si>
  <si>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</si>
  <si>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</si>
  <si>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</si>
  <si>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</si>
  <si>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</si>
  <si>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</si>
  <si>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</si>
  <si>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</si>
  <si>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</si>
  <si>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</si>
  <si>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</si>
  <si>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</si>
  <si>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</si>
  <si>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</si>
  <si>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</si>
  <si>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</si>
  <si>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</si>
  <si>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</si>
  <si>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</si>
  <si>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</si>
  <si>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</si>
  <si>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</si>
  <si>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</si>
  <si>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</si>
  <si>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</si>
  <si>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</si>
  <si>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</si>
  <si>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</si>
  <si>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</si>
  <si>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</si>
  <si>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</si>
  <si>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</si>
  <si>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</si>
  <si>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</si>
  <si>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</si>
  <si>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</si>
  <si>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</si>
  <si>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</si>
  <si>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</si>
  <si>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</si>
  <si>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</si>
  <si>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</si>
  <si>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</si>
  <si>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</si>
  <si>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</si>
  <si>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</si>
  <si>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</si>
  <si>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</si>
  <si>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</si>
  <si>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</si>
  <si>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</si>
  <si>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</si>
  <si>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</si>
  <si>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</si>
  <si>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</si>
  <si>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</si>
  <si>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</si>
  <si>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</si>
  <si>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</si>
  <si>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</si>
  <si>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</si>
  <si>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</si>
  <si>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</si>
  <si>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</si>
  <si>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</si>
  <si>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</si>
  <si>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</si>
  <si>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</si>
  <si>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</si>
  <si>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</si>
  <si>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</si>
  <si>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</si>
  <si>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</si>
  <si>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</si>
  <si>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</si>
  <si>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</si>
  <si>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SU002992</t>
  </si>
  <si>
    <t>P003443</t>
  </si>
  <si>
    <t>Сосиски "Сочинки с сочной грудинкой" Фикс.вес 0,3 П/а мгс ТМ "Стародворье"</t>
  </si>
  <si>
    <t>SU003073</t>
  </si>
  <si>
    <t>P003613</t>
  </si>
  <si>
    <t>Сосиски "Сочинки с сыром" ф/в 0,3 кг п/а ТМ "Стародворье"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</si>
  <si>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</si>
  <si>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</si>
  <si>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</si>
  <si>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</si>
  <si>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</si>
  <si>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</si>
  <si>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</si>
  <si>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</si>
  <si>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</si>
  <si>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</si>
  <si>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</si>
  <si>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</si>
  <si>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</si>
  <si>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</si>
  <si>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</si>
  <si>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</si>
  <si>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</si>
  <si>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</si>
  <si>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</si>
  <si>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</si>
  <si>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</si>
  <si>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</si>
  <si>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</si>
  <si>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</si>
  <si>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</si>
  <si>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</si>
  <si>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</si>
  <si>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</si>
  <si>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</si>
  <si>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</si>
  <si>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</si>
  <si>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</si>
  <si>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</si>
  <si>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</si>
  <si>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</si>
  <si>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</si>
  <si>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</si>
  <si>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</si>
  <si>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</si>
  <si>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</si>
  <si>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</si>
  <si>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</si>
  <si>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</si>
  <si>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</si>
  <si>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</si>
  <si>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</si>
  <si>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</si>
  <si>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</si>
  <si>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</si>
  <si>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</si>
  <si>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</si>
  <si>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</si>
  <si>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</si>
  <si>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</si>
  <si>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</si>
  <si>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</si>
  <si>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</si>
  <si>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</si>
  <si>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</si>
  <si>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</si>
  <si>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</si>
  <si>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</si>
  <si>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</si>
  <si>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</si>
  <si>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</si>
  <si>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</si>
  <si>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</si>
  <si>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</si>
  <si>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</si>
  <si>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</si>
  <si>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</si>
  <si>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</si>
  <si>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</si>
  <si>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</si>
  <si>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</si>
  <si>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</si>
  <si>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</si>
  <si>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</si>
  <si>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</si>
  <si>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SU002369</t>
  </si>
  <si>
    <t>P002649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</si>
  <si>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</si>
  <si>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</si>
  <si>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</si>
  <si>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</si>
  <si>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</si>
  <si>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</si>
  <si>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</si>
  <si>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</si>
  <si>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</si>
  <si>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</si>
  <si>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</si>
  <si>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</si>
  <si>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</si>
  <si>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</si>
  <si>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</si>
  <si>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</si>
  <si>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</si>
  <si>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</si>
  <si>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</si>
  <si>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</si>
  <si>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</si>
  <si>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</si>
  <si>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</si>
  <si>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</si>
  <si>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</si>
  <si>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</si>
  <si>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</si>
  <si>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</si>
  <si>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</si>
  <si>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</si>
  <si>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</si>
  <si>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</si>
  <si>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</si>
  <si>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</si>
  <si>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</si>
  <si>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</si>
  <si>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</si>
  <si>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</si>
  <si>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</si>
  <si>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</si>
  <si>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</si>
  <si>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</si>
  <si>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</si>
  <si>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</si>
  <si>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</si>
  <si>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</si>
  <si>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</si>
  <si>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</si>
  <si>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</si>
  <si>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</si>
  <si>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</si>
  <si>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</si>
  <si>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</si>
  <si>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</si>
  <si>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</si>
  <si>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</si>
  <si>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</si>
  <si>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</si>
  <si>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</si>
  <si>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</si>
  <si>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</si>
  <si>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</si>
  <si>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</si>
  <si>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</si>
  <si>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</si>
  <si>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</si>
  <si>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</si>
  <si>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</si>
  <si>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</si>
  <si>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</si>
  <si>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</si>
  <si>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</si>
  <si>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</si>
  <si>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</si>
  <si>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</si>
  <si>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</si>
  <si>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</si>
  <si>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</si>
  <si>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</si>
  <si>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</si>
  <si>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</si>
  <si>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</si>
  <si>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</si>
  <si>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</si>
  <si>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</si>
  <si>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</si>
  <si>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</si>
  <si>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</si>
  <si>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</si>
  <si>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</si>
  <si>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</si>
  <si>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</si>
  <si>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</si>
  <si>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</si>
  <si>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</si>
  <si>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</si>
  <si>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</si>
  <si>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</si>
  <si>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</si>
  <si>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</si>
  <si>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</si>
  <si>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SU003083</t>
  </si>
  <si>
    <t>P003646</t>
  </si>
  <si>
    <t>В/к колбасы "Салями Филейбургская зернистая" срез Фикс.вес 0,28 фиброуз ТМ "Баварушка"</t>
  </si>
  <si>
    <t>01.08.2023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</si>
  <si>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</si>
  <si>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</si>
  <si>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</si>
  <si>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</si>
  <si>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</si>
  <si>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</si>
  <si>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</si>
  <si>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</si>
  <si>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</si>
  <si>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</si>
  <si>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</si>
  <si>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</si>
  <si>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</si>
  <si>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</si>
  <si>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</si>
  <si>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</si>
  <si>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</si>
  <si>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</si>
  <si>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</si>
  <si>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</si>
  <si>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</si>
  <si>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</si>
  <si>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</si>
  <si>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</si>
  <si>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</si>
  <si>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</si>
  <si>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</si>
  <si>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</si>
  <si>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</si>
  <si>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</si>
  <si>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</si>
  <si>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</si>
  <si>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</si>
  <si>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</si>
  <si>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</si>
  <si>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</si>
  <si>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</si>
  <si>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</si>
  <si>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</si>
  <si>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</si>
  <si>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</si>
  <si>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</si>
  <si>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</si>
  <si>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</si>
  <si>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</si>
  <si>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</si>
  <si>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</si>
  <si>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</si>
  <si>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</si>
  <si>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</si>
  <si>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</si>
  <si>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</si>
  <si>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</si>
  <si>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</si>
  <si>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</si>
  <si>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</si>
  <si>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</si>
  <si>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</si>
  <si>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</si>
  <si>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</si>
  <si>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</si>
  <si>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</si>
  <si>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</si>
  <si>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</si>
  <si>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</si>
  <si>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</si>
  <si>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</si>
  <si>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</si>
  <si>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</si>
  <si>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</si>
  <si>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</si>
  <si>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</si>
  <si>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</si>
  <si>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</si>
  <si>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</si>
  <si>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</si>
  <si>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</si>
  <si>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</si>
  <si>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</si>
  <si>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</si>
  <si>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</si>
  <si>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</si>
  <si>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</si>
  <si>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P003249</t>
  </si>
  <si>
    <t>SU002158</t>
  </si>
  <si>
    <t>P003152</t>
  </si>
  <si>
    <t>SU002151</t>
  </si>
  <si>
    <t>P003153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</si>
  <si>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</si>
  <si>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</si>
  <si>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</si>
  <si>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</si>
  <si>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</si>
  <si>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</si>
  <si>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</si>
  <si>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</si>
  <si>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</si>
  <si>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</si>
  <si>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</si>
  <si>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</si>
  <si>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</si>
  <si>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</si>
  <si>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</si>
  <si>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</si>
  <si>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</si>
  <si>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</si>
  <si>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</si>
  <si>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</si>
  <si>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</si>
  <si>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</si>
  <si>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</si>
  <si>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</si>
  <si>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</si>
  <si>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</si>
  <si>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</si>
  <si>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</si>
  <si>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</si>
  <si>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</si>
  <si>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</si>
  <si>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</si>
  <si>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</si>
  <si>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</si>
  <si>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</si>
  <si>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</si>
  <si>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</si>
  <si>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</si>
  <si>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</si>
  <si>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</si>
  <si>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</si>
  <si>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</si>
  <si>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</si>
  <si>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</si>
  <si>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</si>
  <si>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</si>
  <si>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</si>
  <si>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</si>
  <si>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</si>
  <si>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</si>
  <si>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</si>
  <si>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</si>
  <si>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</si>
  <si>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</si>
  <si>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</si>
  <si>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</si>
  <si>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</si>
  <si>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</si>
  <si>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</si>
  <si>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</si>
  <si>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</si>
  <si>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</si>
  <si>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</si>
  <si>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</si>
  <si>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</si>
  <si>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</si>
  <si>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</si>
  <si>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</si>
  <si>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</si>
  <si>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</si>
  <si>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</si>
  <si>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</si>
  <si>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</si>
  <si>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</si>
  <si>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</si>
  <si>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</si>
  <si>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</si>
  <si>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</si>
  <si>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</si>
  <si>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</si>
  <si>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</si>
  <si>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</si>
  <si>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</si>
  <si>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</si>
  <si>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</si>
  <si>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</si>
  <si>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</si>
  <si>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</si>
  <si>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</si>
  <si>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</si>
  <si>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</si>
  <si>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</si>
  <si>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</si>
  <si>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</si>
  <si>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</si>
  <si>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</si>
  <si>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</si>
  <si>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</si>
  <si>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</si>
  <si>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первым подписать бердянск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</si>
</sst>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1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1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31"/>
  <sheetViews>
    <sheetView showGridLines="0" tabSelected="1" topLeftCell="F1" zoomScaleNormal="100" zoomScaleSheetLayoutView="100" workbookViewId="0">
      <selection activeCell="U26" sqref="U26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3" customFormat="1" ht="45" customHeight="1" x14ac:dyDescent="0.2">
      <c r="A1" s="42"/>
      <c r="B1" s="42"/>
      <c r="C1" s="42"/>
      <c r="D1" s="299" t="s">
        <v>0</v>
      </c>
      <c r="E1" s="300"/>
      <c r="F1" s="300"/>
      <c r="G1" s="13" t="s">
        <v>1</v>
      </c>
      <c r="H1" s="299" t="s">
        <v>2</v>
      </c>
      <c r="I1" s="300"/>
      <c r="J1" s="300"/>
      <c r="K1" s="300"/>
      <c r="L1" s="300"/>
      <c r="M1" s="300"/>
      <c r="N1" s="300"/>
      <c r="O1" s="301" t="s">
        <v>3</v>
      </c>
      <c r="P1" s="300"/>
      <c r="Q1" s="30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0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03"/>
      <c r="O2" s="303"/>
      <c r="P2" s="303"/>
      <c r="Q2" s="303"/>
      <c r="R2" s="303"/>
      <c r="S2" s="303"/>
      <c r="T2" s="303"/>
      <c r="U2" s="17"/>
      <c r="V2" s="17"/>
      <c r="W2" s="17"/>
      <c r="X2" s="17"/>
      <c r="Y2" s="52"/>
      <c r="Z2" s="52"/>
      <c r="AA2" s="52"/>
    </row>
    <row r="3" spans="1:28" s="29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03"/>
      <c r="N3" s="303"/>
      <c r="O3" s="303"/>
      <c r="P3" s="303"/>
      <c r="Q3" s="303"/>
      <c r="R3" s="303"/>
      <c r="S3" s="303"/>
      <c r="T3" s="303"/>
      <c r="U3" s="17"/>
      <c r="V3" s="17"/>
      <c r="W3" s="17"/>
      <c r="X3" s="17"/>
      <c r="Y3" s="52"/>
      <c r="Z3" s="52"/>
      <c r="AA3" s="52"/>
    </row>
    <row r="4" spans="1:28" s="29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3" customFormat="1" ht="23.45" customHeight="1" x14ac:dyDescent="0.2">
      <c r="A5" s="304" t="s">
        <v>8</v>
      </c>
      <c r="B5" s="305"/>
      <c r="C5" s="306"/>
      <c r="D5" s="307"/>
      <c r="E5" s="308"/>
      <c r="F5" s="309" t="s">
        <v>9</v>
      </c>
      <c r="G5" s="306"/>
      <c r="H5" s="307" t="s">
        <v>686</v>
      </c>
      <c r="I5" s="310"/>
      <c r="J5" s="310"/>
      <c r="K5" s="308"/>
      <c r="M5" s="25" t="s">
        <v>10</v>
      </c>
      <c r="N5" s="311">
        <v>45143</v>
      </c>
      <c r="O5" s="312"/>
      <c r="Q5" s="313" t="s">
        <v>11</v>
      </c>
      <c r="R5" s="314"/>
      <c r="S5" s="315" t="s">
        <v>642</v>
      </c>
      <c r="T5" s="312"/>
      <c r="Y5" s="52"/>
      <c r="Z5" s="52"/>
      <c r="AA5" s="52"/>
    </row>
    <row r="6" spans="1:28" s="293" customFormat="1" ht="24" customHeight="1" x14ac:dyDescent="0.2">
      <c r="A6" s="304" t="s">
        <v>12</v>
      </c>
      <c r="B6" s="305"/>
      <c r="C6" s="306"/>
      <c r="D6" s="316" t="s">
        <v>652</v>
      </c>
      <c r="E6" s="317"/>
      <c r="F6" s="317"/>
      <c r="G6" s="317"/>
      <c r="H6" s="317"/>
      <c r="I6" s="317"/>
      <c r="J6" s="317"/>
      <c r="K6" s="312"/>
      <c r="M6" s="25" t="s">
        <v>13</v>
      </c>
      <c r="N6" s="318" t="str">
        <f>IF(N5=0," ",CHOOSE(WEEKDAY(N5,2),"Понедельник","Вторник","Среда","Четверг","Пятница","Суббота","Воскресенье"))</f>
        <v>Суббота</v>
      </c>
      <c r="O6" s="319"/>
      <c r="Q6" s="320" t="s">
        <v>14</v>
      </c>
      <c r="R6" s="314"/>
      <c r="S6" s="321" t="s">
        <v>15</v>
      </c>
      <c r="T6" s="322"/>
      <c r="Y6" s="52"/>
      <c r="Z6" s="52"/>
      <c r="AA6" s="52"/>
    </row>
    <row r="7" spans="1:28" s="293" customFormat="1" ht="21.75" hidden="1" customHeight="1" x14ac:dyDescent="0.2">
      <c r="A7" s="56"/>
      <c r="B7" s="56"/>
      <c r="C7" s="56"/>
      <c r="D7" s="327" t="str">
        <f>IFERROR(VLOOKUP(DeliveryAddress,Table,3,0),1)</f>
        <v>4</v>
      </c>
      <c r="E7" s="328"/>
      <c r="F7" s="328"/>
      <c r="G7" s="328"/>
      <c r="H7" s="328"/>
      <c r="I7" s="328"/>
      <c r="J7" s="328"/>
      <c r="K7" s="329"/>
      <c r="M7" s="25"/>
      <c r="N7" s="43"/>
      <c r="O7" s="43"/>
      <c r="Q7" s="303"/>
      <c r="R7" s="314"/>
      <c r="S7" s="323"/>
      <c r="T7" s="324"/>
      <c r="Y7" s="52"/>
      <c r="Z7" s="52"/>
      <c r="AA7" s="52"/>
    </row>
    <row r="8" spans="1:28" s="293" customFormat="1" ht="25.5" customHeight="1" x14ac:dyDescent="0.2">
      <c r="A8" s="330" t="s">
        <v>16</v>
      </c>
      <c r="B8" s="331"/>
      <c r="C8" s="332"/>
      <c r="D8" s="333"/>
      <c r="E8" s="334"/>
      <c r="F8" s="334"/>
      <c r="G8" s="334"/>
      <c r="H8" s="334"/>
      <c r="I8" s="334"/>
      <c r="J8" s="334"/>
      <c r="K8" s="335"/>
      <c r="M8" s="25" t="s">
        <v>17</v>
      </c>
      <c r="N8" s="336">
        <v>0.41666666666666669</v>
      </c>
      <c r="O8" s="312"/>
      <c r="Q8" s="303"/>
      <c r="R8" s="314"/>
      <c r="S8" s="323"/>
      <c r="T8" s="324"/>
      <c r="Y8" s="52"/>
      <c r="Z8" s="52"/>
      <c r="AA8" s="52"/>
    </row>
    <row r="9" spans="1:28" s="293" customFormat="1" ht="39.950000000000003" customHeight="1" x14ac:dyDescent="0.2">
      <c r="A9" s="33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03"/>
      <c r="C9" s="303"/>
      <c r="D9" s="338"/>
      <c r="E9" s="339"/>
      <c r="F9" s="33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03"/>
      <c r="H9" s="340" t="str">
        <f>IF(AND($A$9="Тип доверенности/получателя при получении в адресе перегруза:",$D$9="Разовая доверенность"),"Введите ФИО","")</f>
        <v/>
      </c>
      <c r="I9" s="339"/>
      <c r="J9" s="34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9"/>
      <c r="M9" s="27" t="s">
        <v>18</v>
      </c>
      <c r="N9" s="311"/>
      <c r="O9" s="312"/>
      <c r="Q9" s="303"/>
      <c r="R9" s="314"/>
      <c r="S9" s="325"/>
      <c r="T9" s="326"/>
      <c r="U9" s="44"/>
      <c r="V9" s="44"/>
      <c r="W9" s="44"/>
      <c r="X9" s="44"/>
      <c r="Y9" s="52"/>
      <c r="Z9" s="52"/>
      <c r="AA9" s="52"/>
    </row>
    <row r="10" spans="1:28" s="293" customFormat="1" ht="26.45" customHeight="1" x14ac:dyDescent="0.2">
      <c r="A10" s="33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03"/>
      <c r="C10" s="303"/>
      <c r="D10" s="338"/>
      <c r="E10" s="339"/>
      <c r="F10" s="33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03"/>
      <c r="H10" s="341" t="str">
        <f>IFERROR(VLOOKUP($D$10,Proxy,2,FALSE),"")</f>
        <v/>
      </c>
      <c r="I10" s="303"/>
      <c r="J10" s="303"/>
      <c r="K10" s="303"/>
      <c r="M10" s="27" t="s">
        <v>19</v>
      </c>
      <c r="N10" s="336"/>
      <c r="O10" s="312"/>
      <c r="R10" s="25" t="s">
        <v>20</v>
      </c>
      <c r="S10" s="342" t="s">
        <v>21</v>
      </c>
      <c r="T10" s="322"/>
      <c r="U10" s="45"/>
      <c r="V10" s="45"/>
      <c r="W10" s="45"/>
      <c r="X10" s="45"/>
      <c r="Y10" s="52"/>
      <c r="Z10" s="52"/>
      <c r="AA10" s="52"/>
    </row>
    <row r="11" spans="1:28" s="293" customFormat="1" ht="15.95" customHeight="1" x14ac:dyDescent="0.2">
      <c r="A11" s="29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23</v>
      </c>
      <c r="N11" s="336"/>
      <c r="O11" s="312"/>
      <c r="R11" s="25" t="s">
        <v>24</v>
      </c>
      <c r="S11" s="343" t="s">
        <v>25</v>
      </c>
      <c r="T11" s="344"/>
      <c r="U11" s="46"/>
      <c r="V11" s="46"/>
      <c r="W11" s="46"/>
      <c r="X11" s="46"/>
      <c r="Y11" s="52"/>
      <c r="Z11" s="52"/>
      <c r="AA11" s="52"/>
    </row>
    <row r="12" spans="1:28" s="293" customFormat="1" ht="18.600000000000001" customHeight="1" x14ac:dyDescent="0.2">
      <c r="A12" s="345" t="s">
        <v>26</v>
      </c>
      <c r="B12" s="305"/>
      <c r="C12" s="305"/>
      <c r="D12" s="305"/>
      <c r="E12" s="305"/>
      <c r="F12" s="305"/>
      <c r="G12" s="305"/>
      <c r="H12" s="305"/>
      <c r="I12" s="305"/>
      <c r="J12" s="305"/>
      <c r="K12" s="306"/>
      <c r="M12" s="25" t="s">
        <v>27</v>
      </c>
      <c r="N12" s="346"/>
      <c r="O12" s="329"/>
      <c r="P12" s="24"/>
      <c r="R12" s="25"/>
      <c r="S12" s="300"/>
      <c r="T12" s="303"/>
      <c r="Y12" s="52"/>
      <c r="Z12" s="52"/>
      <c r="AA12" s="52"/>
    </row>
    <row r="13" spans="1:28" s="293" customFormat="1" ht="23.25" customHeight="1" x14ac:dyDescent="0.2">
      <c r="A13" s="345" t="s">
        <v>28</v>
      </c>
      <c r="B13" s="305"/>
      <c r="C13" s="305"/>
      <c r="D13" s="305"/>
      <c r="E13" s="305"/>
      <c r="F13" s="305"/>
      <c r="G13" s="305"/>
      <c r="H13" s="305"/>
      <c r="I13" s="305"/>
      <c r="J13" s="305"/>
      <c r="K13" s="306"/>
      <c r="L13" s="27"/>
      <c r="M13" s="27" t="s">
        <v>29</v>
      </c>
      <c r="N13" s="343"/>
      <c r="O13" s="344"/>
      <c r="P13" s="24"/>
      <c r="U13" s="50"/>
      <c r="V13" s="50"/>
      <c r="W13" s="50"/>
      <c r="X13" s="50"/>
      <c r="Y13" s="52"/>
      <c r="Z13" s="52"/>
      <c r="AA13" s="52"/>
    </row>
    <row r="14" spans="1:28" s="293" customFormat="1" ht="18.600000000000001" customHeight="1" x14ac:dyDescent="0.2">
      <c r="A14" s="345" t="s">
        <v>30</v>
      </c>
      <c r="B14" s="305"/>
      <c r="C14" s="305"/>
      <c r="D14" s="305"/>
      <c r="E14" s="305"/>
      <c r="F14" s="305"/>
      <c r="G14" s="305"/>
      <c r="H14" s="305"/>
      <c r="I14" s="305"/>
      <c r="J14" s="305"/>
      <c r="K14" s="306"/>
      <c r="U14" s="51"/>
      <c r="V14" s="51"/>
      <c r="W14" s="51"/>
      <c r="X14" s="51"/>
      <c r="Y14" s="52"/>
      <c r="Z14" s="52"/>
      <c r="AA14" s="52"/>
    </row>
    <row r="15" spans="1:28" s="293" customFormat="1" ht="22.5" customHeight="1" x14ac:dyDescent="0.2">
      <c r="A15" s="347" t="s">
        <v>31</v>
      </c>
      <c r="B15" s="305"/>
      <c r="C15" s="305"/>
      <c r="D15" s="305"/>
      <c r="E15" s="305"/>
      <c r="F15" s="305"/>
      <c r="G15" s="305"/>
      <c r="H15" s="305"/>
      <c r="I15" s="305"/>
      <c r="J15" s="305"/>
      <c r="K15" s="306"/>
      <c r="M15" s="348" t="s">
        <v>32</v>
      </c>
      <c r="N15" s="300"/>
      <c r="O15" s="300"/>
      <c r="P15" s="300"/>
      <c r="Q15" s="30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49"/>
      <c r="N16" s="349"/>
      <c r="O16" s="349"/>
      <c r="P16" s="349"/>
      <c r="Q16" s="349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51" t="s">
        <v>33</v>
      </c>
      <c r="B17" s="351" t="s">
        <v>34</v>
      </c>
      <c r="C17" s="353" t="s">
        <v>35</v>
      </c>
      <c r="D17" s="351" t="s">
        <v>36</v>
      </c>
      <c r="E17" s="354"/>
      <c r="F17" s="351" t="s">
        <v>37</v>
      </c>
      <c r="G17" s="351" t="s">
        <v>38</v>
      </c>
      <c r="H17" s="351" t="s">
        <v>39</v>
      </c>
      <c r="I17" s="351" t="s">
        <v>40</v>
      </c>
      <c r="J17" s="351" t="s">
        <v>41</v>
      </c>
      <c r="K17" s="351" t="s">
        <v>42</v>
      </c>
      <c r="L17" s="351" t="s">
        <v>43</v>
      </c>
      <c r="M17" s="351" t="s">
        <v>44</v>
      </c>
      <c r="N17" s="357"/>
      <c r="O17" s="357"/>
      <c r="P17" s="357"/>
      <c r="Q17" s="354"/>
      <c r="R17" s="350" t="s">
        <v>45</v>
      </c>
      <c r="S17" s="306"/>
      <c r="T17" s="351" t="s">
        <v>46</v>
      </c>
      <c r="U17" s="351" t="s">
        <v>47</v>
      </c>
      <c r="V17" s="359" t="s">
        <v>48</v>
      </c>
      <c r="W17" s="351" t="s">
        <v>49</v>
      </c>
      <c r="X17" s="361" t="s">
        <v>50</v>
      </c>
      <c r="Y17" s="361" t="s">
        <v>51</v>
      </c>
      <c r="Z17" s="361" t="s">
        <v>52</v>
      </c>
      <c r="AA17" s="363"/>
      <c r="AB17" s="364"/>
      <c r="AC17" s="368" t="s">
        <v>53</v>
      </c>
    </row>
    <row r="18" spans="1:29" ht="14.25" customHeight="1" x14ac:dyDescent="0.2">
      <c r="A18" s="352"/>
      <c r="B18" s="352"/>
      <c r="C18" s="352"/>
      <c r="D18" s="355"/>
      <c r="E18" s="356"/>
      <c r="F18" s="352"/>
      <c r="G18" s="352"/>
      <c r="H18" s="352"/>
      <c r="I18" s="352"/>
      <c r="J18" s="352"/>
      <c r="K18" s="352"/>
      <c r="L18" s="352"/>
      <c r="M18" s="355"/>
      <c r="N18" s="358"/>
      <c r="O18" s="358"/>
      <c r="P18" s="358"/>
      <c r="Q18" s="356"/>
      <c r="R18" s="292" t="s">
        <v>54</v>
      </c>
      <c r="S18" s="292" t="s">
        <v>55</v>
      </c>
      <c r="T18" s="352"/>
      <c r="U18" s="352"/>
      <c r="V18" s="360"/>
      <c r="W18" s="352"/>
      <c r="X18" s="362"/>
      <c r="Y18" s="362"/>
      <c r="Z18" s="365"/>
      <c r="AA18" s="366"/>
      <c r="AB18" s="367"/>
      <c r="AC18" s="369"/>
    </row>
    <row r="19" spans="1:29" ht="27.75" customHeight="1" x14ac:dyDescent="0.2">
      <c r="A19" s="370" t="s">
        <v>56</v>
      </c>
      <c r="B19" s="371"/>
      <c r="C19" s="371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49"/>
      <c r="Y19" s="49"/>
    </row>
    <row r="20" spans="1:29" ht="16.5" customHeight="1" x14ac:dyDescent="0.25">
      <c r="A20" s="372" t="s">
        <v>56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291"/>
      <c r="Y20" s="291"/>
    </row>
    <row r="21" spans="1:29" ht="14.25" customHeight="1" x14ac:dyDescent="0.25">
      <c r="A21" s="373" t="s">
        <v>57</v>
      </c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290"/>
      <c r="Y21" s="290"/>
    </row>
    <row r="22" spans="1:29" ht="27" customHeight="1" x14ac:dyDescent="0.25">
      <c r="A22" s="55" t="s">
        <v>58</v>
      </c>
      <c r="B22" s="55" t="s">
        <v>59</v>
      </c>
      <c r="C22" s="32">
        <v>4301031106</v>
      </c>
      <c r="D22" s="374">
        <v>4607091389258</v>
      </c>
      <c r="E22" s="319"/>
      <c r="F22" s="294">
        <v>0.3</v>
      </c>
      <c r="G22" s="33">
        <v>6</v>
      </c>
      <c r="H22" s="294">
        <v>1.8</v>
      </c>
      <c r="I22" s="294">
        <v>2</v>
      </c>
      <c r="J22" s="33">
        <v>156</v>
      </c>
      <c r="K22" s="34" t="s">
        <v>60</v>
      </c>
      <c r="L22" s="33">
        <v>35</v>
      </c>
      <c r="M22" s="375" t="s">
        <v>61</v>
      </c>
      <c r="N22" s="376"/>
      <c r="O22" s="376"/>
      <c r="P22" s="376"/>
      <c r="Q22" s="319"/>
      <c r="R22" s="35"/>
      <c r="S22" s="35"/>
      <c r="T22" s="36" t="s">
        <v>62</v>
      </c>
      <c r="U22" s="295">
        <v>0</v>
      </c>
      <c r="V22" s="29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78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79"/>
      <c r="M23" s="377" t="s">
        <v>63</v>
      </c>
      <c r="N23" s="331"/>
      <c r="O23" s="331"/>
      <c r="P23" s="331"/>
      <c r="Q23" s="331"/>
      <c r="R23" s="331"/>
      <c r="S23" s="332"/>
      <c r="T23" s="38" t="s">
        <v>64</v>
      </c>
      <c r="U23" s="297">
        <f>IFERROR(U22/H22,"0")</f>
        <v>0</v>
      </c>
      <c r="V23" s="297">
        <f>IFERROR(V22/H22,"0")</f>
        <v>0</v>
      </c>
      <c r="W23" s="297">
        <f>IFERROR(IF(W22="",0,W22),"0")</f>
        <v>0</v>
      </c>
      <c r="X23" s="298"/>
      <c r="Y23" s="298"/>
    </row>
    <row r="24" spans="1:29" x14ac:dyDescent="0.2">
      <c r="A24" s="303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79"/>
      <c r="M24" s="377" t="s">
        <v>63</v>
      </c>
      <c r="N24" s="331"/>
      <c r="O24" s="331"/>
      <c r="P24" s="331"/>
      <c r="Q24" s="331"/>
      <c r="R24" s="331"/>
      <c r="S24" s="332"/>
      <c r="T24" s="38" t="s">
        <v>62</v>
      </c>
      <c r="U24" s="297">
        <f>IFERROR(SUM(U22:U22),"0")</f>
        <v>0</v>
      </c>
      <c r="V24" s="297">
        <f>IFERROR(SUM(V22:V22),"0")</f>
        <v>0</v>
      </c>
      <c r="W24" s="38"/>
      <c r="X24" s="298"/>
      <c r="Y24" s="298"/>
    </row>
    <row r="25" spans="1:29" ht="14.25" customHeight="1" x14ac:dyDescent="0.25">
      <c r="A25" s="373" t="s">
        <v>65</v>
      </c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290"/>
      <c r="Y25" s="290"/>
    </row>
    <row r="26" spans="1:29" ht="27" customHeight="1" x14ac:dyDescent="0.25">
      <c r="A26" s="55" t="s">
        <v>66</v>
      </c>
      <c r="B26" s="55" t="s">
        <v>67</v>
      </c>
      <c r="C26" s="32">
        <v>4301051176</v>
      </c>
      <c r="D26" s="374">
        <v>4607091383881</v>
      </c>
      <c r="E26" s="319"/>
      <c r="F26" s="294">
        <v>0.33</v>
      </c>
      <c r="G26" s="33">
        <v>6</v>
      </c>
      <c r="H26" s="294">
        <v>1.98</v>
      </c>
      <c r="I26" s="294">
        <v>2.246</v>
      </c>
      <c r="J26" s="33">
        <v>156</v>
      </c>
      <c r="K26" s="34" t="s">
        <v>60</v>
      </c>
      <c r="L26" s="33">
        <v>35</v>
      </c>
      <c r="M26" s="38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6"/>
      <c r="O26" s="376"/>
      <c r="P26" s="376"/>
      <c r="Q26" s="319"/>
      <c r="R26" s="35"/>
      <c r="S26" s="35"/>
      <c r="T26" s="36" t="s">
        <v>62</v>
      </c>
      <c r="U26" s="295">
        <v>0</v>
      </c>
      <c r="V26" s="29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68</v>
      </c>
      <c r="B27" s="55" t="s">
        <v>69</v>
      </c>
      <c r="C27" s="32">
        <v>4301051172</v>
      </c>
      <c r="D27" s="374">
        <v>4607091388237</v>
      </c>
      <c r="E27" s="319"/>
      <c r="F27" s="294">
        <v>0.42</v>
      </c>
      <c r="G27" s="33">
        <v>6</v>
      </c>
      <c r="H27" s="294">
        <v>2.52</v>
      </c>
      <c r="I27" s="294">
        <v>2.786</v>
      </c>
      <c r="J27" s="33">
        <v>156</v>
      </c>
      <c r="K27" s="34" t="s">
        <v>60</v>
      </c>
      <c r="L27" s="33">
        <v>35</v>
      </c>
      <c r="M27" s="381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6"/>
      <c r="O27" s="376"/>
      <c r="P27" s="376"/>
      <c r="Q27" s="319"/>
      <c r="R27" s="35"/>
      <c r="S27" s="35"/>
      <c r="T27" s="36" t="s">
        <v>62</v>
      </c>
      <c r="U27" s="295">
        <v>0</v>
      </c>
      <c r="V27" s="296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70</v>
      </c>
      <c r="B28" s="55" t="s">
        <v>71</v>
      </c>
      <c r="C28" s="32">
        <v>4301051180</v>
      </c>
      <c r="D28" s="374">
        <v>4607091383935</v>
      </c>
      <c r="E28" s="319"/>
      <c r="F28" s="294">
        <v>0.33</v>
      </c>
      <c r="G28" s="33">
        <v>6</v>
      </c>
      <c r="H28" s="294">
        <v>1.98</v>
      </c>
      <c r="I28" s="294">
        <v>2.246</v>
      </c>
      <c r="J28" s="33">
        <v>156</v>
      </c>
      <c r="K28" s="34" t="s">
        <v>60</v>
      </c>
      <c r="L28" s="33">
        <v>30</v>
      </c>
      <c r="M28" s="38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6"/>
      <c r="O28" s="376"/>
      <c r="P28" s="376"/>
      <c r="Q28" s="319"/>
      <c r="R28" s="35"/>
      <c r="S28" s="35"/>
      <c r="T28" s="36" t="s">
        <v>62</v>
      </c>
      <c r="U28" s="295">
        <v>0</v>
      </c>
      <c r="V28" s="296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72</v>
      </c>
      <c r="B29" s="55" t="s">
        <v>73</v>
      </c>
      <c r="C29" s="32">
        <v>4301051426</v>
      </c>
      <c r="D29" s="374">
        <v>4680115881853</v>
      </c>
      <c r="E29" s="319"/>
      <c r="F29" s="294">
        <v>0.33</v>
      </c>
      <c r="G29" s="33">
        <v>6</v>
      </c>
      <c r="H29" s="294">
        <v>1.98</v>
      </c>
      <c r="I29" s="294">
        <v>2.246</v>
      </c>
      <c r="J29" s="33">
        <v>156</v>
      </c>
      <c r="K29" s="34" t="s">
        <v>60</v>
      </c>
      <c r="L29" s="33">
        <v>30</v>
      </c>
      <c r="M29" s="383" t="s">
        <v>74</v>
      </c>
      <c r="N29" s="376"/>
      <c r="O29" s="376"/>
      <c r="P29" s="376"/>
      <c r="Q29" s="319"/>
      <c r="R29" s="35"/>
      <c r="S29" s="35"/>
      <c r="T29" s="36" t="s">
        <v>62</v>
      </c>
      <c r="U29" s="295">
        <v>0</v>
      </c>
      <c r="V29" s="296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75</v>
      </c>
      <c r="B30" s="55" t="s">
        <v>76</v>
      </c>
      <c r="C30" s="32">
        <v>4301051178</v>
      </c>
      <c r="D30" s="374">
        <v>4607091383911</v>
      </c>
      <c r="E30" s="319"/>
      <c r="F30" s="294">
        <v>0.33</v>
      </c>
      <c r="G30" s="33">
        <v>6</v>
      </c>
      <c r="H30" s="294">
        <v>1.98</v>
      </c>
      <c r="I30" s="294">
        <v>2.246</v>
      </c>
      <c r="J30" s="33">
        <v>156</v>
      </c>
      <c r="K30" s="34" t="s">
        <v>60</v>
      </c>
      <c r="L30" s="33">
        <v>35</v>
      </c>
      <c r="M30" s="384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6"/>
      <c r="O30" s="376"/>
      <c r="P30" s="376"/>
      <c r="Q30" s="319"/>
      <c r="R30" s="35"/>
      <c r="S30" s="35"/>
      <c r="T30" s="36" t="s">
        <v>62</v>
      </c>
      <c r="U30" s="295">
        <v>0</v>
      </c>
      <c r="V30" s="296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77</v>
      </c>
      <c r="B31" s="55" t="s">
        <v>78</v>
      </c>
      <c r="C31" s="32">
        <v>4301051174</v>
      </c>
      <c r="D31" s="374">
        <v>4607091388244</v>
      </c>
      <c r="E31" s="319"/>
      <c r="F31" s="294">
        <v>0.42</v>
      </c>
      <c r="G31" s="33">
        <v>6</v>
      </c>
      <c r="H31" s="294">
        <v>2.52</v>
      </c>
      <c r="I31" s="294">
        <v>2.786</v>
      </c>
      <c r="J31" s="33">
        <v>156</v>
      </c>
      <c r="K31" s="34" t="s">
        <v>60</v>
      </c>
      <c r="L31" s="33">
        <v>35</v>
      </c>
      <c r="M31" s="38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6"/>
      <c r="O31" s="376"/>
      <c r="P31" s="376"/>
      <c r="Q31" s="319"/>
      <c r="R31" s="35"/>
      <c r="S31" s="35"/>
      <c r="T31" s="36" t="s">
        <v>62</v>
      </c>
      <c r="U31" s="295">
        <v>0</v>
      </c>
      <c r="V31" s="296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78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79"/>
      <c r="M32" s="377" t="s">
        <v>63</v>
      </c>
      <c r="N32" s="331"/>
      <c r="O32" s="331"/>
      <c r="P32" s="331"/>
      <c r="Q32" s="331"/>
      <c r="R32" s="331"/>
      <c r="S32" s="332"/>
      <c r="T32" s="38" t="s">
        <v>64</v>
      </c>
      <c r="U32" s="297">
        <f>IFERROR(U26/H26,"0")+IFERROR(U27/H27,"0")+IFERROR(U28/H28,"0")+IFERROR(U29/H29,"0")+IFERROR(U30/H30,"0")+IFERROR(U31/H31,"0")</f>
        <v>0</v>
      </c>
      <c r="V32" s="297">
        <f>IFERROR(V26/H26,"0")+IFERROR(V27/H27,"0")+IFERROR(V28/H28,"0")+IFERROR(V29/H29,"0")+IFERROR(V30/H30,"0")+IFERROR(V31/H31,"0")</f>
        <v>0</v>
      </c>
      <c r="W32" s="297">
        <f>IFERROR(IF(W26="",0,W26),"0")+IFERROR(IF(W27="",0,W27),"0")+IFERROR(IF(W28="",0,W28),"0")+IFERROR(IF(W29="",0,W29),"0")+IFERROR(IF(W30="",0,W30),"0")+IFERROR(IF(W31="",0,W31),"0")</f>
        <v>0</v>
      </c>
      <c r="X32" s="298"/>
      <c r="Y32" s="298"/>
    </row>
    <row r="33" spans="1:29" x14ac:dyDescent="0.2">
      <c r="A33" s="303"/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79"/>
      <c r="M33" s="377" t="s">
        <v>63</v>
      </c>
      <c r="N33" s="331"/>
      <c r="O33" s="331"/>
      <c r="P33" s="331"/>
      <c r="Q33" s="331"/>
      <c r="R33" s="331"/>
      <c r="S33" s="332"/>
      <c r="T33" s="38" t="s">
        <v>62</v>
      </c>
      <c r="U33" s="297">
        <f>IFERROR(SUM(U26:U31),"0")</f>
        <v>0</v>
      </c>
      <c r="V33" s="297">
        <f>IFERROR(SUM(V26:V31),"0")</f>
        <v>0</v>
      </c>
      <c r="W33" s="38"/>
      <c r="X33" s="298"/>
      <c r="Y33" s="298"/>
    </row>
    <row r="34" spans="1:29" ht="14.25" customHeight="1" x14ac:dyDescent="0.25">
      <c r="A34" s="373" t="s">
        <v>79</v>
      </c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290"/>
      <c r="Y34" s="290"/>
    </row>
    <row r="35" spans="1:29" ht="27" customHeight="1" x14ac:dyDescent="0.25">
      <c r="A35" s="55" t="s">
        <v>80</v>
      </c>
      <c r="B35" s="55" t="s">
        <v>81</v>
      </c>
      <c r="C35" s="32">
        <v>4301032013</v>
      </c>
      <c r="D35" s="374">
        <v>4607091388503</v>
      </c>
      <c r="E35" s="319"/>
      <c r="F35" s="294">
        <v>0.05</v>
      </c>
      <c r="G35" s="33">
        <v>12</v>
      </c>
      <c r="H35" s="294">
        <v>0.6</v>
      </c>
      <c r="I35" s="294">
        <v>0.84199999999999997</v>
      </c>
      <c r="J35" s="33">
        <v>156</v>
      </c>
      <c r="K35" s="34" t="s">
        <v>82</v>
      </c>
      <c r="L35" s="33">
        <v>120</v>
      </c>
      <c r="M35" s="38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6"/>
      <c r="O35" s="376"/>
      <c r="P35" s="376"/>
      <c r="Q35" s="319"/>
      <c r="R35" s="35"/>
      <c r="S35" s="35"/>
      <c r="T35" s="36" t="s">
        <v>62</v>
      </c>
      <c r="U35" s="295">
        <v>0</v>
      </c>
      <c r="V35" s="29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83</v>
      </c>
    </row>
    <row r="36" spans="1:29" ht="27" customHeight="1" x14ac:dyDescent="0.25">
      <c r="A36" s="55" t="s">
        <v>84</v>
      </c>
      <c r="B36" s="55" t="s">
        <v>85</v>
      </c>
      <c r="C36" s="32">
        <v>4301032036</v>
      </c>
      <c r="D36" s="374">
        <v>4680115880139</v>
      </c>
      <c r="E36" s="319"/>
      <c r="F36" s="294">
        <v>2.5000000000000001E-2</v>
      </c>
      <c r="G36" s="33">
        <v>10</v>
      </c>
      <c r="H36" s="294">
        <v>0.25</v>
      </c>
      <c r="I36" s="294">
        <v>0.41</v>
      </c>
      <c r="J36" s="33">
        <v>234</v>
      </c>
      <c r="K36" s="34" t="s">
        <v>86</v>
      </c>
      <c r="L36" s="33">
        <v>120</v>
      </c>
      <c r="M36" s="387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6"/>
      <c r="O36" s="376"/>
      <c r="P36" s="376"/>
      <c r="Q36" s="319"/>
      <c r="R36" s="35"/>
      <c r="S36" s="35"/>
      <c r="T36" s="36" t="s">
        <v>62</v>
      </c>
      <c r="U36" s="295">
        <v>0</v>
      </c>
      <c r="V36" s="29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83</v>
      </c>
    </row>
    <row r="37" spans="1:29" x14ac:dyDescent="0.2">
      <c r="A37" s="378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79"/>
      <c r="M37" s="377" t="s">
        <v>63</v>
      </c>
      <c r="N37" s="331"/>
      <c r="O37" s="331"/>
      <c r="P37" s="331"/>
      <c r="Q37" s="331"/>
      <c r="R37" s="331"/>
      <c r="S37" s="332"/>
      <c r="T37" s="38" t="s">
        <v>64</v>
      </c>
      <c r="U37" s="297">
        <f>IFERROR(U35/H35,"0")+IFERROR(U36/H36,"0")</f>
        <v>0</v>
      </c>
      <c r="V37" s="297">
        <f>IFERROR(V35/H35,"0")+IFERROR(V36/H36,"0")</f>
        <v>0</v>
      </c>
      <c r="W37" s="297">
        <f>IFERROR(IF(W35="",0,W35),"0")+IFERROR(IF(W36="",0,W36),"0")</f>
        <v>0</v>
      </c>
      <c r="X37" s="298"/>
      <c r="Y37" s="298"/>
    </row>
    <row r="38" spans="1:29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79"/>
      <c r="M38" s="377" t="s">
        <v>63</v>
      </c>
      <c r="N38" s="331"/>
      <c r="O38" s="331"/>
      <c r="P38" s="331"/>
      <c r="Q38" s="331"/>
      <c r="R38" s="331"/>
      <c r="S38" s="332"/>
      <c r="T38" s="38" t="s">
        <v>62</v>
      </c>
      <c r="U38" s="297">
        <f>IFERROR(SUM(U35:U36),"0")</f>
        <v>0</v>
      </c>
      <c r="V38" s="297">
        <f>IFERROR(SUM(V35:V36),"0")</f>
        <v>0</v>
      </c>
      <c r="W38" s="38"/>
      <c r="X38" s="298"/>
      <c r="Y38" s="298"/>
    </row>
    <row r="39" spans="1:29" ht="14.25" customHeight="1" x14ac:dyDescent="0.25">
      <c r="A39" s="373" t="s">
        <v>87</v>
      </c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290"/>
      <c r="Y39" s="290"/>
    </row>
    <row r="40" spans="1:29" ht="80.25" customHeight="1" x14ac:dyDescent="0.25">
      <c r="A40" s="55" t="s">
        <v>88</v>
      </c>
      <c r="B40" s="55" t="s">
        <v>89</v>
      </c>
      <c r="C40" s="32">
        <v>4301160001</v>
      </c>
      <c r="D40" s="374">
        <v>4607091388282</v>
      </c>
      <c r="E40" s="319"/>
      <c r="F40" s="294">
        <v>0.3</v>
      </c>
      <c r="G40" s="33">
        <v>6</v>
      </c>
      <c r="H40" s="294">
        <v>1.8</v>
      </c>
      <c r="I40" s="294">
        <v>2.0840000000000001</v>
      </c>
      <c r="J40" s="33">
        <v>156</v>
      </c>
      <c r="K40" s="34" t="s">
        <v>82</v>
      </c>
      <c r="L40" s="33">
        <v>30</v>
      </c>
      <c r="M40" s="38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6"/>
      <c r="O40" s="376"/>
      <c r="P40" s="376"/>
      <c r="Q40" s="319"/>
      <c r="R40" s="35"/>
      <c r="S40" s="35"/>
      <c r="T40" s="36" t="s">
        <v>62</v>
      </c>
      <c r="U40" s="295">
        <v>0</v>
      </c>
      <c r="V40" s="29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68" t="s">
        <v>1</v>
      </c>
    </row>
    <row r="41" spans="1:29" x14ac:dyDescent="0.2">
      <c r="A41" s="378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79"/>
      <c r="M41" s="377" t="s">
        <v>63</v>
      </c>
      <c r="N41" s="331"/>
      <c r="O41" s="331"/>
      <c r="P41" s="331"/>
      <c r="Q41" s="331"/>
      <c r="R41" s="331"/>
      <c r="S41" s="332"/>
      <c r="T41" s="38" t="s">
        <v>64</v>
      </c>
      <c r="U41" s="297">
        <f>IFERROR(U40/H40,"0")</f>
        <v>0</v>
      </c>
      <c r="V41" s="297">
        <f>IFERROR(V40/H40,"0")</f>
        <v>0</v>
      </c>
      <c r="W41" s="297">
        <f>IFERROR(IF(W40="",0,W40),"0")</f>
        <v>0</v>
      </c>
      <c r="X41" s="298"/>
      <c r="Y41" s="298"/>
    </row>
    <row r="42" spans="1:29" x14ac:dyDescent="0.2">
      <c r="A42" s="303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79"/>
      <c r="M42" s="377" t="s">
        <v>63</v>
      </c>
      <c r="N42" s="331"/>
      <c r="O42" s="331"/>
      <c r="P42" s="331"/>
      <c r="Q42" s="331"/>
      <c r="R42" s="331"/>
      <c r="S42" s="332"/>
      <c r="T42" s="38" t="s">
        <v>62</v>
      </c>
      <c r="U42" s="297">
        <f>IFERROR(SUM(U40:U40),"0")</f>
        <v>0</v>
      </c>
      <c r="V42" s="297">
        <f>IFERROR(SUM(V40:V40),"0")</f>
        <v>0</v>
      </c>
      <c r="W42" s="38"/>
      <c r="X42" s="298"/>
      <c r="Y42" s="298"/>
    </row>
    <row r="43" spans="1:29" ht="14.25" customHeight="1" x14ac:dyDescent="0.25">
      <c r="A43" s="373" t="s">
        <v>91</v>
      </c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290"/>
      <c r="Y43" s="290"/>
    </row>
    <row r="44" spans="1:29" ht="27" customHeight="1" x14ac:dyDescent="0.25">
      <c r="A44" s="55" t="s">
        <v>92</v>
      </c>
      <c r="B44" s="55" t="s">
        <v>93</v>
      </c>
      <c r="C44" s="32">
        <v>4301170002</v>
      </c>
      <c r="D44" s="374">
        <v>4607091389111</v>
      </c>
      <c r="E44" s="319"/>
      <c r="F44" s="294">
        <v>2.5000000000000001E-2</v>
      </c>
      <c r="G44" s="33">
        <v>10</v>
      </c>
      <c r="H44" s="294">
        <v>0.25</v>
      </c>
      <c r="I44" s="294">
        <v>0.49199999999999999</v>
      </c>
      <c r="J44" s="33">
        <v>156</v>
      </c>
      <c r="K44" s="34" t="s">
        <v>82</v>
      </c>
      <c r="L44" s="33">
        <v>120</v>
      </c>
      <c r="M44" s="389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76"/>
      <c r="O44" s="376"/>
      <c r="P44" s="376"/>
      <c r="Q44" s="319"/>
      <c r="R44" s="35"/>
      <c r="S44" s="35"/>
      <c r="T44" s="36" t="s">
        <v>62</v>
      </c>
      <c r="U44" s="295">
        <v>0</v>
      </c>
      <c r="V44" s="296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83</v>
      </c>
    </row>
    <row r="45" spans="1:29" x14ac:dyDescent="0.2">
      <c r="A45" s="378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79"/>
      <c r="M45" s="377" t="s">
        <v>63</v>
      </c>
      <c r="N45" s="331"/>
      <c r="O45" s="331"/>
      <c r="P45" s="331"/>
      <c r="Q45" s="331"/>
      <c r="R45" s="331"/>
      <c r="S45" s="332"/>
      <c r="T45" s="38" t="s">
        <v>64</v>
      </c>
      <c r="U45" s="297">
        <f>IFERROR(U44/H44,"0")</f>
        <v>0</v>
      </c>
      <c r="V45" s="297">
        <f>IFERROR(V44/H44,"0")</f>
        <v>0</v>
      </c>
      <c r="W45" s="297">
        <f>IFERROR(IF(W44="",0,W44),"0")</f>
        <v>0</v>
      </c>
      <c r="X45" s="298"/>
      <c r="Y45" s="298"/>
    </row>
    <row r="46" spans="1:29" x14ac:dyDescent="0.2">
      <c r="A46" s="303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79"/>
      <c r="M46" s="377" t="s">
        <v>63</v>
      </c>
      <c r="N46" s="331"/>
      <c r="O46" s="331"/>
      <c r="P46" s="331"/>
      <c r="Q46" s="331"/>
      <c r="R46" s="331"/>
      <c r="S46" s="332"/>
      <c r="T46" s="38" t="s">
        <v>62</v>
      </c>
      <c r="U46" s="297">
        <f>IFERROR(SUM(U44:U44),"0")</f>
        <v>0</v>
      </c>
      <c r="V46" s="297">
        <f>IFERROR(SUM(V44:V44),"0")</f>
        <v>0</v>
      </c>
      <c r="W46" s="38"/>
      <c r="X46" s="298"/>
      <c r="Y46" s="298"/>
    </row>
    <row r="47" spans="1:29" ht="27.75" customHeight="1" x14ac:dyDescent="0.2">
      <c r="A47" s="370" t="s">
        <v>94</v>
      </c>
      <c r="B47" s="371"/>
      <c r="C47" s="371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71"/>
      <c r="R47" s="371"/>
      <c r="S47" s="371"/>
      <c r="T47" s="371"/>
      <c r="U47" s="371"/>
      <c r="V47" s="371"/>
      <c r="W47" s="371"/>
      <c r="X47" s="49"/>
      <c r="Y47" s="49"/>
    </row>
    <row r="48" spans="1:29" ht="16.5" customHeight="1" x14ac:dyDescent="0.25">
      <c r="A48" s="372" t="s">
        <v>95</v>
      </c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291"/>
      <c r="Y48" s="291"/>
    </row>
    <row r="49" spans="1:29" ht="14.25" customHeight="1" x14ac:dyDescent="0.25">
      <c r="A49" s="373" t="s">
        <v>96</v>
      </c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290"/>
      <c r="Y49" s="290"/>
    </row>
    <row r="50" spans="1:29" ht="27" customHeight="1" x14ac:dyDescent="0.25">
      <c r="A50" s="55" t="s">
        <v>97</v>
      </c>
      <c r="B50" s="55" t="s">
        <v>98</v>
      </c>
      <c r="C50" s="32">
        <v>4301020234</v>
      </c>
      <c r="D50" s="374">
        <v>4680115881440</v>
      </c>
      <c r="E50" s="319"/>
      <c r="F50" s="294">
        <v>1.35</v>
      </c>
      <c r="G50" s="33">
        <v>8</v>
      </c>
      <c r="H50" s="294">
        <v>10.8</v>
      </c>
      <c r="I50" s="294">
        <v>11.28</v>
      </c>
      <c r="J50" s="33">
        <v>56</v>
      </c>
      <c r="K50" s="34" t="s">
        <v>99</v>
      </c>
      <c r="L50" s="33">
        <v>50</v>
      </c>
      <c r="M50" s="39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76"/>
      <c r="O50" s="376"/>
      <c r="P50" s="376"/>
      <c r="Q50" s="319"/>
      <c r="R50" s="35"/>
      <c r="S50" s="35"/>
      <c r="T50" s="36" t="s">
        <v>62</v>
      </c>
      <c r="U50" s="295">
        <v>0</v>
      </c>
      <c r="V50" s="296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100</v>
      </c>
      <c r="B51" s="55" t="s">
        <v>101</v>
      </c>
      <c r="C51" s="32">
        <v>4301020232</v>
      </c>
      <c r="D51" s="374">
        <v>4680115881433</v>
      </c>
      <c r="E51" s="319"/>
      <c r="F51" s="294">
        <v>0.45</v>
      </c>
      <c r="G51" s="33">
        <v>6</v>
      </c>
      <c r="H51" s="294">
        <v>2.7</v>
      </c>
      <c r="I51" s="294">
        <v>2.9</v>
      </c>
      <c r="J51" s="33">
        <v>156</v>
      </c>
      <c r="K51" s="34" t="s">
        <v>99</v>
      </c>
      <c r="L51" s="33">
        <v>50</v>
      </c>
      <c r="M51" s="39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76"/>
      <c r="O51" s="376"/>
      <c r="P51" s="376"/>
      <c r="Q51" s="319"/>
      <c r="R51" s="35"/>
      <c r="S51" s="35"/>
      <c r="T51" s="36" t="s">
        <v>62</v>
      </c>
      <c r="U51" s="295">
        <v>0</v>
      </c>
      <c r="V51" s="296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78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79"/>
      <c r="M52" s="377" t="s">
        <v>63</v>
      </c>
      <c r="N52" s="331"/>
      <c r="O52" s="331"/>
      <c r="P52" s="331"/>
      <c r="Q52" s="331"/>
      <c r="R52" s="331"/>
      <c r="S52" s="332"/>
      <c r="T52" s="38" t="s">
        <v>64</v>
      </c>
      <c r="U52" s="297">
        <f>IFERROR(U50/H50,"0")+IFERROR(U51/H51,"0")</f>
        <v>0</v>
      </c>
      <c r="V52" s="297">
        <f>IFERROR(V50/H50,"0")+IFERROR(V51/H51,"0")</f>
        <v>0</v>
      </c>
      <c r="W52" s="297">
        <f>IFERROR(IF(W50="",0,W50),"0")+IFERROR(IF(W51="",0,W51),"0")</f>
        <v>0</v>
      </c>
      <c r="X52" s="298"/>
      <c r="Y52" s="298"/>
    </row>
    <row r="53" spans="1:29" x14ac:dyDescent="0.2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79"/>
      <c r="M53" s="377" t="s">
        <v>63</v>
      </c>
      <c r="N53" s="331"/>
      <c r="O53" s="331"/>
      <c r="P53" s="331"/>
      <c r="Q53" s="331"/>
      <c r="R53" s="331"/>
      <c r="S53" s="332"/>
      <c r="T53" s="38" t="s">
        <v>62</v>
      </c>
      <c r="U53" s="297">
        <f>IFERROR(SUM(U50:U51),"0")</f>
        <v>0</v>
      </c>
      <c r="V53" s="297">
        <f>IFERROR(SUM(V50:V51),"0")</f>
        <v>0</v>
      </c>
      <c r="W53" s="38"/>
      <c r="X53" s="298"/>
      <c r="Y53" s="298"/>
    </row>
    <row r="54" spans="1:29" ht="16.5" customHeight="1" x14ac:dyDescent="0.25">
      <c r="A54" s="372" t="s">
        <v>102</v>
      </c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291"/>
      <c r="Y54" s="291"/>
    </row>
    <row r="55" spans="1:29" ht="14.25" customHeight="1" x14ac:dyDescent="0.25">
      <c r="A55" s="373" t="s">
        <v>103</v>
      </c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290"/>
      <c r="Y55" s="290"/>
    </row>
    <row r="56" spans="1:29" ht="27" customHeight="1" x14ac:dyDescent="0.25">
      <c r="A56" s="55" t="s">
        <v>104</v>
      </c>
      <c r="B56" s="55" t="s">
        <v>105</v>
      </c>
      <c r="C56" s="32">
        <v>4301011452</v>
      </c>
      <c r="D56" s="374">
        <v>4680115881426</v>
      </c>
      <c r="E56" s="319"/>
      <c r="F56" s="294">
        <v>1.35</v>
      </c>
      <c r="G56" s="33">
        <v>8</v>
      </c>
      <c r="H56" s="294">
        <v>10.8</v>
      </c>
      <c r="I56" s="294">
        <v>11.28</v>
      </c>
      <c r="J56" s="33">
        <v>56</v>
      </c>
      <c r="K56" s="34" t="s">
        <v>99</v>
      </c>
      <c r="L56" s="33">
        <v>50</v>
      </c>
      <c r="M56" s="39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76"/>
      <c r="O56" s="376"/>
      <c r="P56" s="376"/>
      <c r="Q56" s="319"/>
      <c r="R56" s="35"/>
      <c r="S56" s="35"/>
      <c r="T56" s="36" t="s">
        <v>62</v>
      </c>
      <c r="U56" s="295">
        <v>0</v>
      </c>
      <c r="V56" s="296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72" t="s">
        <v>1</v>
      </c>
    </row>
    <row r="57" spans="1:29" ht="27" customHeight="1" x14ac:dyDescent="0.25">
      <c r="A57" s="55" t="s">
        <v>106</v>
      </c>
      <c r="B57" s="55" t="s">
        <v>107</v>
      </c>
      <c r="C57" s="32">
        <v>4301011437</v>
      </c>
      <c r="D57" s="374">
        <v>4680115881419</v>
      </c>
      <c r="E57" s="319"/>
      <c r="F57" s="294">
        <v>0.45</v>
      </c>
      <c r="G57" s="33">
        <v>10</v>
      </c>
      <c r="H57" s="294">
        <v>4.5</v>
      </c>
      <c r="I57" s="294">
        <v>4.74</v>
      </c>
      <c r="J57" s="33">
        <v>120</v>
      </c>
      <c r="K57" s="34" t="s">
        <v>99</v>
      </c>
      <c r="L57" s="33">
        <v>50</v>
      </c>
      <c r="M57" s="39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76"/>
      <c r="O57" s="376"/>
      <c r="P57" s="376"/>
      <c r="Q57" s="319"/>
      <c r="R57" s="35"/>
      <c r="S57" s="35"/>
      <c r="T57" s="36" t="s">
        <v>62</v>
      </c>
      <c r="U57" s="295">
        <v>0</v>
      </c>
      <c r="V57" s="296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108</v>
      </c>
      <c r="B58" s="55" t="s">
        <v>109</v>
      </c>
      <c r="C58" s="32">
        <v>4301011458</v>
      </c>
      <c r="D58" s="374">
        <v>4680115881525</v>
      </c>
      <c r="E58" s="319"/>
      <c r="F58" s="294">
        <v>0.4</v>
      </c>
      <c r="G58" s="33">
        <v>10</v>
      </c>
      <c r="H58" s="294">
        <v>4</v>
      </c>
      <c r="I58" s="294">
        <v>4.24</v>
      </c>
      <c r="J58" s="33">
        <v>120</v>
      </c>
      <c r="K58" s="34" t="s">
        <v>99</v>
      </c>
      <c r="L58" s="33">
        <v>50</v>
      </c>
      <c r="M58" s="394" t="s">
        <v>110</v>
      </c>
      <c r="N58" s="376"/>
      <c r="O58" s="376"/>
      <c r="P58" s="376"/>
      <c r="Q58" s="319"/>
      <c r="R58" s="35"/>
      <c r="S58" s="35"/>
      <c r="T58" s="36" t="s">
        <v>62</v>
      </c>
      <c r="U58" s="295">
        <v>0</v>
      </c>
      <c r="V58" s="296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78"/>
      <c r="B59" s="303"/>
      <c r="C59" s="303"/>
      <c r="D59" s="303"/>
      <c r="E59" s="303"/>
      <c r="F59" s="303"/>
      <c r="G59" s="303"/>
      <c r="H59" s="303"/>
      <c r="I59" s="303"/>
      <c r="J59" s="303"/>
      <c r="K59" s="303"/>
      <c r="L59" s="379"/>
      <c r="M59" s="377" t="s">
        <v>63</v>
      </c>
      <c r="N59" s="331"/>
      <c r="O59" s="331"/>
      <c r="P59" s="331"/>
      <c r="Q59" s="331"/>
      <c r="R59" s="331"/>
      <c r="S59" s="332"/>
      <c r="T59" s="38" t="s">
        <v>64</v>
      </c>
      <c r="U59" s="297">
        <f>IFERROR(U56/H56,"0")+IFERROR(U57/H57,"0")+IFERROR(U58/H58,"0")</f>
        <v>0</v>
      </c>
      <c r="V59" s="297">
        <f>IFERROR(V56/H56,"0")+IFERROR(V57/H57,"0")+IFERROR(V58/H58,"0")</f>
        <v>0</v>
      </c>
      <c r="W59" s="297">
        <f>IFERROR(IF(W56="",0,W56),"0")+IFERROR(IF(W57="",0,W57),"0")+IFERROR(IF(W58="",0,W58),"0")</f>
        <v>0</v>
      </c>
      <c r="X59" s="298"/>
      <c r="Y59" s="298"/>
    </row>
    <row r="60" spans="1:29" x14ac:dyDescent="0.2">
      <c r="A60" s="303"/>
      <c r="B60" s="303"/>
      <c r="C60" s="303"/>
      <c r="D60" s="303"/>
      <c r="E60" s="303"/>
      <c r="F60" s="303"/>
      <c r="G60" s="303"/>
      <c r="H60" s="303"/>
      <c r="I60" s="303"/>
      <c r="J60" s="303"/>
      <c r="K60" s="303"/>
      <c r="L60" s="379"/>
      <c r="M60" s="377" t="s">
        <v>63</v>
      </c>
      <c r="N60" s="331"/>
      <c r="O60" s="331"/>
      <c r="P60" s="331"/>
      <c r="Q60" s="331"/>
      <c r="R60" s="331"/>
      <c r="S60" s="332"/>
      <c r="T60" s="38" t="s">
        <v>62</v>
      </c>
      <c r="U60" s="297">
        <f>IFERROR(SUM(U56:U58),"0")</f>
        <v>0</v>
      </c>
      <c r="V60" s="297">
        <f>IFERROR(SUM(V56:V58),"0")</f>
        <v>0</v>
      </c>
      <c r="W60" s="38"/>
      <c r="X60" s="298"/>
      <c r="Y60" s="298"/>
    </row>
    <row r="61" spans="1:29" ht="16.5" customHeight="1" x14ac:dyDescent="0.25">
      <c r="A61" s="372" t="s">
        <v>94</v>
      </c>
      <c r="B61" s="303"/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291"/>
      <c r="Y61" s="291"/>
    </row>
    <row r="62" spans="1:29" ht="14.25" customHeight="1" x14ac:dyDescent="0.25">
      <c r="A62" s="373" t="s">
        <v>103</v>
      </c>
      <c r="B62" s="303"/>
      <c r="C62" s="303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290"/>
      <c r="Y62" s="290"/>
    </row>
    <row r="63" spans="1:29" ht="27" customHeight="1" x14ac:dyDescent="0.25">
      <c r="A63" s="55" t="s">
        <v>111</v>
      </c>
      <c r="B63" s="55" t="s">
        <v>112</v>
      </c>
      <c r="C63" s="32">
        <v>4301011191</v>
      </c>
      <c r="D63" s="374">
        <v>4607091382945</v>
      </c>
      <c r="E63" s="319"/>
      <c r="F63" s="294">
        <v>1.35</v>
      </c>
      <c r="G63" s="33">
        <v>8</v>
      </c>
      <c r="H63" s="294">
        <v>10.8</v>
      </c>
      <c r="I63" s="294">
        <v>11.28</v>
      </c>
      <c r="J63" s="33">
        <v>56</v>
      </c>
      <c r="K63" s="34" t="s">
        <v>99</v>
      </c>
      <c r="L63" s="33">
        <v>50</v>
      </c>
      <c r="M63" s="395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76"/>
      <c r="O63" s="376"/>
      <c r="P63" s="376"/>
      <c r="Q63" s="319"/>
      <c r="R63" s="35"/>
      <c r="S63" s="35"/>
      <c r="T63" s="36" t="s">
        <v>62</v>
      </c>
      <c r="U63" s="295">
        <v>0</v>
      </c>
      <c r="V63" s="296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113</v>
      </c>
      <c r="B64" s="55" t="s">
        <v>114</v>
      </c>
      <c r="C64" s="32">
        <v>4301011380</v>
      </c>
      <c r="D64" s="374">
        <v>4607091385670</v>
      </c>
      <c r="E64" s="319"/>
      <c r="F64" s="294">
        <v>1.35</v>
      </c>
      <c r="G64" s="33">
        <v>8</v>
      </c>
      <c r="H64" s="294">
        <v>10.8</v>
      </c>
      <c r="I64" s="294">
        <v>11.28</v>
      </c>
      <c r="J64" s="33">
        <v>56</v>
      </c>
      <c r="K64" s="34" t="s">
        <v>99</v>
      </c>
      <c r="L64" s="33">
        <v>50</v>
      </c>
      <c r="M64" s="39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76"/>
      <c r="O64" s="376"/>
      <c r="P64" s="376"/>
      <c r="Q64" s="319"/>
      <c r="R64" s="35"/>
      <c r="S64" s="35"/>
      <c r="T64" s="36" t="s">
        <v>62</v>
      </c>
      <c r="U64" s="295">
        <v>0</v>
      </c>
      <c r="V64" s="296">
        <f t="shared" si="2"/>
        <v>0</v>
      </c>
      <c r="W64" s="37" t="str">
        <f>IFERROR(IF(V64=0,"",ROUNDUP(V64/H64,0)*0.02175),"")</f>
        <v/>
      </c>
      <c r="X64" s="57"/>
      <c r="Y64" s="58"/>
      <c r="AC64" s="76" t="s">
        <v>1</v>
      </c>
    </row>
    <row r="65" spans="1:29" ht="27" customHeight="1" x14ac:dyDescent="0.25">
      <c r="A65" s="55" t="s">
        <v>115</v>
      </c>
      <c r="B65" s="55" t="s">
        <v>116</v>
      </c>
      <c r="C65" s="32">
        <v>4301011468</v>
      </c>
      <c r="D65" s="374">
        <v>4680115881327</v>
      </c>
      <c r="E65" s="319"/>
      <c r="F65" s="294">
        <v>1.35</v>
      </c>
      <c r="G65" s="33">
        <v>8</v>
      </c>
      <c r="H65" s="294">
        <v>10.8</v>
      </c>
      <c r="I65" s="294">
        <v>11.28</v>
      </c>
      <c r="J65" s="33">
        <v>56</v>
      </c>
      <c r="K65" s="34" t="s">
        <v>117</v>
      </c>
      <c r="L65" s="33">
        <v>50</v>
      </c>
      <c r="M65" s="39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76"/>
      <c r="O65" s="376"/>
      <c r="P65" s="376"/>
      <c r="Q65" s="319"/>
      <c r="R65" s="35"/>
      <c r="S65" s="35"/>
      <c r="T65" s="36" t="s">
        <v>62</v>
      </c>
      <c r="U65" s="295">
        <v>0</v>
      </c>
      <c r="V65" s="296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118</v>
      </c>
      <c r="B66" s="55" t="s">
        <v>119</v>
      </c>
      <c r="C66" s="32">
        <v>4301011348</v>
      </c>
      <c r="D66" s="374">
        <v>4607091388312</v>
      </c>
      <c r="E66" s="319"/>
      <c r="F66" s="294">
        <v>1.35</v>
      </c>
      <c r="G66" s="33">
        <v>8</v>
      </c>
      <c r="H66" s="294">
        <v>10.8</v>
      </c>
      <c r="I66" s="294">
        <v>11.28</v>
      </c>
      <c r="J66" s="33">
        <v>56</v>
      </c>
      <c r="K66" s="34" t="s">
        <v>99</v>
      </c>
      <c r="L66" s="33">
        <v>45</v>
      </c>
      <c r="M66" s="398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76"/>
      <c r="O66" s="376"/>
      <c r="P66" s="376"/>
      <c r="Q66" s="319"/>
      <c r="R66" s="35"/>
      <c r="S66" s="35"/>
      <c r="T66" s="36" t="s">
        <v>62</v>
      </c>
      <c r="U66" s="295">
        <v>0</v>
      </c>
      <c r="V66" s="296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120</v>
      </c>
      <c r="B67" s="55" t="s">
        <v>121</v>
      </c>
      <c r="C67" s="32">
        <v>4301011514</v>
      </c>
      <c r="D67" s="374">
        <v>4680115882133</v>
      </c>
      <c r="E67" s="319"/>
      <c r="F67" s="294">
        <v>1.35</v>
      </c>
      <c r="G67" s="33">
        <v>8</v>
      </c>
      <c r="H67" s="294">
        <v>10.8</v>
      </c>
      <c r="I67" s="294">
        <v>11.28</v>
      </c>
      <c r="J67" s="33">
        <v>56</v>
      </c>
      <c r="K67" s="34" t="s">
        <v>99</v>
      </c>
      <c r="L67" s="33">
        <v>50</v>
      </c>
      <c r="M67" s="399" t="s">
        <v>122</v>
      </c>
      <c r="N67" s="376"/>
      <c r="O67" s="376"/>
      <c r="P67" s="376"/>
      <c r="Q67" s="319"/>
      <c r="R67" s="35"/>
      <c r="S67" s="35"/>
      <c r="T67" s="36" t="s">
        <v>62</v>
      </c>
      <c r="U67" s="295">
        <v>0</v>
      </c>
      <c r="V67" s="296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123</v>
      </c>
      <c r="B68" s="55" t="s">
        <v>124</v>
      </c>
      <c r="C68" s="32">
        <v>4301011192</v>
      </c>
      <c r="D68" s="374">
        <v>4607091382952</v>
      </c>
      <c r="E68" s="319"/>
      <c r="F68" s="294">
        <v>0.5</v>
      </c>
      <c r="G68" s="33">
        <v>6</v>
      </c>
      <c r="H68" s="294">
        <v>3</v>
      </c>
      <c r="I68" s="294">
        <v>3.2</v>
      </c>
      <c r="J68" s="33">
        <v>156</v>
      </c>
      <c r="K68" s="34" t="s">
        <v>99</v>
      </c>
      <c r="L68" s="33">
        <v>50</v>
      </c>
      <c r="M68" s="40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76"/>
      <c r="O68" s="376"/>
      <c r="P68" s="376"/>
      <c r="Q68" s="319"/>
      <c r="R68" s="35"/>
      <c r="S68" s="35"/>
      <c r="T68" s="36" t="s">
        <v>62</v>
      </c>
      <c r="U68" s="295">
        <v>0</v>
      </c>
      <c r="V68" s="296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125</v>
      </c>
      <c r="B69" s="55" t="s">
        <v>126</v>
      </c>
      <c r="C69" s="32">
        <v>4301011382</v>
      </c>
      <c r="D69" s="374">
        <v>4607091385687</v>
      </c>
      <c r="E69" s="319"/>
      <c r="F69" s="294">
        <v>0.4</v>
      </c>
      <c r="G69" s="33">
        <v>10</v>
      </c>
      <c r="H69" s="294">
        <v>4</v>
      </c>
      <c r="I69" s="294">
        <v>4.24</v>
      </c>
      <c r="J69" s="33">
        <v>120</v>
      </c>
      <c r="K69" s="34" t="s">
        <v>127</v>
      </c>
      <c r="L69" s="33">
        <v>50</v>
      </c>
      <c r="M69" s="40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76"/>
      <c r="O69" s="376"/>
      <c r="P69" s="376"/>
      <c r="Q69" s="319"/>
      <c r="R69" s="35"/>
      <c r="S69" s="35"/>
      <c r="T69" s="36" t="s">
        <v>62</v>
      </c>
      <c r="U69" s="295">
        <v>0</v>
      </c>
      <c r="V69" s="296">
        <f t="shared" si="2"/>
        <v>0</v>
      </c>
      <c r="W69" s="37" t="str">
        <f t="shared" ref="W69:W74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128</v>
      </c>
      <c r="B70" s="55" t="s">
        <v>129</v>
      </c>
      <c r="C70" s="32">
        <v>4301011344</v>
      </c>
      <c r="D70" s="374">
        <v>4607091384604</v>
      </c>
      <c r="E70" s="319"/>
      <c r="F70" s="294">
        <v>0.4</v>
      </c>
      <c r="G70" s="33">
        <v>10</v>
      </c>
      <c r="H70" s="294">
        <v>4</v>
      </c>
      <c r="I70" s="294">
        <v>4.24</v>
      </c>
      <c r="J70" s="33">
        <v>120</v>
      </c>
      <c r="K70" s="34" t="s">
        <v>99</v>
      </c>
      <c r="L70" s="33">
        <v>50</v>
      </c>
      <c r="M70" s="40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76"/>
      <c r="O70" s="376"/>
      <c r="P70" s="376"/>
      <c r="Q70" s="319"/>
      <c r="R70" s="35"/>
      <c r="S70" s="35"/>
      <c r="T70" s="36" t="s">
        <v>62</v>
      </c>
      <c r="U70" s="295">
        <v>0</v>
      </c>
      <c r="V70" s="296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130</v>
      </c>
      <c r="B71" s="55" t="s">
        <v>131</v>
      </c>
      <c r="C71" s="32">
        <v>4301011386</v>
      </c>
      <c r="D71" s="374">
        <v>4680115880283</v>
      </c>
      <c r="E71" s="319"/>
      <c r="F71" s="294">
        <v>0.6</v>
      </c>
      <c r="G71" s="33">
        <v>8</v>
      </c>
      <c r="H71" s="294">
        <v>4.8</v>
      </c>
      <c r="I71" s="294">
        <v>5.04</v>
      </c>
      <c r="J71" s="33">
        <v>120</v>
      </c>
      <c r="K71" s="34" t="s">
        <v>99</v>
      </c>
      <c r="L71" s="33">
        <v>45</v>
      </c>
      <c r="M71" s="40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76"/>
      <c r="O71" s="376"/>
      <c r="P71" s="376"/>
      <c r="Q71" s="319"/>
      <c r="R71" s="35"/>
      <c r="S71" s="35"/>
      <c r="T71" s="36" t="s">
        <v>62</v>
      </c>
      <c r="U71" s="295">
        <v>0</v>
      </c>
      <c r="V71" s="296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16.5" customHeight="1" x14ac:dyDescent="0.25">
      <c r="A72" s="55" t="s">
        <v>132</v>
      </c>
      <c r="B72" s="55" t="s">
        <v>133</v>
      </c>
      <c r="C72" s="32">
        <v>4301011476</v>
      </c>
      <c r="D72" s="374">
        <v>4680115881518</v>
      </c>
      <c r="E72" s="319"/>
      <c r="F72" s="294">
        <v>0.4</v>
      </c>
      <c r="G72" s="33">
        <v>10</v>
      </c>
      <c r="H72" s="294">
        <v>4</v>
      </c>
      <c r="I72" s="294">
        <v>4.24</v>
      </c>
      <c r="J72" s="33">
        <v>120</v>
      </c>
      <c r="K72" s="34" t="s">
        <v>127</v>
      </c>
      <c r="L72" s="33">
        <v>50</v>
      </c>
      <c r="M72" s="40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76"/>
      <c r="O72" s="376"/>
      <c r="P72" s="376"/>
      <c r="Q72" s="319"/>
      <c r="R72" s="35"/>
      <c r="S72" s="35"/>
      <c r="T72" s="36" t="s">
        <v>62</v>
      </c>
      <c r="U72" s="295">
        <v>0</v>
      </c>
      <c r="V72" s="296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27" customHeight="1" x14ac:dyDescent="0.25">
      <c r="A73" s="55" t="s">
        <v>134</v>
      </c>
      <c r="B73" s="55" t="s">
        <v>135</v>
      </c>
      <c r="C73" s="32">
        <v>4301011443</v>
      </c>
      <c r="D73" s="374">
        <v>4680115881303</v>
      </c>
      <c r="E73" s="319"/>
      <c r="F73" s="294">
        <v>0.45</v>
      </c>
      <c r="G73" s="33">
        <v>10</v>
      </c>
      <c r="H73" s="294">
        <v>4.5</v>
      </c>
      <c r="I73" s="294">
        <v>4.71</v>
      </c>
      <c r="J73" s="33">
        <v>120</v>
      </c>
      <c r="K73" s="34" t="s">
        <v>117</v>
      </c>
      <c r="L73" s="33">
        <v>50</v>
      </c>
      <c r="M73" s="40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76"/>
      <c r="O73" s="376"/>
      <c r="P73" s="376"/>
      <c r="Q73" s="319"/>
      <c r="R73" s="35"/>
      <c r="S73" s="35"/>
      <c r="T73" s="36" t="s">
        <v>62</v>
      </c>
      <c r="U73" s="295">
        <v>0</v>
      </c>
      <c r="V73" s="296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136</v>
      </c>
      <c r="B74" s="55" t="s">
        <v>137</v>
      </c>
      <c r="C74" s="32">
        <v>4301011414</v>
      </c>
      <c r="D74" s="374">
        <v>4607091381986</v>
      </c>
      <c r="E74" s="319"/>
      <c r="F74" s="294">
        <v>0.5</v>
      </c>
      <c r="G74" s="33">
        <v>10</v>
      </c>
      <c r="H74" s="294">
        <v>5</v>
      </c>
      <c r="I74" s="294">
        <v>5.24</v>
      </c>
      <c r="J74" s="33">
        <v>120</v>
      </c>
      <c r="K74" s="34" t="s">
        <v>99</v>
      </c>
      <c r="L74" s="33">
        <v>45</v>
      </c>
      <c r="M74" s="406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4" s="376"/>
      <c r="O74" s="376"/>
      <c r="P74" s="376"/>
      <c r="Q74" s="319"/>
      <c r="R74" s="35"/>
      <c r="S74" s="35"/>
      <c r="T74" s="36" t="s">
        <v>62</v>
      </c>
      <c r="U74" s="295">
        <v>0</v>
      </c>
      <c r="V74" s="296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138</v>
      </c>
      <c r="B75" s="55" t="s">
        <v>139</v>
      </c>
      <c r="C75" s="32">
        <v>4301011352</v>
      </c>
      <c r="D75" s="374">
        <v>4607091388466</v>
      </c>
      <c r="E75" s="319"/>
      <c r="F75" s="294">
        <v>0.45</v>
      </c>
      <c r="G75" s="33">
        <v>6</v>
      </c>
      <c r="H75" s="294">
        <v>2.7</v>
      </c>
      <c r="I75" s="294">
        <v>2.9</v>
      </c>
      <c r="J75" s="33">
        <v>156</v>
      </c>
      <c r="K75" s="34" t="s">
        <v>127</v>
      </c>
      <c r="L75" s="33">
        <v>45</v>
      </c>
      <c r="M75" s="40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76"/>
      <c r="O75" s="376"/>
      <c r="P75" s="376"/>
      <c r="Q75" s="319"/>
      <c r="R75" s="35"/>
      <c r="S75" s="35"/>
      <c r="T75" s="36" t="s">
        <v>62</v>
      </c>
      <c r="U75" s="295">
        <v>0</v>
      </c>
      <c r="V75" s="296">
        <f t="shared" si="2"/>
        <v>0</v>
      </c>
      <c r="W75" s="37" t="str">
        <f>IFERROR(IF(V75=0,"",ROUNDUP(V75/H75,0)*0.00753),"")</f>
        <v/>
      </c>
      <c r="X75" s="57"/>
      <c r="Y75" s="58"/>
      <c r="AC75" s="87" t="s">
        <v>1</v>
      </c>
    </row>
    <row r="76" spans="1:29" ht="27" customHeight="1" x14ac:dyDescent="0.25">
      <c r="A76" s="55" t="s">
        <v>140</v>
      </c>
      <c r="B76" s="55" t="s">
        <v>141</v>
      </c>
      <c r="C76" s="32">
        <v>4301011417</v>
      </c>
      <c r="D76" s="374">
        <v>4680115880269</v>
      </c>
      <c r="E76" s="319"/>
      <c r="F76" s="294">
        <v>0.375</v>
      </c>
      <c r="G76" s="33">
        <v>10</v>
      </c>
      <c r="H76" s="294">
        <v>3.75</v>
      </c>
      <c r="I76" s="294">
        <v>3.99</v>
      </c>
      <c r="J76" s="33">
        <v>120</v>
      </c>
      <c r="K76" s="34" t="s">
        <v>127</v>
      </c>
      <c r="L76" s="33">
        <v>50</v>
      </c>
      <c r="M76" s="40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76"/>
      <c r="O76" s="376"/>
      <c r="P76" s="376"/>
      <c r="Q76" s="319"/>
      <c r="R76" s="35"/>
      <c r="S76" s="35"/>
      <c r="T76" s="36" t="s">
        <v>62</v>
      </c>
      <c r="U76" s="295">
        <v>0</v>
      </c>
      <c r="V76" s="296">
        <f t="shared" si="2"/>
        <v>0</v>
      </c>
      <c r="W76" s="37" t="str">
        <f>IFERROR(IF(V76=0,"",ROUNDUP(V76/H76,0)*0.00937),"")</f>
        <v/>
      </c>
      <c r="X76" s="57"/>
      <c r="Y76" s="58"/>
      <c r="AC76" s="88" t="s">
        <v>1</v>
      </c>
    </row>
    <row r="77" spans="1:29" ht="16.5" customHeight="1" x14ac:dyDescent="0.25">
      <c r="A77" s="55" t="s">
        <v>142</v>
      </c>
      <c r="B77" s="55" t="s">
        <v>143</v>
      </c>
      <c r="C77" s="32">
        <v>4301011415</v>
      </c>
      <c r="D77" s="374">
        <v>4680115880429</v>
      </c>
      <c r="E77" s="319"/>
      <c r="F77" s="294">
        <v>0.45</v>
      </c>
      <c r="G77" s="33">
        <v>10</v>
      </c>
      <c r="H77" s="294">
        <v>4.5</v>
      </c>
      <c r="I77" s="294">
        <v>4.74</v>
      </c>
      <c r="J77" s="33">
        <v>120</v>
      </c>
      <c r="K77" s="34" t="s">
        <v>127</v>
      </c>
      <c r="L77" s="33">
        <v>50</v>
      </c>
      <c r="M77" s="40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76"/>
      <c r="O77" s="376"/>
      <c r="P77" s="376"/>
      <c r="Q77" s="319"/>
      <c r="R77" s="35"/>
      <c r="S77" s="35"/>
      <c r="T77" s="36" t="s">
        <v>62</v>
      </c>
      <c r="U77" s="295">
        <v>0</v>
      </c>
      <c r="V77" s="296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144</v>
      </c>
      <c r="B78" s="55" t="s">
        <v>145</v>
      </c>
      <c r="C78" s="32">
        <v>4301011462</v>
      </c>
      <c r="D78" s="374">
        <v>4680115881457</v>
      </c>
      <c r="E78" s="319"/>
      <c r="F78" s="294">
        <v>0.75</v>
      </c>
      <c r="G78" s="33">
        <v>6</v>
      </c>
      <c r="H78" s="294">
        <v>4.5</v>
      </c>
      <c r="I78" s="294">
        <v>4.74</v>
      </c>
      <c r="J78" s="33">
        <v>120</v>
      </c>
      <c r="K78" s="34" t="s">
        <v>127</v>
      </c>
      <c r="L78" s="33">
        <v>50</v>
      </c>
      <c r="M78" s="41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76"/>
      <c r="O78" s="376"/>
      <c r="P78" s="376"/>
      <c r="Q78" s="319"/>
      <c r="R78" s="35"/>
      <c r="S78" s="35"/>
      <c r="T78" s="36" t="s">
        <v>62</v>
      </c>
      <c r="U78" s="295">
        <v>0</v>
      </c>
      <c r="V78" s="296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x14ac:dyDescent="0.2">
      <c r="A79" s="378"/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79"/>
      <c r="M79" s="377" t="s">
        <v>63</v>
      </c>
      <c r="N79" s="331"/>
      <c r="O79" s="331"/>
      <c r="P79" s="331"/>
      <c r="Q79" s="331"/>
      <c r="R79" s="331"/>
      <c r="S79" s="332"/>
      <c r="T79" s="38" t="s">
        <v>64</v>
      </c>
      <c r="U79" s="29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29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29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298"/>
      <c r="Y79" s="298"/>
    </row>
    <row r="80" spans="1:29" x14ac:dyDescent="0.2">
      <c r="A80" s="303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79"/>
      <c r="M80" s="377" t="s">
        <v>63</v>
      </c>
      <c r="N80" s="331"/>
      <c r="O80" s="331"/>
      <c r="P80" s="331"/>
      <c r="Q80" s="331"/>
      <c r="R80" s="331"/>
      <c r="S80" s="332"/>
      <c r="T80" s="38" t="s">
        <v>62</v>
      </c>
      <c r="U80" s="297">
        <f>IFERROR(SUM(U63:U78),"0")</f>
        <v>0</v>
      </c>
      <c r="V80" s="297">
        <f>IFERROR(SUM(V63:V78),"0")</f>
        <v>0</v>
      </c>
      <c r="W80" s="38"/>
      <c r="X80" s="298"/>
      <c r="Y80" s="298"/>
    </row>
    <row r="81" spans="1:29" ht="14.25" customHeight="1" x14ac:dyDescent="0.25">
      <c r="A81" s="373" t="s">
        <v>96</v>
      </c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290"/>
      <c r="Y81" s="290"/>
    </row>
    <row r="82" spans="1:29" ht="16.5" customHeight="1" x14ac:dyDescent="0.25">
      <c r="A82" s="55" t="s">
        <v>146</v>
      </c>
      <c r="B82" s="55" t="s">
        <v>147</v>
      </c>
      <c r="C82" s="32">
        <v>4301020204</v>
      </c>
      <c r="D82" s="374">
        <v>4607091388442</v>
      </c>
      <c r="E82" s="319"/>
      <c r="F82" s="294">
        <v>1.35</v>
      </c>
      <c r="G82" s="33">
        <v>8</v>
      </c>
      <c r="H82" s="294">
        <v>10.8</v>
      </c>
      <c r="I82" s="294">
        <v>11.28</v>
      </c>
      <c r="J82" s="33">
        <v>56</v>
      </c>
      <c r="K82" s="34" t="s">
        <v>99</v>
      </c>
      <c r="L82" s="33">
        <v>45</v>
      </c>
      <c r="M82" s="411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2" s="376"/>
      <c r="O82" s="376"/>
      <c r="P82" s="376"/>
      <c r="Q82" s="319"/>
      <c r="R82" s="35"/>
      <c r="S82" s="35"/>
      <c r="T82" s="36" t="s">
        <v>62</v>
      </c>
      <c r="U82" s="295">
        <v>0</v>
      </c>
      <c r="V82" s="296">
        <f t="shared" ref="V82:V87" si="4">IFERROR(IF(U82="",0,CEILING((U82/$H82),1)*$H82),"")</f>
        <v>0</v>
      </c>
      <c r="W82" s="37" t="str">
        <f>IFERROR(IF(V82=0,"",ROUNDUP(V82/H82,0)*0.02175),"")</f>
        <v/>
      </c>
      <c r="X82" s="57"/>
      <c r="Y82" s="58"/>
      <c r="AC82" s="91" t="s">
        <v>1</v>
      </c>
    </row>
    <row r="83" spans="1:29" ht="27" customHeight="1" x14ac:dyDescent="0.25">
      <c r="A83" s="55" t="s">
        <v>148</v>
      </c>
      <c r="B83" s="55" t="s">
        <v>149</v>
      </c>
      <c r="C83" s="32">
        <v>4301020189</v>
      </c>
      <c r="D83" s="374">
        <v>4607091384789</v>
      </c>
      <c r="E83" s="319"/>
      <c r="F83" s="294">
        <v>1</v>
      </c>
      <c r="G83" s="33">
        <v>6</v>
      </c>
      <c r="H83" s="294">
        <v>6</v>
      </c>
      <c r="I83" s="294">
        <v>6.36</v>
      </c>
      <c r="J83" s="33">
        <v>104</v>
      </c>
      <c r="K83" s="34" t="s">
        <v>99</v>
      </c>
      <c r="L83" s="33">
        <v>45</v>
      </c>
      <c r="M83" s="412" t="s">
        <v>150</v>
      </c>
      <c r="N83" s="376"/>
      <c r="O83" s="376"/>
      <c r="P83" s="376"/>
      <c r="Q83" s="319"/>
      <c r="R83" s="35"/>
      <c r="S83" s="35"/>
      <c r="T83" s="36" t="s">
        <v>62</v>
      </c>
      <c r="U83" s="295">
        <v>0</v>
      </c>
      <c r="V83" s="296">
        <f t="shared" si="4"/>
        <v>0</v>
      </c>
      <c r="W83" s="37" t="str">
        <f>IFERROR(IF(V83=0,"",ROUNDUP(V83/H83,0)*0.01196),"")</f>
        <v/>
      </c>
      <c r="X83" s="57"/>
      <c r="Y83" s="58"/>
      <c r="AC83" s="92" t="s">
        <v>1</v>
      </c>
    </row>
    <row r="84" spans="1:29" ht="16.5" customHeight="1" x14ac:dyDescent="0.25">
      <c r="A84" s="55" t="s">
        <v>151</v>
      </c>
      <c r="B84" s="55" t="s">
        <v>152</v>
      </c>
      <c r="C84" s="32">
        <v>4301020235</v>
      </c>
      <c r="D84" s="374">
        <v>4680115881488</v>
      </c>
      <c r="E84" s="319"/>
      <c r="F84" s="294">
        <v>1.35</v>
      </c>
      <c r="G84" s="33">
        <v>8</v>
      </c>
      <c r="H84" s="294">
        <v>10.8</v>
      </c>
      <c r="I84" s="294">
        <v>11.28</v>
      </c>
      <c r="J84" s="33">
        <v>48</v>
      </c>
      <c r="K84" s="34" t="s">
        <v>99</v>
      </c>
      <c r="L84" s="33">
        <v>50</v>
      </c>
      <c r="M84" s="41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4" s="376"/>
      <c r="O84" s="376"/>
      <c r="P84" s="376"/>
      <c r="Q84" s="319"/>
      <c r="R84" s="35"/>
      <c r="S84" s="35"/>
      <c r="T84" s="36" t="s">
        <v>62</v>
      </c>
      <c r="U84" s="295">
        <v>0</v>
      </c>
      <c r="V84" s="296">
        <f t="shared" si="4"/>
        <v>0</v>
      </c>
      <c r="W84" s="37" t="str">
        <f>IFERROR(IF(V84=0,"",ROUNDUP(V84/H84,0)*0.02175),"")</f>
        <v/>
      </c>
      <c r="X84" s="57"/>
      <c r="Y84" s="58"/>
      <c r="AC84" s="93" t="s">
        <v>1</v>
      </c>
    </row>
    <row r="85" spans="1:29" ht="27" customHeight="1" x14ac:dyDescent="0.25">
      <c r="A85" s="55" t="s">
        <v>153</v>
      </c>
      <c r="B85" s="55" t="s">
        <v>154</v>
      </c>
      <c r="C85" s="32">
        <v>4301020183</v>
      </c>
      <c r="D85" s="374">
        <v>4607091384765</v>
      </c>
      <c r="E85" s="319"/>
      <c r="F85" s="294">
        <v>0.42</v>
      </c>
      <c r="G85" s="33">
        <v>6</v>
      </c>
      <c r="H85" s="294">
        <v>2.52</v>
      </c>
      <c r="I85" s="294">
        <v>2.72</v>
      </c>
      <c r="J85" s="33">
        <v>156</v>
      </c>
      <c r="K85" s="34" t="s">
        <v>99</v>
      </c>
      <c r="L85" s="33">
        <v>45</v>
      </c>
      <c r="M85" s="414" t="s">
        <v>155</v>
      </c>
      <c r="N85" s="376"/>
      <c r="O85" s="376"/>
      <c r="P85" s="376"/>
      <c r="Q85" s="319"/>
      <c r="R85" s="35"/>
      <c r="S85" s="35"/>
      <c r="T85" s="36" t="s">
        <v>62</v>
      </c>
      <c r="U85" s="295">
        <v>0</v>
      </c>
      <c r="V85" s="296">
        <f t="shared" si="4"/>
        <v>0</v>
      </c>
      <c r="W85" s="37" t="str">
        <f>IFERROR(IF(V85=0,"",ROUNDUP(V85/H85,0)*0.00753),"")</f>
        <v/>
      </c>
      <c r="X85" s="57"/>
      <c r="Y85" s="58"/>
      <c r="AC85" s="94" t="s">
        <v>1</v>
      </c>
    </row>
    <row r="86" spans="1:29" ht="27" customHeight="1" x14ac:dyDescent="0.25">
      <c r="A86" s="55" t="s">
        <v>156</v>
      </c>
      <c r="B86" s="55" t="s">
        <v>157</v>
      </c>
      <c r="C86" s="32">
        <v>4301020217</v>
      </c>
      <c r="D86" s="374">
        <v>4680115880658</v>
      </c>
      <c r="E86" s="319"/>
      <c r="F86" s="294">
        <v>0.4</v>
      </c>
      <c r="G86" s="33">
        <v>6</v>
      </c>
      <c r="H86" s="294">
        <v>2.4</v>
      </c>
      <c r="I86" s="294">
        <v>2.6</v>
      </c>
      <c r="J86" s="33">
        <v>156</v>
      </c>
      <c r="K86" s="34" t="s">
        <v>99</v>
      </c>
      <c r="L86" s="33">
        <v>50</v>
      </c>
      <c r="M86" s="41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76"/>
      <c r="O86" s="376"/>
      <c r="P86" s="376"/>
      <c r="Q86" s="319"/>
      <c r="R86" s="35"/>
      <c r="S86" s="35"/>
      <c r="T86" s="36" t="s">
        <v>62</v>
      </c>
      <c r="U86" s="295">
        <v>0</v>
      </c>
      <c r="V86" s="296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158</v>
      </c>
      <c r="B87" s="55" t="s">
        <v>159</v>
      </c>
      <c r="C87" s="32">
        <v>4301020223</v>
      </c>
      <c r="D87" s="374">
        <v>4607091381962</v>
      </c>
      <c r="E87" s="319"/>
      <c r="F87" s="294">
        <v>0.5</v>
      </c>
      <c r="G87" s="33">
        <v>6</v>
      </c>
      <c r="H87" s="294">
        <v>3</v>
      </c>
      <c r="I87" s="294">
        <v>3.2</v>
      </c>
      <c r="J87" s="33">
        <v>156</v>
      </c>
      <c r="K87" s="34" t="s">
        <v>99</v>
      </c>
      <c r="L87" s="33">
        <v>50</v>
      </c>
      <c r="M87" s="41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76"/>
      <c r="O87" s="376"/>
      <c r="P87" s="376"/>
      <c r="Q87" s="319"/>
      <c r="R87" s="35"/>
      <c r="S87" s="35"/>
      <c r="T87" s="36" t="s">
        <v>62</v>
      </c>
      <c r="U87" s="295">
        <v>0</v>
      </c>
      <c r="V87" s="296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x14ac:dyDescent="0.2">
      <c r="A88" s="378"/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79"/>
      <c r="M88" s="377" t="s">
        <v>63</v>
      </c>
      <c r="N88" s="331"/>
      <c r="O88" s="331"/>
      <c r="P88" s="331"/>
      <c r="Q88" s="331"/>
      <c r="R88" s="331"/>
      <c r="S88" s="332"/>
      <c r="T88" s="38" t="s">
        <v>64</v>
      </c>
      <c r="U88" s="297">
        <f>IFERROR(U82/H82,"0")+IFERROR(U83/H83,"0")+IFERROR(U84/H84,"0")+IFERROR(U85/H85,"0")+IFERROR(U86/H86,"0")+IFERROR(U87/H87,"0")</f>
        <v>0</v>
      </c>
      <c r="V88" s="297">
        <f>IFERROR(V82/H82,"0")+IFERROR(V83/H83,"0")+IFERROR(V84/H84,"0")+IFERROR(V85/H85,"0")+IFERROR(V86/H86,"0")+IFERROR(V87/H87,"0")</f>
        <v>0</v>
      </c>
      <c r="W88" s="297">
        <f>IFERROR(IF(W82="",0,W82),"0")+IFERROR(IF(W83="",0,W83),"0")+IFERROR(IF(W84="",0,W84),"0")+IFERROR(IF(W85="",0,W85),"0")+IFERROR(IF(W86="",0,W86),"0")+IFERROR(IF(W87="",0,W87),"0")</f>
        <v>0</v>
      </c>
      <c r="X88" s="298"/>
      <c r="Y88" s="298"/>
    </row>
    <row r="89" spans="1:29" x14ac:dyDescent="0.2">
      <c r="A89" s="303"/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79"/>
      <c r="M89" s="377" t="s">
        <v>63</v>
      </c>
      <c r="N89" s="331"/>
      <c r="O89" s="331"/>
      <c r="P89" s="331"/>
      <c r="Q89" s="331"/>
      <c r="R89" s="331"/>
      <c r="S89" s="332"/>
      <c r="T89" s="38" t="s">
        <v>62</v>
      </c>
      <c r="U89" s="297">
        <f>IFERROR(SUM(U82:U87),"0")</f>
        <v>0</v>
      </c>
      <c r="V89" s="297">
        <f>IFERROR(SUM(V82:V87),"0")</f>
        <v>0</v>
      </c>
      <c r="W89" s="38"/>
      <c r="X89" s="298"/>
      <c r="Y89" s="298"/>
    </row>
    <row r="90" spans="1:29" ht="14.25" customHeight="1" x14ac:dyDescent="0.25">
      <c r="A90" s="373" t="s">
        <v>57</v>
      </c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290"/>
      <c r="Y90" s="290"/>
    </row>
    <row r="91" spans="1:29" ht="16.5" customHeight="1" x14ac:dyDescent="0.25">
      <c r="A91" s="55" t="s">
        <v>160</v>
      </c>
      <c r="B91" s="55" t="s">
        <v>161</v>
      </c>
      <c r="C91" s="32">
        <v>4301030895</v>
      </c>
      <c r="D91" s="374">
        <v>4607091387667</v>
      </c>
      <c r="E91" s="319"/>
      <c r="F91" s="294">
        <v>0.9</v>
      </c>
      <c r="G91" s="33">
        <v>10</v>
      </c>
      <c r="H91" s="294">
        <v>9</v>
      </c>
      <c r="I91" s="294">
        <v>9.6300000000000008</v>
      </c>
      <c r="J91" s="33">
        <v>56</v>
      </c>
      <c r="K91" s="34" t="s">
        <v>99</v>
      </c>
      <c r="L91" s="33">
        <v>40</v>
      </c>
      <c r="M91" s="41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1" s="376"/>
      <c r="O91" s="376"/>
      <c r="P91" s="376"/>
      <c r="Q91" s="319"/>
      <c r="R91" s="35"/>
      <c r="S91" s="35"/>
      <c r="T91" s="36" t="s">
        <v>62</v>
      </c>
      <c r="U91" s="295">
        <v>0</v>
      </c>
      <c r="V91" s="296">
        <f t="shared" ref="V91:V99" si="5">IFERROR(IF(U91="",0,CEILING((U91/$H91),1)*$H91),"")</f>
        <v>0</v>
      </c>
      <c r="W91" s="37" t="str">
        <f>IFERROR(IF(V91=0,"",ROUNDUP(V91/H91,0)*0.02175),"")</f>
        <v/>
      </c>
      <c r="X91" s="57"/>
      <c r="Y91" s="58"/>
      <c r="AC91" s="97" t="s">
        <v>1</v>
      </c>
    </row>
    <row r="92" spans="1:29" ht="27" customHeight="1" x14ac:dyDescent="0.25">
      <c r="A92" s="55" t="s">
        <v>162</v>
      </c>
      <c r="B92" s="55" t="s">
        <v>163</v>
      </c>
      <c r="C92" s="32">
        <v>4301030961</v>
      </c>
      <c r="D92" s="374">
        <v>4607091387636</v>
      </c>
      <c r="E92" s="319"/>
      <c r="F92" s="294">
        <v>0.7</v>
      </c>
      <c r="G92" s="33">
        <v>6</v>
      </c>
      <c r="H92" s="294">
        <v>4.2</v>
      </c>
      <c r="I92" s="294">
        <v>4.5</v>
      </c>
      <c r="J92" s="33">
        <v>120</v>
      </c>
      <c r="K92" s="34" t="s">
        <v>60</v>
      </c>
      <c r="L92" s="33">
        <v>40</v>
      </c>
      <c r="M92" s="4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2" s="376"/>
      <c r="O92" s="376"/>
      <c r="P92" s="376"/>
      <c r="Q92" s="319"/>
      <c r="R92" s="35"/>
      <c r="S92" s="35"/>
      <c r="T92" s="36" t="s">
        <v>62</v>
      </c>
      <c r="U92" s="295">
        <v>0</v>
      </c>
      <c r="V92" s="296">
        <f t="shared" si="5"/>
        <v>0</v>
      </c>
      <c r="W92" s="37" t="str">
        <f>IFERROR(IF(V92=0,"",ROUNDUP(V92/H92,0)*0.00937),"")</f>
        <v/>
      </c>
      <c r="X92" s="57"/>
      <c r="Y92" s="58"/>
      <c r="AC92" s="98" t="s">
        <v>1</v>
      </c>
    </row>
    <row r="93" spans="1:29" ht="27" customHeight="1" x14ac:dyDescent="0.25">
      <c r="A93" s="55" t="s">
        <v>164</v>
      </c>
      <c r="B93" s="55" t="s">
        <v>165</v>
      </c>
      <c r="C93" s="32">
        <v>4301031078</v>
      </c>
      <c r="D93" s="374">
        <v>4607091384727</v>
      </c>
      <c r="E93" s="319"/>
      <c r="F93" s="294">
        <v>0.8</v>
      </c>
      <c r="G93" s="33">
        <v>6</v>
      </c>
      <c r="H93" s="294">
        <v>4.8</v>
      </c>
      <c r="I93" s="294">
        <v>5.16</v>
      </c>
      <c r="J93" s="33">
        <v>104</v>
      </c>
      <c r="K93" s="34" t="s">
        <v>60</v>
      </c>
      <c r="L93" s="33">
        <v>45</v>
      </c>
      <c r="M93" s="419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3" s="376"/>
      <c r="O93" s="376"/>
      <c r="P93" s="376"/>
      <c r="Q93" s="319"/>
      <c r="R93" s="35"/>
      <c r="S93" s="35"/>
      <c r="T93" s="36" t="s">
        <v>62</v>
      </c>
      <c r="U93" s="295">
        <v>0</v>
      </c>
      <c r="V93" s="296">
        <f t="shared" si="5"/>
        <v>0</v>
      </c>
      <c r="W93" s="37" t="str">
        <f>IFERROR(IF(V93=0,"",ROUNDUP(V93/H93,0)*0.01196),"")</f>
        <v/>
      </c>
      <c r="X93" s="57"/>
      <c r="Y93" s="58"/>
      <c r="AC93" s="99" t="s">
        <v>1</v>
      </c>
    </row>
    <row r="94" spans="1:29" ht="27" customHeight="1" x14ac:dyDescent="0.25">
      <c r="A94" s="55" t="s">
        <v>166</v>
      </c>
      <c r="B94" s="55" t="s">
        <v>167</v>
      </c>
      <c r="C94" s="32">
        <v>4301031080</v>
      </c>
      <c r="D94" s="374">
        <v>4607091386745</v>
      </c>
      <c r="E94" s="319"/>
      <c r="F94" s="294">
        <v>0.8</v>
      </c>
      <c r="G94" s="33">
        <v>6</v>
      </c>
      <c r="H94" s="294">
        <v>4.8</v>
      </c>
      <c r="I94" s="294">
        <v>5.16</v>
      </c>
      <c r="J94" s="33">
        <v>104</v>
      </c>
      <c r="K94" s="34" t="s">
        <v>60</v>
      </c>
      <c r="L94" s="33">
        <v>45</v>
      </c>
      <c r="M94" s="420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4" s="376"/>
      <c r="O94" s="376"/>
      <c r="P94" s="376"/>
      <c r="Q94" s="319"/>
      <c r="R94" s="35"/>
      <c r="S94" s="35"/>
      <c r="T94" s="36" t="s">
        <v>62</v>
      </c>
      <c r="U94" s="295">
        <v>0</v>
      </c>
      <c r="V94" s="296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16.5" customHeight="1" x14ac:dyDescent="0.25">
      <c r="A95" s="55" t="s">
        <v>168</v>
      </c>
      <c r="B95" s="55" t="s">
        <v>169</v>
      </c>
      <c r="C95" s="32">
        <v>4301030963</v>
      </c>
      <c r="D95" s="374">
        <v>4607091382426</v>
      </c>
      <c r="E95" s="319"/>
      <c r="F95" s="294">
        <v>0.9</v>
      </c>
      <c r="G95" s="33">
        <v>10</v>
      </c>
      <c r="H95" s="294">
        <v>9</v>
      </c>
      <c r="I95" s="294">
        <v>9.6300000000000008</v>
      </c>
      <c r="J95" s="33">
        <v>56</v>
      </c>
      <c r="K95" s="34" t="s">
        <v>60</v>
      </c>
      <c r="L95" s="33">
        <v>40</v>
      </c>
      <c r="M95" s="42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5" s="376"/>
      <c r="O95" s="376"/>
      <c r="P95" s="376"/>
      <c r="Q95" s="319"/>
      <c r="R95" s="35"/>
      <c r="S95" s="35"/>
      <c r="T95" s="36" t="s">
        <v>62</v>
      </c>
      <c r="U95" s="295">
        <v>0</v>
      </c>
      <c r="V95" s="296">
        <f t="shared" si="5"/>
        <v>0</v>
      </c>
      <c r="W95" s="37" t="str">
        <f>IFERROR(IF(V95=0,"",ROUNDUP(V95/H95,0)*0.02175),"")</f>
        <v/>
      </c>
      <c r="X95" s="57"/>
      <c r="Y95" s="58"/>
      <c r="AC95" s="101" t="s">
        <v>1</v>
      </c>
    </row>
    <row r="96" spans="1:29" ht="27" customHeight="1" x14ac:dyDescent="0.25">
      <c r="A96" s="55" t="s">
        <v>170</v>
      </c>
      <c r="B96" s="55" t="s">
        <v>171</v>
      </c>
      <c r="C96" s="32">
        <v>4301030962</v>
      </c>
      <c r="D96" s="374">
        <v>4607091386547</v>
      </c>
      <c r="E96" s="319"/>
      <c r="F96" s="294">
        <v>0.35</v>
      </c>
      <c r="G96" s="33">
        <v>8</v>
      </c>
      <c r="H96" s="294">
        <v>2.8</v>
      </c>
      <c r="I96" s="294">
        <v>2.94</v>
      </c>
      <c r="J96" s="33">
        <v>234</v>
      </c>
      <c r="K96" s="34" t="s">
        <v>60</v>
      </c>
      <c r="L96" s="33">
        <v>40</v>
      </c>
      <c r="M96" s="42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6" s="376"/>
      <c r="O96" s="376"/>
      <c r="P96" s="376"/>
      <c r="Q96" s="319"/>
      <c r="R96" s="35"/>
      <c r="S96" s="35"/>
      <c r="T96" s="36" t="s">
        <v>62</v>
      </c>
      <c r="U96" s="295">
        <v>0</v>
      </c>
      <c r="V96" s="296">
        <f t="shared" si="5"/>
        <v>0</v>
      </c>
      <c r="W96" s="37" t="str">
        <f>IFERROR(IF(V96=0,"",ROUNDUP(V96/H96,0)*0.00502),"")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172</v>
      </c>
      <c r="B97" s="55" t="s">
        <v>173</v>
      </c>
      <c r="C97" s="32">
        <v>4301031077</v>
      </c>
      <c r="D97" s="374">
        <v>4607091384703</v>
      </c>
      <c r="E97" s="319"/>
      <c r="F97" s="294">
        <v>0.35</v>
      </c>
      <c r="G97" s="33">
        <v>6</v>
      </c>
      <c r="H97" s="294">
        <v>2.1</v>
      </c>
      <c r="I97" s="294">
        <v>2.2000000000000002</v>
      </c>
      <c r="J97" s="33">
        <v>234</v>
      </c>
      <c r="K97" s="34" t="s">
        <v>60</v>
      </c>
      <c r="L97" s="33">
        <v>45</v>
      </c>
      <c r="M97" s="42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7" s="376"/>
      <c r="O97" s="376"/>
      <c r="P97" s="376"/>
      <c r="Q97" s="319"/>
      <c r="R97" s="35"/>
      <c r="S97" s="35"/>
      <c r="T97" s="36" t="s">
        <v>62</v>
      </c>
      <c r="U97" s="295">
        <v>0</v>
      </c>
      <c r="V97" s="296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174</v>
      </c>
      <c r="B98" s="55" t="s">
        <v>175</v>
      </c>
      <c r="C98" s="32">
        <v>4301031079</v>
      </c>
      <c r="D98" s="374">
        <v>4607091384734</v>
      </c>
      <c r="E98" s="319"/>
      <c r="F98" s="294">
        <v>0.35</v>
      </c>
      <c r="G98" s="33">
        <v>6</v>
      </c>
      <c r="H98" s="294">
        <v>2.1</v>
      </c>
      <c r="I98" s="294">
        <v>2.2000000000000002</v>
      </c>
      <c r="J98" s="33">
        <v>234</v>
      </c>
      <c r="K98" s="34" t="s">
        <v>60</v>
      </c>
      <c r="L98" s="33">
        <v>45</v>
      </c>
      <c r="M98" s="4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8" s="376"/>
      <c r="O98" s="376"/>
      <c r="P98" s="376"/>
      <c r="Q98" s="319"/>
      <c r="R98" s="35"/>
      <c r="S98" s="35"/>
      <c r="T98" s="36" t="s">
        <v>62</v>
      </c>
      <c r="U98" s="295">
        <v>0</v>
      </c>
      <c r="V98" s="296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176</v>
      </c>
      <c r="B99" s="55" t="s">
        <v>177</v>
      </c>
      <c r="C99" s="32">
        <v>4301030964</v>
      </c>
      <c r="D99" s="374">
        <v>4607091382464</v>
      </c>
      <c r="E99" s="319"/>
      <c r="F99" s="294">
        <v>0.35</v>
      </c>
      <c r="G99" s="33">
        <v>8</v>
      </c>
      <c r="H99" s="294">
        <v>2.8</v>
      </c>
      <c r="I99" s="294">
        <v>2.964</v>
      </c>
      <c r="J99" s="33">
        <v>234</v>
      </c>
      <c r="K99" s="34" t="s">
        <v>60</v>
      </c>
      <c r="L99" s="33">
        <v>40</v>
      </c>
      <c r="M99" s="4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9" s="376"/>
      <c r="O99" s="376"/>
      <c r="P99" s="376"/>
      <c r="Q99" s="319"/>
      <c r="R99" s="35"/>
      <c r="S99" s="35"/>
      <c r="T99" s="36" t="s">
        <v>62</v>
      </c>
      <c r="U99" s="295">
        <v>0</v>
      </c>
      <c r="V99" s="296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x14ac:dyDescent="0.2">
      <c r="A100" s="378"/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79"/>
      <c r="M100" s="377" t="s">
        <v>63</v>
      </c>
      <c r="N100" s="331"/>
      <c r="O100" s="331"/>
      <c r="P100" s="331"/>
      <c r="Q100" s="331"/>
      <c r="R100" s="331"/>
      <c r="S100" s="332"/>
      <c r="T100" s="38" t="s">
        <v>64</v>
      </c>
      <c r="U100" s="297">
        <f>IFERROR(U91/H91,"0")+IFERROR(U92/H92,"0")+IFERROR(U93/H93,"0")+IFERROR(U94/H94,"0")+IFERROR(U95/H95,"0")+IFERROR(U96/H96,"0")+IFERROR(U97/H97,"0")+IFERROR(U98/H98,"0")+IFERROR(U99/H99,"0")</f>
        <v>0</v>
      </c>
      <c r="V100" s="297">
        <f>IFERROR(V91/H91,"0")+IFERROR(V92/H92,"0")+IFERROR(V93/H93,"0")+IFERROR(V94/H94,"0")+IFERROR(V95/H95,"0")+IFERROR(V96/H96,"0")+IFERROR(V97/H97,"0")+IFERROR(V98/H98,"0")+IFERROR(V99/H99,"0")</f>
        <v>0</v>
      </c>
      <c r="W100" s="297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298"/>
      <c r="Y100" s="298"/>
    </row>
    <row r="101" spans="1:29" x14ac:dyDescent="0.2">
      <c r="A101" s="303"/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79"/>
      <c r="M101" s="377" t="s">
        <v>63</v>
      </c>
      <c r="N101" s="331"/>
      <c r="O101" s="331"/>
      <c r="P101" s="331"/>
      <c r="Q101" s="331"/>
      <c r="R101" s="331"/>
      <c r="S101" s="332"/>
      <c r="T101" s="38" t="s">
        <v>62</v>
      </c>
      <c r="U101" s="297">
        <f>IFERROR(SUM(U91:U99),"0")</f>
        <v>0</v>
      </c>
      <c r="V101" s="297">
        <f>IFERROR(SUM(V91:V99),"0")</f>
        <v>0</v>
      </c>
      <c r="W101" s="38"/>
      <c r="X101" s="298"/>
      <c r="Y101" s="298"/>
    </row>
    <row r="102" spans="1:29" ht="14.25" customHeight="1" x14ac:dyDescent="0.25">
      <c r="A102" s="373" t="s">
        <v>65</v>
      </c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290"/>
      <c r="Y102" s="290"/>
    </row>
    <row r="103" spans="1:29" ht="27" customHeight="1" x14ac:dyDescent="0.25">
      <c r="A103" s="55" t="s">
        <v>178</v>
      </c>
      <c r="B103" s="55" t="s">
        <v>179</v>
      </c>
      <c r="C103" s="32">
        <v>4301051437</v>
      </c>
      <c r="D103" s="374">
        <v>4607091386967</v>
      </c>
      <c r="E103" s="319"/>
      <c r="F103" s="294">
        <v>1.35</v>
      </c>
      <c r="G103" s="33">
        <v>6</v>
      </c>
      <c r="H103" s="294">
        <v>8.1</v>
      </c>
      <c r="I103" s="294">
        <v>8.6639999999999997</v>
      </c>
      <c r="J103" s="33">
        <v>56</v>
      </c>
      <c r="K103" s="34" t="s">
        <v>127</v>
      </c>
      <c r="L103" s="33">
        <v>45</v>
      </c>
      <c r="M103" s="426" t="s">
        <v>180</v>
      </c>
      <c r="N103" s="376"/>
      <c r="O103" s="376"/>
      <c r="P103" s="376"/>
      <c r="Q103" s="319"/>
      <c r="R103" s="35"/>
      <c r="S103" s="35"/>
      <c r="T103" s="36" t="s">
        <v>62</v>
      </c>
      <c r="U103" s="295">
        <v>0</v>
      </c>
      <c r="V103" s="296">
        <f t="shared" ref="V103:V109" si="6">IFERROR(IF(U103="",0,CEILING((U103/$H103),1)*$H103),"")</f>
        <v>0</v>
      </c>
      <c r="W103" s="37" t="str">
        <f>IFERROR(IF(V103=0,"",ROUNDUP(V103/H103,0)*0.02175),"")</f>
        <v/>
      </c>
      <c r="X103" s="57"/>
      <c r="Y103" s="58"/>
      <c r="AC103" s="106" t="s">
        <v>1</v>
      </c>
    </row>
    <row r="104" spans="1:29" ht="16.5" customHeight="1" x14ac:dyDescent="0.25">
      <c r="A104" s="55" t="s">
        <v>181</v>
      </c>
      <c r="B104" s="55" t="s">
        <v>182</v>
      </c>
      <c r="C104" s="32">
        <v>4301051311</v>
      </c>
      <c r="D104" s="374">
        <v>4607091385304</v>
      </c>
      <c r="E104" s="319"/>
      <c r="F104" s="294">
        <v>1.35</v>
      </c>
      <c r="G104" s="33">
        <v>6</v>
      </c>
      <c r="H104" s="294">
        <v>8.1</v>
      </c>
      <c r="I104" s="294">
        <v>8.6639999999999997</v>
      </c>
      <c r="J104" s="33">
        <v>56</v>
      </c>
      <c r="K104" s="34" t="s">
        <v>60</v>
      </c>
      <c r="L104" s="33">
        <v>40</v>
      </c>
      <c r="M104" s="42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4" s="376"/>
      <c r="O104" s="376"/>
      <c r="P104" s="376"/>
      <c r="Q104" s="319"/>
      <c r="R104" s="35"/>
      <c r="S104" s="35"/>
      <c r="T104" s="36" t="s">
        <v>62</v>
      </c>
      <c r="U104" s="295">
        <v>0</v>
      </c>
      <c r="V104" s="296">
        <f t="shared" si="6"/>
        <v>0</v>
      </c>
      <c r="W104" s="37" t="str">
        <f>IFERROR(IF(V104=0,"",ROUNDUP(V104/H104,0)*0.02175),"")</f>
        <v/>
      </c>
      <c r="X104" s="57"/>
      <c r="Y104" s="58"/>
      <c r="AC104" s="107" t="s">
        <v>1</v>
      </c>
    </row>
    <row r="105" spans="1:29" ht="16.5" customHeight="1" x14ac:dyDescent="0.25">
      <c r="A105" s="55" t="s">
        <v>183</v>
      </c>
      <c r="B105" s="55" t="s">
        <v>184</v>
      </c>
      <c r="C105" s="32">
        <v>4301051306</v>
      </c>
      <c r="D105" s="374">
        <v>4607091386264</v>
      </c>
      <c r="E105" s="319"/>
      <c r="F105" s="294">
        <v>0.5</v>
      </c>
      <c r="G105" s="33">
        <v>6</v>
      </c>
      <c r="H105" s="294">
        <v>3</v>
      </c>
      <c r="I105" s="294">
        <v>3.278</v>
      </c>
      <c r="J105" s="33">
        <v>156</v>
      </c>
      <c r="K105" s="34" t="s">
        <v>60</v>
      </c>
      <c r="L105" s="33">
        <v>31</v>
      </c>
      <c r="M105" s="42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5" s="376"/>
      <c r="O105" s="376"/>
      <c r="P105" s="376"/>
      <c r="Q105" s="319"/>
      <c r="R105" s="35"/>
      <c r="S105" s="35"/>
      <c r="T105" s="36" t="s">
        <v>62</v>
      </c>
      <c r="U105" s="295">
        <v>0</v>
      </c>
      <c r="V105" s="296">
        <f t="shared" si="6"/>
        <v>0</v>
      </c>
      <c r="W105" s="37" t="str">
        <f>IFERROR(IF(V105=0,"",ROUNDUP(V105/H105,0)*0.00753),"")</f>
        <v/>
      </c>
      <c r="X105" s="57"/>
      <c r="Y105" s="58"/>
      <c r="AC105" s="108" t="s">
        <v>1</v>
      </c>
    </row>
    <row r="106" spans="1:29" ht="27" customHeight="1" x14ac:dyDescent="0.25">
      <c r="A106" s="55" t="s">
        <v>185</v>
      </c>
      <c r="B106" s="55" t="s">
        <v>186</v>
      </c>
      <c r="C106" s="32">
        <v>4301051436</v>
      </c>
      <c r="D106" s="374">
        <v>4607091385731</v>
      </c>
      <c r="E106" s="319"/>
      <c r="F106" s="294">
        <v>0.45</v>
      </c>
      <c r="G106" s="33">
        <v>6</v>
      </c>
      <c r="H106" s="294">
        <v>2.7</v>
      </c>
      <c r="I106" s="294">
        <v>2.972</v>
      </c>
      <c r="J106" s="33">
        <v>156</v>
      </c>
      <c r="K106" s="34" t="s">
        <v>127</v>
      </c>
      <c r="L106" s="33">
        <v>45</v>
      </c>
      <c r="M106" s="429" t="s">
        <v>187</v>
      </c>
      <c r="N106" s="376"/>
      <c r="O106" s="376"/>
      <c r="P106" s="376"/>
      <c r="Q106" s="319"/>
      <c r="R106" s="35"/>
      <c r="S106" s="35"/>
      <c r="T106" s="36" t="s">
        <v>62</v>
      </c>
      <c r="U106" s="295">
        <v>25</v>
      </c>
      <c r="V106" s="296">
        <f t="shared" si="6"/>
        <v>27</v>
      </c>
      <c r="W106" s="37">
        <f>IFERROR(IF(V106=0,"",ROUNDUP(V106/H106,0)*0.00753),"")</f>
        <v>7.5300000000000006E-2</v>
      </c>
      <c r="X106" s="57"/>
      <c r="Y106" s="58"/>
      <c r="AC106" s="109" t="s">
        <v>1</v>
      </c>
    </row>
    <row r="107" spans="1:29" ht="27" customHeight="1" x14ac:dyDescent="0.25">
      <c r="A107" s="55" t="s">
        <v>188</v>
      </c>
      <c r="B107" s="55" t="s">
        <v>189</v>
      </c>
      <c r="C107" s="32">
        <v>4301051439</v>
      </c>
      <c r="D107" s="374">
        <v>4680115880214</v>
      </c>
      <c r="E107" s="319"/>
      <c r="F107" s="294">
        <v>0.45</v>
      </c>
      <c r="G107" s="33">
        <v>6</v>
      </c>
      <c r="H107" s="294">
        <v>2.7</v>
      </c>
      <c r="I107" s="294">
        <v>2.988</v>
      </c>
      <c r="J107" s="33">
        <v>120</v>
      </c>
      <c r="K107" s="34" t="s">
        <v>127</v>
      </c>
      <c r="L107" s="33">
        <v>45</v>
      </c>
      <c r="M107" s="430" t="s">
        <v>190</v>
      </c>
      <c r="N107" s="376"/>
      <c r="O107" s="376"/>
      <c r="P107" s="376"/>
      <c r="Q107" s="319"/>
      <c r="R107" s="35"/>
      <c r="S107" s="35"/>
      <c r="T107" s="36" t="s">
        <v>62</v>
      </c>
      <c r="U107" s="295">
        <v>0</v>
      </c>
      <c r="V107" s="296">
        <f t="shared" si="6"/>
        <v>0</v>
      </c>
      <c r="W107" s="37" t="str">
        <f>IFERROR(IF(V107=0,"",ROUNDUP(V107/H107,0)*0.00937),"")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191</v>
      </c>
      <c r="B108" s="55" t="s">
        <v>192</v>
      </c>
      <c r="C108" s="32">
        <v>4301051438</v>
      </c>
      <c r="D108" s="374">
        <v>4680115880894</v>
      </c>
      <c r="E108" s="319"/>
      <c r="F108" s="294">
        <v>0.33</v>
      </c>
      <c r="G108" s="33">
        <v>6</v>
      </c>
      <c r="H108" s="294">
        <v>1.98</v>
      </c>
      <c r="I108" s="294">
        <v>2.258</v>
      </c>
      <c r="J108" s="33">
        <v>156</v>
      </c>
      <c r="K108" s="34" t="s">
        <v>127</v>
      </c>
      <c r="L108" s="33">
        <v>45</v>
      </c>
      <c r="M108" s="431" t="s">
        <v>193</v>
      </c>
      <c r="N108" s="376"/>
      <c r="O108" s="376"/>
      <c r="P108" s="376"/>
      <c r="Q108" s="319"/>
      <c r="R108" s="35"/>
      <c r="S108" s="35"/>
      <c r="T108" s="36" t="s">
        <v>62</v>
      </c>
      <c r="U108" s="295">
        <v>0</v>
      </c>
      <c r="V108" s="296">
        <f t="shared" si="6"/>
        <v>0</v>
      </c>
      <c r="W108" s="37" t="str">
        <f>IFERROR(IF(V108=0,"",ROUNDUP(V108/H108,0)*0.00753),"")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194</v>
      </c>
      <c r="B109" s="55" t="s">
        <v>195</v>
      </c>
      <c r="C109" s="32">
        <v>4301051313</v>
      </c>
      <c r="D109" s="374">
        <v>4607091385427</v>
      </c>
      <c r="E109" s="319"/>
      <c r="F109" s="294">
        <v>0.5</v>
      </c>
      <c r="G109" s="33">
        <v>6</v>
      </c>
      <c r="H109" s="294">
        <v>3</v>
      </c>
      <c r="I109" s="294">
        <v>3.2719999999999998</v>
      </c>
      <c r="J109" s="33">
        <v>156</v>
      </c>
      <c r="K109" s="34" t="s">
        <v>60</v>
      </c>
      <c r="L109" s="33">
        <v>40</v>
      </c>
      <c r="M109" s="43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9" s="376"/>
      <c r="O109" s="376"/>
      <c r="P109" s="376"/>
      <c r="Q109" s="319"/>
      <c r="R109" s="35"/>
      <c r="S109" s="35"/>
      <c r="T109" s="36" t="s">
        <v>62</v>
      </c>
      <c r="U109" s="295">
        <v>0</v>
      </c>
      <c r="V109" s="296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x14ac:dyDescent="0.2">
      <c r="A110" s="378"/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79"/>
      <c r="M110" s="377" t="s">
        <v>63</v>
      </c>
      <c r="N110" s="331"/>
      <c r="O110" s="331"/>
      <c r="P110" s="331"/>
      <c r="Q110" s="331"/>
      <c r="R110" s="331"/>
      <c r="S110" s="332"/>
      <c r="T110" s="38" t="s">
        <v>64</v>
      </c>
      <c r="U110" s="297">
        <f>IFERROR(U103/H103,"0")+IFERROR(U104/H104,"0")+IFERROR(U105/H105,"0")+IFERROR(U106/H106,"0")+IFERROR(U107/H107,"0")+IFERROR(U108/H108,"0")+IFERROR(U109/H109,"0")</f>
        <v>9.2592592592592595</v>
      </c>
      <c r="V110" s="297">
        <f>IFERROR(V103/H103,"0")+IFERROR(V104/H104,"0")+IFERROR(V105/H105,"0")+IFERROR(V106/H106,"0")+IFERROR(V107/H107,"0")+IFERROR(V108/H108,"0")+IFERROR(V109/H109,"0")</f>
        <v>10</v>
      </c>
      <c r="W110" s="297">
        <f>IFERROR(IF(W103="",0,W103),"0")+IFERROR(IF(W104="",0,W104),"0")+IFERROR(IF(W105="",0,W105),"0")+IFERROR(IF(W106="",0,W106),"0")+IFERROR(IF(W107="",0,W107),"0")+IFERROR(IF(W108="",0,W108),"0")+IFERROR(IF(W109="",0,W109),"0")</f>
        <v>7.5300000000000006E-2</v>
      </c>
      <c r="X110" s="298"/>
      <c r="Y110" s="298"/>
    </row>
    <row r="111" spans="1:29" x14ac:dyDescent="0.2">
      <c r="A111" s="303"/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79"/>
      <c r="M111" s="377" t="s">
        <v>63</v>
      </c>
      <c r="N111" s="331"/>
      <c r="O111" s="331"/>
      <c r="P111" s="331"/>
      <c r="Q111" s="331"/>
      <c r="R111" s="331"/>
      <c r="S111" s="332"/>
      <c r="T111" s="38" t="s">
        <v>62</v>
      </c>
      <c r="U111" s="297">
        <f>IFERROR(SUM(U103:U109),"0")</f>
        <v>25</v>
      </c>
      <c r="V111" s="297">
        <f>IFERROR(SUM(V103:V109),"0")</f>
        <v>27</v>
      </c>
      <c r="W111" s="38"/>
      <c r="X111" s="298"/>
      <c r="Y111" s="298"/>
    </row>
    <row r="112" spans="1:29" ht="14.25" customHeight="1" x14ac:dyDescent="0.25">
      <c r="A112" s="373" t="s">
        <v>196</v>
      </c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290"/>
      <c r="Y112" s="290"/>
    </row>
    <row r="113" spans="1:29" ht="27" customHeight="1" x14ac:dyDescent="0.25">
      <c r="A113" s="55" t="s">
        <v>197</v>
      </c>
      <c r="B113" s="55" t="s">
        <v>198</v>
      </c>
      <c r="C113" s="32">
        <v>4301060296</v>
      </c>
      <c r="D113" s="374">
        <v>4607091383065</v>
      </c>
      <c r="E113" s="319"/>
      <c r="F113" s="294">
        <v>0.83</v>
      </c>
      <c r="G113" s="33">
        <v>4</v>
      </c>
      <c r="H113" s="294">
        <v>3.32</v>
      </c>
      <c r="I113" s="294">
        <v>3.5819999999999999</v>
      </c>
      <c r="J113" s="33">
        <v>120</v>
      </c>
      <c r="K113" s="34" t="s">
        <v>60</v>
      </c>
      <c r="L113" s="33">
        <v>30</v>
      </c>
      <c r="M113" s="43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3" s="376"/>
      <c r="O113" s="376"/>
      <c r="P113" s="376"/>
      <c r="Q113" s="319"/>
      <c r="R113" s="35"/>
      <c r="S113" s="35"/>
      <c r="T113" s="36" t="s">
        <v>62</v>
      </c>
      <c r="U113" s="295">
        <v>0</v>
      </c>
      <c r="V113" s="296">
        <f>IFERROR(IF(U113="",0,CEILING((U113/$H113),1)*$H113),"")</f>
        <v>0</v>
      </c>
      <c r="W113" s="37" t="str">
        <f>IFERROR(IF(V113=0,"",ROUNDUP(V113/H113,0)*0.00937),"")</f>
        <v/>
      </c>
      <c r="X113" s="57"/>
      <c r="Y113" s="58"/>
      <c r="AC113" s="113" t="s">
        <v>1</v>
      </c>
    </row>
    <row r="114" spans="1:29" ht="27" customHeight="1" x14ac:dyDescent="0.25">
      <c r="A114" s="55" t="s">
        <v>199</v>
      </c>
      <c r="B114" s="55" t="s">
        <v>200</v>
      </c>
      <c r="C114" s="32">
        <v>4301060282</v>
      </c>
      <c r="D114" s="374">
        <v>4607091380699</v>
      </c>
      <c r="E114" s="319"/>
      <c r="F114" s="294">
        <v>1.3</v>
      </c>
      <c r="G114" s="33">
        <v>6</v>
      </c>
      <c r="H114" s="294">
        <v>7.8</v>
      </c>
      <c r="I114" s="294">
        <v>8.3640000000000008</v>
      </c>
      <c r="J114" s="33">
        <v>56</v>
      </c>
      <c r="K114" s="34" t="s">
        <v>60</v>
      </c>
      <c r="L114" s="33">
        <v>30</v>
      </c>
      <c r="M114" s="434" t="str">
        <f>HYPERLINK("https://abi.ru/products/Охлажденные/Вязанка/Вязанка/Сардельки/P002042/","Сардельки Стародворские Вязанка Весовые NDX мгс Вязанка")</f>
        <v>Сардельки Стародворские Вязанка Весовые NDX мгс Вязанка</v>
      </c>
      <c r="N114" s="376"/>
      <c r="O114" s="376"/>
      <c r="P114" s="376"/>
      <c r="Q114" s="319"/>
      <c r="R114" s="35"/>
      <c r="S114" s="35"/>
      <c r="T114" s="36" t="s">
        <v>62</v>
      </c>
      <c r="U114" s="295">
        <v>0</v>
      </c>
      <c r="V114" s="296">
        <f>IFERROR(IF(U114="",0,CEILING((U114/$H114),1)*$H114),"")</f>
        <v>0</v>
      </c>
      <c r="W114" s="37" t="str">
        <f>IFERROR(IF(V114=0,"",ROUNDUP(V114/H114,0)*0.02175),"")</f>
        <v/>
      </c>
      <c r="X114" s="57"/>
      <c r="Y114" s="58"/>
      <c r="AC114" s="114" t="s">
        <v>1</v>
      </c>
    </row>
    <row r="115" spans="1:29" ht="16.5" customHeight="1" x14ac:dyDescent="0.25">
      <c r="A115" s="55" t="s">
        <v>201</v>
      </c>
      <c r="B115" s="55" t="s">
        <v>202</v>
      </c>
      <c r="C115" s="32">
        <v>4301060309</v>
      </c>
      <c r="D115" s="374">
        <v>4680115880238</v>
      </c>
      <c r="E115" s="319"/>
      <c r="F115" s="294">
        <v>0.33</v>
      </c>
      <c r="G115" s="33">
        <v>6</v>
      </c>
      <c r="H115" s="294">
        <v>1.98</v>
      </c>
      <c r="I115" s="294">
        <v>2.258</v>
      </c>
      <c r="J115" s="33">
        <v>156</v>
      </c>
      <c r="K115" s="34" t="s">
        <v>60</v>
      </c>
      <c r="L115" s="33">
        <v>40</v>
      </c>
      <c r="M115" s="435" t="s">
        <v>203</v>
      </c>
      <c r="N115" s="376"/>
      <c r="O115" s="376"/>
      <c r="P115" s="376"/>
      <c r="Q115" s="319"/>
      <c r="R115" s="35"/>
      <c r="S115" s="35"/>
      <c r="T115" s="36" t="s">
        <v>62</v>
      </c>
      <c r="U115" s="295">
        <v>0</v>
      </c>
      <c r="V115" s="29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  <c r="AC115" s="115" t="s">
        <v>1</v>
      </c>
    </row>
    <row r="116" spans="1:29" ht="27" customHeight="1" x14ac:dyDescent="0.25">
      <c r="A116" s="55" t="s">
        <v>204</v>
      </c>
      <c r="B116" s="55" t="s">
        <v>205</v>
      </c>
      <c r="C116" s="32">
        <v>4301060351</v>
      </c>
      <c r="D116" s="374">
        <v>4680115881464</v>
      </c>
      <c r="E116" s="319"/>
      <c r="F116" s="294">
        <v>0.4</v>
      </c>
      <c r="G116" s="33">
        <v>6</v>
      </c>
      <c r="H116" s="294">
        <v>2.4</v>
      </c>
      <c r="I116" s="294">
        <v>2.6</v>
      </c>
      <c r="J116" s="33">
        <v>156</v>
      </c>
      <c r="K116" s="34" t="s">
        <v>127</v>
      </c>
      <c r="L116" s="33">
        <v>30</v>
      </c>
      <c r="M116" s="436" t="s">
        <v>206</v>
      </c>
      <c r="N116" s="376"/>
      <c r="O116" s="376"/>
      <c r="P116" s="376"/>
      <c r="Q116" s="319"/>
      <c r="R116" s="35"/>
      <c r="S116" s="35"/>
      <c r="T116" s="36" t="s">
        <v>62</v>
      </c>
      <c r="U116" s="295">
        <v>0</v>
      </c>
      <c r="V116" s="296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x14ac:dyDescent="0.2">
      <c r="A117" s="378"/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79"/>
      <c r="M117" s="377" t="s">
        <v>63</v>
      </c>
      <c r="N117" s="331"/>
      <c r="O117" s="331"/>
      <c r="P117" s="331"/>
      <c r="Q117" s="331"/>
      <c r="R117" s="331"/>
      <c r="S117" s="332"/>
      <c r="T117" s="38" t="s">
        <v>64</v>
      </c>
      <c r="U117" s="297">
        <f>IFERROR(U113/H113,"0")+IFERROR(U114/H114,"0")+IFERROR(U115/H115,"0")+IFERROR(U116/H116,"0")</f>
        <v>0</v>
      </c>
      <c r="V117" s="297">
        <f>IFERROR(V113/H113,"0")+IFERROR(V114/H114,"0")+IFERROR(V115/H115,"0")+IFERROR(V116/H116,"0")</f>
        <v>0</v>
      </c>
      <c r="W117" s="297">
        <f>IFERROR(IF(W113="",0,W113),"0")+IFERROR(IF(W114="",0,W114),"0")+IFERROR(IF(W115="",0,W115),"0")+IFERROR(IF(W116="",0,W116),"0")</f>
        <v>0</v>
      </c>
      <c r="X117" s="298"/>
      <c r="Y117" s="298"/>
    </row>
    <row r="118" spans="1:29" x14ac:dyDescent="0.2">
      <c r="A118" s="303"/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79"/>
      <c r="M118" s="377" t="s">
        <v>63</v>
      </c>
      <c r="N118" s="331"/>
      <c r="O118" s="331"/>
      <c r="P118" s="331"/>
      <c r="Q118" s="331"/>
      <c r="R118" s="331"/>
      <c r="S118" s="332"/>
      <c r="T118" s="38" t="s">
        <v>62</v>
      </c>
      <c r="U118" s="297">
        <f>IFERROR(SUM(U113:U116),"0")</f>
        <v>0</v>
      </c>
      <c r="V118" s="297">
        <f>IFERROR(SUM(V113:V116),"0")</f>
        <v>0</v>
      </c>
      <c r="W118" s="38"/>
      <c r="X118" s="298"/>
      <c r="Y118" s="298"/>
    </row>
    <row r="119" spans="1:29" ht="16.5" customHeight="1" x14ac:dyDescent="0.25">
      <c r="A119" s="372" t="s">
        <v>207</v>
      </c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291"/>
      <c r="Y119" s="291"/>
    </row>
    <row r="120" spans="1:29" ht="14.25" customHeight="1" x14ac:dyDescent="0.25">
      <c r="A120" s="373" t="s">
        <v>65</v>
      </c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290"/>
      <c r="Y120" s="290"/>
    </row>
    <row r="121" spans="1:29" ht="27" customHeight="1" x14ac:dyDescent="0.25">
      <c r="A121" s="55" t="s">
        <v>208</v>
      </c>
      <c r="B121" s="55" t="s">
        <v>209</v>
      </c>
      <c r="C121" s="32">
        <v>4301051360</v>
      </c>
      <c r="D121" s="374">
        <v>4607091385168</v>
      </c>
      <c r="E121" s="319"/>
      <c r="F121" s="294">
        <v>1.35</v>
      </c>
      <c r="G121" s="33">
        <v>6</v>
      </c>
      <c r="H121" s="294">
        <v>8.1</v>
      </c>
      <c r="I121" s="294">
        <v>8.6579999999999995</v>
      </c>
      <c r="J121" s="33">
        <v>56</v>
      </c>
      <c r="K121" s="34" t="s">
        <v>127</v>
      </c>
      <c r="L121" s="33">
        <v>45</v>
      </c>
      <c r="M121" s="43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1" s="376"/>
      <c r="O121" s="376"/>
      <c r="P121" s="376"/>
      <c r="Q121" s="319"/>
      <c r="R121" s="35"/>
      <c r="S121" s="35"/>
      <c r="T121" s="36" t="s">
        <v>62</v>
      </c>
      <c r="U121" s="295">
        <v>0</v>
      </c>
      <c r="V121" s="296">
        <f>IFERROR(IF(U121="",0,CEILING((U121/$H121),1)*$H121),"")</f>
        <v>0</v>
      </c>
      <c r="W121" s="37" t="str">
        <f>IFERROR(IF(V121=0,"",ROUNDUP(V121/H121,0)*0.02175),"")</f>
        <v/>
      </c>
      <c r="X121" s="57"/>
      <c r="Y121" s="58"/>
      <c r="AC121" s="117" t="s">
        <v>1</v>
      </c>
    </row>
    <row r="122" spans="1:29" ht="16.5" customHeight="1" x14ac:dyDescent="0.25">
      <c r="A122" s="55" t="s">
        <v>210</v>
      </c>
      <c r="B122" s="55" t="s">
        <v>211</v>
      </c>
      <c r="C122" s="32">
        <v>4301051362</v>
      </c>
      <c r="D122" s="374">
        <v>4607091383256</v>
      </c>
      <c r="E122" s="319"/>
      <c r="F122" s="294">
        <v>0.33</v>
      </c>
      <c r="G122" s="33">
        <v>6</v>
      </c>
      <c r="H122" s="294">
        <v>1.98</v>
      </c>
      <c r="I122" s="294">
        <v>2.246</v>
      </c>
      <c r="J122" s="33">
        <v>156</v>
      </c>
      <c r="K122" s="34" t="s">
        <v>127</v>
      </c>
      <c r="L122" s="33">
        <v>45</v>
      </c>
      <c r="M122" s="43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2" s="376"/>
      <c r="O122" s="376"/>
      <c r="P122" s="376"/>
      <c r="Q122" s="319"/>
      <c r="R122" s="35"/>
      <c r="S122" s="35"/>
      <c r="T122" s="36" t="s">
        <v>62</v>
      </c>
      <c r="U122" s="295">
        <v>0</v>
      </c>
      <c r="V122" s="29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118" t="s">
        <v>1</v>
      </c>
    </row>
    <row r="123" spans="1:29" ht="16.5" customHeight="1" x14ac:dyDescent="0.25">
      <c r="A123" s="55" t="s">
        <v>212</v>
      </c>
      <c r="B123" s="55" t="s">
        <v>213</v>
      </c>
      <c r="C123" s="32">
        <v>4301051358</v>
      </c>
      <c r="D123" s="374">
        <v>4607091385748</v>
      </c>
      <c r="E123" s="319"/>
      <c r="F123" s="294">
        <v>0.45</v>
      </c>
      <c r="G123" s="33">
        <v>6</v>
      </c>
      <c r="H123" s="294">
        <v>2.7</v>
      </c>
      <c r="I123" s="294">
        <v>2.972</v>
      </c>
      <c r="J123" s="33">
        <v>156</v>
      </c>
      <c r="K123" s="34" t="s">
        <v>127</v>
      </c>
      <c r="L123" s="33">
        <v>45</v>
      </c>
      <c r="M123" s="43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3" s="376"/>
      <c r="O123" s="376"/>
      <c r="P123" s="376"/>
      <c r="Q123" s="319"/>
      <c r="R123" s="35"/>
      <c r="S123" s="35"/>
      <c r="T123" s="36" t="s">
        <v>62</v>
      </c>
      <c r="U123" s="295">
        <v>45</v>
      </c>
      <c r="V123" s="296">
        <f>IFERROR(IF(U123="",0,CEILING((U123/$H123),1)*$H123),"")</f>
        <v>45.900000000000006</v>
      </c>
      <c r="W123" s="37">
        <f>IFERROR(IF(V123=0,"",ROUNDUP(V123/H123,0)*0.00753),"")</f>
        <v>0.12801000000000001</v>
      </c>
      <c r="X123" s="57"/>
      <c r="Y123" s="58"/>
      <c r="AC123" s="119" t="s">
        <v>1</v>
      </c>
    </row>
    <row r="124" spans="1:29" ht="16.5" customHeight="1" x14ac:dyDescent="0.25">
      <c r="A124" s="55" t="s">
        <v>214</v>
      </c>
      <c r="B124" s="55" t="s">
        <v>215</v>
      </c>
      <c r="C124" s="32">
        <v>4301051364</v>
      </c>
      <c r="D124" s="374">
        <v>4607091384581</v>
      </c>
      <c r="E124" s="319"/>
      <c r="F124" s="294">
        <v>0.67</v>
      </c>
      <c r="G124" s="33">
        <v>4</v>
      </c>
      <c r="H124" s="294">
        <v>2.68</v>
      </c>
      <c r="I124" s="294">
        <v>2.9420000000000002</v>
      </c>
      <c r="J124" s="33">
        <v>120</v>
      </c>
      <c r="K124" s="34" t="s">
        <v>127</v>
      </c>
      <c r="L124" s="33">
        <v>45</v>
      </c>
      <c r="M124" s="440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4" s="376"/>
      <c r="O124" s="376"/>
      <c r="P124" s="376"/>
      <c r="Q124" s="319"/>
      <c r="R124" s="35"/>
      <c r="S124" s="35"/>
      <c r="T124" s="36" t="s">
        <v>62</v>
      </c>
      <c r="U124" s="295">
        <v>0</v>
      </c>
      <c r="V124" s="296">
        <f>IFERROR(IF(U124="",0,CEILING((U124/$H124),1)*$H124),"")</f>
        <v>0</v>
      </c>
      <c r="W124" s="37" t="str">
        <f>IFERROR(IF(V124=0,"",ROUNDUP(V124/H124,0)*0.00937),"")</f>
        <v/>
      </c>
      <c r="X124" s="57"/>
      <c r="Y124" s="58"/>
      <c r="AC124" s="120" t="s">
        <v>1</v>
      </c>
    </row>
    <row r="125" spans="1:29" x14ac:dyDescent="0.2">
      <c r="A125" s="378"/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79"/>
      <c r="M125" s="377" t="s">
        <v>63</v>
      </c>
      <c r="N125" s="331"/>
      <c r="O125" s="331"/>
      <c r="P125" s="331"/>
      <c r="Q125" s="331"/>
      <c r="R125" s="331"/>
      <c r="S125" s="332"/>
      <c r="T125" s="38" t="s">
        <v>64</v>
      </c>
      <c r="U125" s="297">
        <f>IFERROR(U121/H121,"0")+IFERROR(U122/H122,"0")+IFERROR(U123/H123,"0")+IFERROR(U124/H124,"0")</f>
        <v>16.666666666666664</v>
      </c>
      <c r="V125" s="297">
        <f>IFERROR(V121/H121,"0")+IFERROR(V122/H122,"0")+IFERROR(V123/H123,"0")+IFERROR(V124/H124,"0")</f>
        <v>17</v>
      </c>
      <c r="W125" s="297">
        <f>IFERROR(IF(W121="",0,W121),"0")+IFERROR(IF(W122="",0,W122),"0")+IFERROR(IF(W123="",0,W123),"0")+IFERROR(IF(W124="",0,W124),"0")</f>
        <v>0.12801000000000001</v>
      </c>
      <c r="X125" s="298"/>
      <c r="Y125" s="298"/>
    </row>
    <row r="126" spans="1:29" x14ac:dyDescent="0.2">
      <c r="A126" s="303"/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79"/>
      <c r="M126" s="377" t="s">
        <v>63</v>
      </c>
      <c r="N126" s="331"/>
      <c r="O126" s="331"/>
      <c r="P126" s="331"/>
      <c r="Q126" s="331"/>
      <c r="R126" s="331"/>
      <c r="S126" s="332"/>
      <c r="T126" s="38" t="s">
        <v>62</v>
      </c>
      <c r="U126" s="297">
        <f>IFERROR(SUM(U121:U124),"0")</f>
        <v>45</v>
      </c>
      <c r="V126" s="297">
        <f>IFERROR(SUM(V121:V124),"0")</f>
        <v>45.900000000000006</v>
      </c>
      <c r="W126" s="38"/>
      <c r="X126" s="298"/>
      <c r="Y126" s="298"/>
    </row>
    <row r="127" spans="1:29" ht="27.75" customHeight="1" x14ac:dyDescent="0.2">
      <c r="A127" s="370" t="s">
        <v>216</v>
      </c>
      <c r="B127" s="371"/>
      <c r="C127" s="371"/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  <c r="R127" s="371"/>
      <c r="S127" s="371"/>
      <c r="T127" s="371"/>
      <c r="U127" s="371"/>
      <c r="V127" s="371"/>
      <c r="W127" s="371"/>
      <c r="X127" s="49"/>
      <c r="Y127" s="49"/>
    </row>
    <row r="128" spans="1:29" ht="16.5" customHeight="1" x14ac:dyDescent="0.25">
      <c r="A128" s="372" t="s">
        <v>217</v>
      </c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291"/>
      <c r="Y128" s="291"/>
    </row>
    <row r="129" spans="1:29" ht="14.25" customHeight="1" x14ac:dyDescent="0.25">
      <c r="A129" s="373" t="s">
        <v>103</v>
      </c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290"/>
      <c r="Y129" s="290"/>
    </row>
    <row r="130" spans="1:29" ht="27" customHeight="1" x14ac:dyDescent="0.25">
      <c r="A130" s="55" t="s">
        <v>218</v>
      </c>
      <c r="B130" s="55" t="s">
        <v>219</v>
      </c>
      <c r="C130" s="32">
        <v>4301011223</v>
      </c>
      <c r="D130" s="374">
        <v>4607091383423</v>
      </c>
      <c r="E130" s="319"/>
      <c r="F130" s="294">
        <v>1.35</v>
      </c>
      <c r="G130" s="33">
        <v>8</v>
      </c>
      <c r="H130" s="294">
        <v>10.8</v>
      </c>
      <c r="I130" s="294">
        <v>11.375999999999999</v>
      </c>
      <c r="J130" s="33">
        <v>56</v>
      </c>
      <c r="K130" s="34" t="s">
        <v>127</v>
      </c>
      <c r="L130" s="33">
        <v>35</v>
      </c>
      <c r="M130" s="44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0" s="376"/>
      <c r="O130" s="376"/>
      <c r="P130" s="376"/>
      <c r="Q130" s="319"/>
      <c r="R130" s="35"/>
      <c r="S130" s="35"/>
      <c r="T130" s="36" t="s">
        <v>62</v>
      </c>
      <c r="U130" s="295">
        <v>0</v>
      </c>
      <c r="V130" s="29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121" t="s">
        <v>1</v>
      </c>
    </row>
    <row r="131" spans="1:29" ht="27" customHeight="1" x14ac:dyDescent="0.25">
      <c r="A131" s="55" t="s">
        <v>220</v>
      </c>
      <c r="B131" s="55" t="s">
        <v>221</v>
      </c>
      <c r="C131" s="32">
        <v>4301011338</v>
      </c>
      <c r="D131" s="374">
        <v>4607091381405</v>
      </c>
      <c r="E131" s="319"/>
      <c r="F131" s="294">
        <v>1.35</v>
      </c>
      <c r="G131" s="33">
        <v>8</v>
      </c>
      <c r="H131" s="294">
        <v>10.8</v>
      </c>
      <c r="I131" s="294">
        <v>11.375999999999999</v>
      </c>
      <c r="J131" s="33">
        <v>56</v>
      </c>
      <c r="K131" s="34" t="s">
        <v>60</v>
      </c>
      <c r="L131" s="33">
        <v>35</v>
      </c>
      <c r="M131" s="44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1" s="376"/>
      <c r="O131" s="376"/>
      <c r="P131" s="376"/>
      <c r="Q131" s="319"/>
      <c r="R131" s="35"/>
      <c r="S131" s="35"/>
      <c r="T131" s="36" t="s">
        <v>62</v>
      </c>
      <c r="U131" s="295">
        <v>0</v>
      </c>
      <c r="V131" s="29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222</v>
      </c>
      <c r="B132" s="55" t="s">
        <v>223</v>
      </c>
      <c r="C132" s="32">
        <v>4301011333</v>
      </c>
      <c r="D132" s="374">
        <v>4607091386516</v>
      </c>
      <c r="E132" s="319"/>
      <c r="F132" s="294">
        <v>1.4</v>
      </c>
      <c r="G132" s="33">
        <v>8</v>
      </c>
      <c r="H132" s="294">
        <v>11.2</v>
      </c>
      <c r="I132" s="294">
        <v>11.776</v>
      </c>
      <c r="J132" s="33">
        <v>56</v>
      </c>
      <c r="K132" s="34" t="s">
        <v>60</v>
      </c>
      <c r="L132" s="33">
        <v>30</v>
      </c>
      <c r="M132" s="44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2" s="376"/>
      <c r="O132" s="376"/>
      <c r="P132" s="376"/>
      <c r="Q132" s="319"/>
      <c r="R132" s="35"/>
      <c r="S132" s="35"/>
      <c r="T132" s="36" t="s">
        <v>62</v>
      </c>
      <c r="U132" s="295">
        <v>0</v>
      </c>
      <c r="V132" s="296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x14ac:dyDescent="0.2">
      <c r="A133" s="378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79"/>
      <c r="M133" s="377" t="s">
        <v>63</v>
      </c>
      <c r="N133" s="331"/>
      <c r="O133" s="331"/>
      <c r="P133" s="331"/>
      <c r="Q133" s="331"/>
      <c r="R133" s="331"/>
      <c r="S133" s="332"/>
      <c r="T133" s="38" t="s">
        <v>64</v>
      </c>
      <c r="U133" s="297">
        <f>IFERROR(U130/H130,"0")+IFERROR(U131/H131,"0")+IFERROR(U132/H132,"0")</f>
        <v>0</v>
      </c>
      <c r="V133" s="297">
        <f>IFERROR(V130/H130,"0")+IFERROR(V131/H131,"0")+IFERROR(V132/H132,"0")</f>
        <v>0</v>
      </c>
      <c r="W133" s="297">
        <f>IFERROR(IF(W130="",0,W130),"0")+IFERROR(IF(W131="",0,W131),"0")+IFERROR(IF(W132="",0,W132),"0")</f>
        <v>0</v>
      </c>
      <c r="X133" s="298"/>
      <c r="Y133" s="298"/>
    </row>
    <row r="134" spans="1:29" x14ac:dyDescent="0.2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79"/>
      <c r="M134" s="377" t="s">
        <v>63</v>
      </c>
      <c r="N134" s="331"/>
      <c r="O134" s="331"/>
      <c r="P134" s="331"/>
      <c r="Q134" s="331"/>
      <c r="R134" s="331"/>
      <c r="S134" s="332"/>
      <c r="T134" s="38" t="s">
        <v>62</v>
      </c>
      <c r="U134" s="297">
        <f>IFERROR(SUM(U130:U132),"0")</f>
        <v>0</v>
      </c>
      <c r="V134" s="297">
        <f>IFERROR(SUM(V130:V132),"0")</f>
        <v>0</v>
      </c>
      <c r="W134" s="38"/>
      <c r="X134" s="298"/>
      <c r="Y134" s="298"/>
    </row>
    <row r="135" spans="1:29" ht="16.5" customHeight="1" x14ac:dyDescent="0.25">
      <c r="A135" s="372" t="s">
        <v>224</v>
      </c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291"/>
      <c r="Y135" s="291"/>
    </row>
    <row r="136" spans="1:29" ht="14.25" customHeight="1" x14ac:dyDescent="0.25">
      <c r="A136" s="373" t="s">
        <v>103</v>
      </c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290"/>
      <c r="Y136" s="290"/>
    </row>
    <row r="137" spans="1:29" ht="27" customHeight="1" x14ac:dyDescent="0.25">
      <c r="A137" s="55" t="s">
        <v>225</v>
      </c>
      <c r="B137" s="55" t="s">
        <v>226</v>
      </c>
      <c r="C137" s="32">
        <v>4301011433</v>
      </c>
      <c r="D137" s="374">
        <v>4680115882638</v>
      </c>
      <c r="E137" s="319"/>
      <c r="F137" s="294">
        <v>0.4</v>
      </c>
      <c r="G137" s="33">
        <v>10</v>
      </c>
      <c r="H137" s="294">
        <v>4</v>
      </c>
      <c r="I137" s="294">
        <v>4.24</v>
      </c>
      <c r="J137" s="33">
        <v>120</v>
      </c>
      <c r="K137" s="34" t="s">
        <v>99</v>
      </c>
      <c r="L137" s="33">
        <v>90</v>
      </c>
      <c r="M137" s="444" t="s">
        <v>227</v>
      </c>
      <c r="N137" s="376"/>
      <c r="O137" s="376"/>
      <c r="P137" s="376"/>
      <c r="Q137" s="319"/>
      <c r="R137" s="35"/>
      <c r="S137" s="35"/>
      <c r="T137" s="36" t="s">
        <v>62</v>
      </c>
      <c r="U137" s="295">
        <v>0</v>
      </c>
      <c r="V137" s="296">
        <f t="shared" ref="V137:V153" si="7">IFERROR(IF(U137="",0,CEILING((U137/$H137),1)*$H137),"")</f>
        <v>0</v>
      </c>
      <c r="W137" s="37" t="str">
        <f>IFERROR(IF(V137=0,"",ROUNDUP(V137/H137,0)*0.00937),"")</f>
        <v/>
      </c>
      <c r="X137" s="57"/>
      <c r="Y137" s="58" t="s">
        <v>228</v>
      </c>
      <c r="AC137" s="124" t="s">
        <v>1</v>
      </c>
    </row>
    <row r="138" spans="1:29" ht="27" customHeight="1" x14ac:dyDescent="0.25">
      <c r="A138" s="55" t="s">
        <v>229</v>
      </c>
      <c r="B138" s="55" t="s">
        <v>230</v>
      </c>
      <c r="C138" s="32">
        <v>4301011346</v>
      </c>
      <c r="D138" s="374">
        <v>4607091387445</v>
      </c>
      <c r="E138" s="319"/>
      <c r="F138" s="294">
        <v>0.9</v>
      </c>
      <c r="G138" s="33">
        <v>10</v>
      </c>
      <c r="H138" s="294">
        <v>9</v>
      </c>
      <c r="I138" s="294">
        <v>9.6300000000000008</v>
      </c>
      <c r="J138" s="33">
        <v>56</v>
      </c>
      <c r="K138" s="34" t="s">
        <v>99</v>
      </c>
      <c r="L138" s="33">
        <v>31</v>
      </c>
      <c r="M138" s="445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76"/>
      <c r="O138" s="376"/>
      <c r="P138" s="376"/>
      <c r="Q138" s="319"/>
      <c r="R138" s="35"/>
      <c r="S138" s="35"/>
      <c r="T138" s="36" t="s">
        <v>62</v>
      </c>
      <c r="U138" s="295">
        <v>0</v>
      </c>
      <c r="V138" s="296">
        <f t="shared" si="7"/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231</v>
      </c>
      <c r="B139" s="55" t="s">
        <v>232</v>
      </c>
      <c r="C139" s="32">
        <v>4301011362</v>
      </c>
      <c r="D139" s="374">
        <v>4607091386004</v>
      </c>
      <c r="E139" s="319"/>
      <c r="F139" s="294">
        <v>1.35</v>
      </c>
      <c r="G139" s="33">
        <v>8</v>
      </c>
      <c r="H139" s="294">
        <v>10.8</v>
      </c>
      <c r="I139" s="294">
        <v>11.28</v>
      </c>
      <c r="J139" s="33">
        <v>48</v>
      </c>
      <c r="K139" s="34" t="s">
        <v>233</v>
      </c>
      <c r="L139" s="33">
        <v>55</v>
      </c>
      <c r="M139" s="44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76"/>
      <c r="O139" s="376"/>
      <c r="P139" s="376"/>
      <c r="Q139" s="319"/>
      <c r="R139" s="35"/>
      <c r="S139" s="35"/>
      <c r="T139" s="36" t="s">
        <v>62</v>
      </c>
      <c r="U139" s="295">
        <v>0</v>
      </c>
      <c r="V139" s="296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231</v>
      </c>
      <c r="B140" s="55" t="s">
        <v>234</v>
      </c>
      <c r="C140" s="32">
        <v>4301011308</v>
      </c>
      <c r="D140" s="374">
        <v>4607091386004</v>
      </c>
      <c r="E140" s="319"/>
      <c r="F140" s="294">
        <v>1.35</v>
      </c>
      <c r="G140" s="33">
        <v>8</v>
      </c>
      <c r="H140" s="294">
        <v>10.8</v>
      </c>
      <c r="I140" s="294">
        <v>11.28</v>
      </c>
      <c r="J140" s="33">
        <v>56</v>
      </c>
      <c r="K140" s="34" t="s">
        <v>99</v>
      </c>
      <c r="L140" s="33">
        <v>55</v>
      </c>
      <c r="M140" s="44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76"/>
      <c r="O140" s="376"/>
      <c r="P140" s="376"/>
      <c r="Q140" s="319"/>
      <c r="R140" s="35"/>
      <c r="S140" s="35"/>
      <c r="T140" s="36" t="s">
        <v>62</v>
      </c>
      <c r="U140" s="295">
        <v>0</v>
      </c>
      <c r="V140" s="296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235</v>
      </c>
      <c r="B141" s="55" t="s">
        <v>236</v>
      </c>
      <c r="C141" s="32">
        <v>4301011347</v>
      </c>
      <c r="D141" s="374">
        <v>4607091386073</v>
      </c>
      <c r="E141" s="319"/>
      <c r="F141" s="294">
        <v>0.9</v>
      </c>
      <c r="G141" s="33">
        <v>10</v>
      </c>
      <c r="H141" s="294">
        <v>9</v>
      </c>
      <c r="I141" s="294">
        <v>9.6300000000000008</v>
      </c>
      <c r="J141" s="33">
        <v>56</v>
      </c>
      <c r="K141" s="34" t="s">
        <v>99</v>
      </c>
      <c r="L141" s="33">
        <v>31</v>
      </c>
      <c r="M141" s="44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76"/>
      <c r="O141" s="376"/>
      <c r="P141" s="376"/>
      <c r="Q141" s="319"/>
      <c r="R141" s="35"/>
      <c r="S141" s="35"/>
      <c r="T141" s="36" t="s">
        <v>62</v>
      </c>
      <c r="U141" s="295">
        <v>0</v>
      </c>
      <c r="V141" s="296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237</v>
      </c>
      <c r="B142" s="55" t="s">
        <v>238</v>
      </c>
      <c r="C142" s="32">
        <v>4301011395</v>
      </c>
      <c r="D142" s="374">
        <v>4607091387322</v>
      </c>
      <c r="E142" s="319"/>
      <c r="F142" s="294">
        <v>1.35</v>
      </c>
      <c r="G142" s="33">
        <v>8</v>
      </c>
      <c r="H142" s="294">
        <v>10.8</v>
      </c>
      <c r="I142" s="294">
        <v>11.28</v>
      </c>
      <c r="J142" s="33">
        <v>48</v>
      </c>
      <c r="K142" s="34" t="s">
        <v>233</v>
      </c>
      <c r="L142" s="33">
        <v>55</v>
      </c>
      <c r="M142" s="44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76"/>
      <c r="O142" s="376"/>
      <c r="P142" s="376"/>
      <c r="Q142" s="319"/>
      <c r="R142" s="35"/>
      <c r="S142" s="35"/>
      <c r="T142" s="36" t="s">
        <v>62</v>
      </c>
      <c r="U142" s="295">
        <v>0</v>
      </c>
      <c r="V142" s="296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237</v>
      </c>
      <c r="B143" s="55" t="s">
        <v>239</v>
      </c>
      <c r="C143" s="32">
        <v>4301010928</v>
      </c>
      <c r="D143" s="374">
        <v>4607091387322</v>
      </c>
      <c r="E143" s="319"/>
      <c r="F143" s="294">
        <v>1.35</v>
      </c>
      <c r="G143" s="33">
        <v>8</v>
      </c>
      <c r="H143" s="294">
        <v>10.8</v>
      </c>
      <c r="I143" s="294">
        <v>11.28</v>
      </c>
      <c r="J143" s="33">
        <v>56</v>
      </c>
      <c r="K143" s="34" t="s">
        <v>99</v>
      </c>
      <c r="L143" s="33">
        <v>55</v>
      </c>
      <c r="M143" s="45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76"/>
      <c r="O143" s="376"/>
      <c r="P143" s="376"/>
      <c r="Q143" s="319"/>
      <c r="R143" s="35"/>
      <c r="S143" s="35"/>
      <c r="T143" s="36" t="s">
        <v>62</v>
      </c>
      <c r="U143" s="295">
        <v>0</v>
      </c>
      <c r="V143" s="296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240</v>
      </c>
      <c r="B144" s="55" t="s">
        <v>241</v>
      </c>
      <c r="C144" s="32">
        <v>4301011311</v>
      </c>
      <c r="D144" s="374">
        <v>4607091387377</v>
      </c>
      <c r="E144" s="319"/>
      <c r="F144" s="294">
        <v>1.35</v>
      </c>
      <c r="G144" s="33">
        <v>8</v>
      </c>
      <c r="H144" s="294">
        <v>10.8</v>
      </c>
      <c r="I144" s="294">
        <v>11.28</v>
      </c>
      <c r="J144" s="33">
        <v>56</v>
      </c>
      <c r="K144" s="34" t="s">
        <v>99</v>
      </c>
      <c r="L144" s="33">
        <v>55</v>
      </c>
      <c r="M144" s="45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76"/>
      <c r="O144" s="376"/>
      <c r="P144" s="376"/>
      <c r="Q144" s="319"/>
      <c r="R144" s="35"/>
      <c r="S144" s="35"/>
      <c r="T144" s="36" t="s">
        <v>62</v>
      </c>
      <c r="U144" s="295">
        <v>0</v>
      </c>
      <c r="V144" s="296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242</v>
      </c>
      <c r="B145" s="55" t="s">
        <v>243</v>
      </c>
      <c r="C145" s="32">
        <v>4301011450</v>
      </c>
      <c r="D145" s="374">
        <v>4680115881402</v>
      </c>
      <c r="E145" s="319"/>
      <c r="F145" s="294">
        <v>1.35</v>
      </c>
      <c r="G145" s="33">
        <v>8</v>
      </c>
      <c r="H145" s="294">
        <v>10.8</v>
      </c>
      <c r="I145" s="294">
        <v>11.28</v>
      </c>
      <c r="J145" s="33">
        <v>56</v>
      </c>
      <c r="K145" s="34" t="s">
        <v>99</v>
      </c>
      <c r="L145" s="33">
        <v>55</v>
      </c>
      <c r="M145" s="452" t="s">
        <v>244</v>
      </c>
      <c r="N145" s="376"/>
      <c r="O145" s="376"/>
      <c r="P145" s="376"/>
      <c r="Q145" s="319"/>
      <c r="R145" s="35"/>
      <c r="S145" s="35"/>
      <c r="T145" s="36" t="s">
        <v>62</v>
      </c>
      <c r="U145" s="295">
        <v>0</v>
      </c>
      <c r="V145" s="296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245</v>
      </c>
      <c r="B146" s="55" t="s">
        <v>246</v>
      </c>
      <c r="C146" s="32">
        <v>4301010945</v>
      </c>
      <c r="D146" s="374">
        <v>4607091387353</v>
      </c>
      <c r="E146" s="319"/>
      <c r="F146" s="294">
        <v>1.35</v>
      </c>
      <c r="G146" s="33">
        <v>8</v>
      </c>
      <c r="H146" s="294">
        <v>10.8</v>
      </c>
      <c r="I146" s="294">
        <v>11.28</v>
      </c>
      <c r="J146" s="33">
        <v>56</v>
      </c>
      <c r="K146" s="34" t="s">
        <v>99</v>
      </c>
      <c r="L146" s="33">
        <v>55</v>
      </c>
      <c r="M146" s="45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76"/>
      <c r="O146" s="376"/>
      <c r="P146" s="376"/>
      <c r="Q146" s="319"/>
      <c r="R146" s="35"/>
      <c r="S146" s="35"/>
      <c r="T146" s="36" t="s">
        <v>62</v>
      </c>
      <c r="U146" s="295">
        <v>0</v>
      </c>
      <c r="V146" s="296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247</v>
      </c>
      <c r="B147" s="55" t="s">
        <v>248</v>
      </c>
      <c r="C147" s="32">
        <v>4301011328</v>
      </c>
      <c r="D147" s="374">
        <v>4607091386011</v>
      </c>
      <c r="E147" s="319"/>
      <c r="F147" s="294">
        <v>0.5</v>
      </c>
      <c r="G147" s="33">
        <v>10</v>
      </c>
      <c r="H147" s="294">
        <v>5</v>
      </c>
      <c r="I147" s="294">
        <v>5.21</v>
      </c>
      <c r="J147" s="33">
        <v>120</v>
      </c>
      <c r="K147" s="34" t="s">
        <v>60</v>
      </c>
      <c r="L147" s="33">
        <v>55</v>
      </c>
      <c r="M147" s="45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76"/>
      <c r="O147" s="376"/>
      <c r="P147" s="376"/>
      <c r="Q147" s="319"/>
      <c r="R147" s="35"/>
      <c r="S147" s="35"/>
      <c r="T147" s="36" t="s">
        <v>62</v>
      </c>
      <c r="U147" s="295">
        <v>0</v>
      </c>
      <c r="V147" s="296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249</v>
      </c>
      <c r="B148" s="55" t="s">
        <v>250</v>
      </c>
      <c r="C148" s="32">
        <v>4301011329</v>
      </c>
      <c r="D148" s="374">
        <v>4607091387308</v>
      </c>
      <c r="E148" s="319"/>
      <c r="F148" s="294">
        <v>0.5</v>
      </c>
      <c r="G148" s="33">
        <v>10</v>
      </c>
      <c r="H148" s="294">
        <v>5</v>
      </c>
      <c r="I148" s="294">
        <v>5.21</v>
      </c>
      <c r="J148" s="33">
        <v>120</v>
      </c>
      <c r="K148" s="34" t="s">
        <v>60</v>
      </c>
      <c r="L148" s="33">
        <v>55</v>
      </c>
      <c r="M148" s="45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76"/>
      <c r="O148" s="376"/>
      <c r="P148" s="376"/>
      <c r="Q148" s="319"/>
      <c r="R148" s="35"/>
      <c r="S148" s="35"/>
      <c r="T148" s="36" t="s">
        <v>62</v>
      </c>
      <c r="U148" s="295">
        <v>0</v>
      </c>
      <c r="V148" s="296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251</v>
      </c>
      <c r="B149" s="55" t="s">
        <v>252</v>
      </c>
      <c r="C149" s="32">
        <v>4301011049</v>
      </c>
      <c r="D149" s="374">
        <v>4607091387339</v>
      </c>
      <c r="E149" s="319"/>
      <c r="F149" s="294">
        <v>0.5</v>
      </c>
      <c r="G149" s="33">
        <v>10</v>
      </c>
      <c r="H149" s="294">
        <v>5</v>
      </c>
      <c r="I149" s="294">
        <v>5.24</v>
      </c>
      <c r="J149" s="33">
        <v>120</v>
      </c>
      <c r="K149" s="34" t="s">
        <v>99</v>
      </c>
      <c r="L149" s="33">
        <v>55</v>
      </c>
      <c r="M149" s="45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76"/>
      <c r="O149" s="376"/>
      <c r="P149" s="376"/>
      <c r="Q149" s="319"/>
      <c r="R149" s="35"/>
      <c r="S149" s="35"/>
      <c r="T149" s="36" t="s">
        <v>62</v>
      </c>
      <c r="U149" s="295">
        <v>0</v>
      </c>
      <c r="V149" s="296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253</v>
      </c>
      <c r="B150" s="55" t="s">
        <v>254</v>
      </c>
      <c r="C150" s="32">
        <v>4301011573</v>
      </c>
      <c r="D150" s="374">
        <v>4680115881938</v>
      </c>
      <c r="E150" s="319"/>
      <c r="F150" s="294">
        <v>0.4</v>
      </c>
      <c r="G150" s="33">
        <v>10</v>
      </c>
      <c r="H150" s="294">
        <v>4</v>
      </c>
      <c r="I150" s="294">
        <v>4.24</v>
      </c>
      <c r="J150" s="33">
        <v>120</v>
      </c>
      <c r="K150" s="34" t="s">
        <v>99</v>
      </c>
      <c r="L150" s="33">
        <v>90</v>
      </c>
      <c r="M150" s="457" t="s">
        <v>255</v>
      </c>
      <c r="N150" s="376"/>
      <c r="O150" s="376"/>
      <c r="P150" s="376"/>
      <c r="Q150" s="319"/>
      <c r="R150" s="35"/>
      <c r="S150" s="35"/>
      <c r="T150" s="36" t="s">
        <v>62</v>
      </c>
      <c r="U150" s="295">
        <v>0</v>
      </c>
      <c r="V150" s="296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256</v>
      </c>
      <c r="B151" s="55" t="s">
        <v>257</v>
      </c>
      <c r="C151" s="32">
        <v>4301011454</v>
      </c>
      <c r="D151" s="374">
        <v>4680115881396</v>
      </c>
      <c r="E151" s="319"/>
      <c r="F151" s="294">
        <v>0.45</v>
      </c>
      <c r="G151" s="33">
        <v>6</v>
      </c>
      <c r="H151" s="294">
        <v>2.7</v>
      </c>
      <c r="I151" s="294">
        <v>2.9</v>
      </c>
      <c r="J151" s="33">
        <v>156</v>
      </c>
      <c r="K151" s="34" t="s">
        <v>60</v>
      </c>
      <c r="L151" s="33">
        <v>55</v>
      </c>
      <c r="M151" s="458" t="s">
        <v>258</v>
      </c>
      <c r="N151" s="376"/>
      <c r="O151" s="376"/>
      <c r="P151" s="376"/>
      <c r="Q151" s="319"/>
      <c r="R151" s="35"/>
      <c r="S151" s="35"/>
      <c r="T151" s="36" t="s">
        <v>62</v>
      </c>
      <c r="U151" s="295">
        <v>0</v>
      </c>
      <c r="V151" s="296">
        <f t="shared" si="7"/>
        <v>0</v>
      </c>
      <c r="W151" s="37" t="str">
        <f>IFERROR(IF(V151=0,"",ROUNDUP(V151/H151,0)*0.00753),"")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259</v>
      </c>
      <c r="B152" s="55" t="s">
        <v>260</v>
      </c>
      <c r="C152" s="32">
        <v>4301010944</v>
      </c>
      <c r="D152" s="374">
        <v>4607091387346</v>
      </c>
      <c r="E152" s="319"/>
      <c r="F152" s="294">
        <v>0.4</v>
      </c>
      <c r="G152" s="33">
        <v>10</v>
      </c>
      <c r="H152" s="294">
        <v>4</v>
      </c>
      <c r="I152" s="294">
        <v>4.24</v>
      </c>
      <c r="J152" s="33">
        <v>120</v>
      </c>
      <c r="K152" s="34" t="s">
        <v>99</v>
      </c>
      <c r="L152" s="33">
        <v>55</v>
      </c>
      <c r="M152" s="45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2" s="376"/>
      <c r="O152" s="376"/>
      <c r="P152" s="376"/>
      <c r="Q152" s="319"/>
      <c r="R152" s="35"/>
      <c r="S152" s="35"/>
      <c r="T152" s="36" t="s">
        <v>62</v>
      </c>
      <c r="U152" s="295">
        <v>0</v>
      </c>
      <c r="V152" s="296">
        <f t="shared" si="7"/>
        <v>0</v>
      </c>
      <c r="W152" s="37" t="str">
        <f>IFERROR(IF(V152=0,"",ROUNDUP(V152/H152,0)*0.00937),"")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261</v>
      </c>
      <c r="B153" s="55" t="s">
        <v>262</v>
      </c>
      <c r="C153" s="32">
        <v>4301011353</v>
      </c>
      <c r="D153" s="374">
        <v>4607091389807</v>
      </c>
      <c r="E153" s="319"/>
      <c r="F153" s="294">
        <v>0.4</v>
      </c>
      <c r="G153" s="33">
        <v>10</v>
      </c>
      <c r="H153" s="294">
        <v>4</v>
      </c>
      <c r="I153" s="294">
        <v>4.24</v>
      </c>
      <c r="J153" s="33">
        <v>120</v>
      </c>
      <c r="K153" s="34" t="s">
        <v>99</v>
      </c>
      <c r="L153" s="33">
        <v>55</v>
      </c>
      <c r="M153" s="46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3" s="376"/>
      <c r="O153" s="376"/>
      <c r="P153" s="376"/>
      <c r="Q153" s="319"/>
      <c r="R153" s="35"/>
      <c r="S153" s="35"/>
      <c r="T153" s="36" t="s">
        <v>62</v>
      </c>
      <c r="U153" s="295">
        <v>0</v>
      </c>
      <c r="V153" s="296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x14ac:dyDescent="0.2">
      <c r="A154" s="378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79"/>
      <c r="M154" s="377" t="s">
        <v>63</v>
      </c>
      <c r="N154" s="331"/>
      <c r="O154" s="331"/>
      <c r="P154" s="331"/>
      <c r="Q154" s="331"/>
      <c r="R154" s="331"/>
      <c r="S154" s="332"/>
      <c r="T154" s="38" t="s">
        <v>64</v>
      </c>
      <c r="U154" s="297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</f>
        <v>0</v>
      </c>
      <c r="V154" s="297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</f>
        <v>0</v>
      </c>
      <c r="W154" s="297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</f>
        <v>0</v>
      </c>
      <c r="X154" s="298"/>
      <c r="Y154" s="298"/>
    </row>
    <row r="155" spans="1:29" x14ac:dyDescent="0.2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79"/>
      <c r="M155" s="377" t="s">
        <v>63</v>
      </c>
      <c r="N155" s="331"/>
      <c r="O155" s="331"/>
      <c r="P155" s="331"/>
      <c r="Q155" s="331"/>
      <c r="R155" s="331"/>
      <c r="S155" s="332"/>
      <c r="T155" s="38" t="s">
        <v>62</v>
      </c>
      <c r="U155" s="297">
        <f>IFERROR(SUM(U137:U153),"0")</f>
        <v>0</v>
      </c>
      <c r="V155" s="297">
        <f>IFERROR(SUM(V137:V153),"0")</f>
        <v>0</v>
      </c>
      <c r="W155" s="38"/>
      <c r="X155" s="298"/>
      <c r="Y155" s="298"/>
    </row>
    <row r="156" spans="1:29" ht="14.25" customHeight="1" x14ac:dyDescent="0.25">
      <c r="A156" s="373" t="s">
        <v>96</v>
      </c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290"/>
      <c r="Y156" s="290"/>
    </row>
    <row r="157" spans="1:29" ht="27" customHeight="1" x14ac:dyDescent="0.25">
      <c r="A157" s="55" t="s">
        <v>263</v>
      </c>
      <c r="B157" s="55" t="s">
        <v>264</v>
      </c>
      <c r="C157" s="32">
        <v>4301020254</v>
      </c>
      <c r="D157" s="374">
        <v>4680115881914</v>
      </c>
      <c r="E157" s="319"/>
      <c r="F157" s="294">
        <v>0.4</v>
      </c>
      <c r="G157" s="33">
        <v>10</v>
      </c>
      <c r="H157" s="294">
        <v>4</v>
      </c>
      <c r="I157" s="294">
        <v>4.24</v>
      </c>
      <c r="J157" s="33">
        <v>120</v>
      </c>
      <c r="K157" s="34" t="s">
        <v>99</v>
      </c>
      <c r="L157" s="33">
        <v>90</v>
      </c>
      <c r="M157" s="461" t="s">
        <v>265</v>
      </c>
      <c r="N157" s="376"/>
      <c r="O157" s="376"/>
      <c r="P157" s="376"/>
      <c r="Q157" s="319"/>
      <c r="R157" s="35"/>
      <c r="S157" s="35"/>
      <c r="T157" s="36" t="s">
        <v>62</v>
      </c>
      <c r="U157" s="295">
        <v>0</v>
      </c>
      <c r="V157" s="296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141" t="s">
        <v>1</v>
      </c>
    </row>
    <row r="158" spans="1:29" ht="16.5" customHeight="1" x14ac:dyDescent="0.25">
      <c r="A158" s="55" t="s">
        <v>266</v>
      </c>
      <c r="B158" s="55" t="s">
        <v>267</v>
      </c>
      <c r="C158" s="32">
        <v>4301020220</v>
      </c>
      <c r="D158" s="374">
        <v>4680115880764</v>
      </c>
      <c r="E158" s="319"/>
      <c r="F158" s="294">
        <v>0.35</v>
      </c>
      <c r="G158" s="33">
        <v>6</v>
      </c>
      <c r="H158" s="294">
        <v>2.1</v>
      </c>
      <c r="I158" s="294">
        <v>2.2999999999999998</v>
      </c>
      <c r="J158" s="33">
        <v>156</v>
      </c>
      <c r="K158" s="34" t="s">
        <v>99</v>
      </c>
      <c r="L158" s="33">
        <v>50</v>
      </c>
      <c r="M158" s="462" t="s">
        <v>268</v>
      </c>
      <c r="N158" s="376"/>
      <c r="O158" s="376"/>
      <c r="P158" s="376"/>
      <c r="Q158" s="319"/>
      <c r="R158" s="35"/>
      <c r="S158" s="35"/>
      <c r="T158" s="36" t="s">
        <v>62</v>
      </c>
      <c r="U158" s="295">
        <v>0</v>
      </c>
      <c r="V158" s="296">
        <f>IFERROR(IF(U158="",0,CEILING((U158/$H158),1)*$H158),"")</f>
        <v>0</v>
      </c>
      <c r="W158" s="37" t="str">
        <f>IFERROR(IF(V158=0,"",ROUNDUP(V158/H158,0)*0.00753),"")</f>
        <v/>
      </c>
      <c r="X158" s="57"/>
      <c r="Y158" s="58"/>
      <c r="AC158" s="142" t="s">
        <v>1</v>
      </c>
    </row>
    <row r="159" spans="1:29" x14ac:dyDescent="0.2">
      <c r="A159" s="378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79"/>
      <c r="M159" s="377" t="s">
        <v>63</v>
      </c>
      <c r="N159" s="331"/>
      <c r="O159" s="331"/>
      <c r="P159" s="331"/>
      <c r="Q159" s="331"/>
      <c r="R159" s="331"/>
      <c r="S159" s="332"/>
      <c r="T159" s="38" t="s">
        <v>64</v>
      </c>
      <c r="U159" s="297">
        <f>IFERROR(U157/H157,"0")+IFERROR(U158/H158,"0")</f>
        <v>0</v>
      </c>
      <c r="V159" s="297">
        <f>IFERROR(V157/H157,"0")+IFERROR(V158/H158,"0")</f>
        <v>0</v>
      </c>
      <c r="W159" s="297">
        <f>IFERROR(IF(W157="",0,W157),"0")+IFERROR(IF(W158="",0,W158),"0")</f>
        <v>0</v>
      </c>
      <c r="X159" s="298"/>
      <c r="Y159" s="298"/>
    </row>
    <row r="160" spans="1:29" x14ac:dyDescent="0.2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79"/>
      <c r="M160" s="377" t="s">
        <v>63</v>
      </c>
      <c r="N160" s="331"/>
      <c r="O160" s="331"/>
      <c r="P160" s="331"/>
      <c r="Q160" s="331"/>
      <c r="R160" s="331"/>
      <c r="S160" s="332"/>
      <c r="T160" s="38" t="s">
        <v>62</v>
      </c>
      <c r="U160" s="297">
        <f>IFERROR(SUM(U157:U158),"0")</f>
        <v>0</v>
      </c>
      <c r="V160" s="297">
        <f>IFERROR(SUM(V157:V158),"0")</f>
        <v>0</v>
      </c>
      <c r="W160" s="38"/>
      <c r="X160" s="298"/>
      <c r="Y160" s="298"/>
    </row>
    <row r="161" spans="1:29" ht="14.25" customHeight="1" x14ac:dyDescent="0.25">
      <c r="A161" s="373" t="s">
        <v>57</v>
      </c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290"/>
      <c r="Y161" s="290"/>
    </row>
    <row r="162" spans="1:29" ht="27" customHeight="1" x14ac:dyDescent="0.25">
      <c r="A162" s="55" t="s">
        <v>269</v>
      </c>
      <c r="B162" s="55" t="s">
        <v>270</v>
      </c>
      <c r="C162" s="32">
        <v>4301030878</v>
      </c>
      <c r="D162" s="374">
        <v>4607091387193</v>
      </c>
      <c r="E162" s="319"/>
      <c r="F162" s="294">
        <v>0.7</v>
      </c>
      <c r="G162" s="33">
        <v>6</v>
      </c>
      <c r="H162" s="294">
        <v>4.2</v>
      </c>
      <c r="I162" s="294">
        <v>4.46</v>
      </c>
      <c r="J162" s="33">
        <v>156</v>
      </c>
      <c r="K162" s="34" t="s">
        <v>60</v>
      </c>
      <c r="L162" s="33">
        <v>35</v>
      </c>
      <c r="M162" s="46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2" s="376"/>
      <c r="O162" s="376"/>
      <c r="P162" s="376"/>
      <c r="Q162" s="319"/>
      <c r="R162" s="35"/>
      <c r="S162" s="35"/>
      <c r="T162" s="36" t="s">
        <v>62</v>
      </c>
      <c r="U162" s="295">
        <v>0</v>
      </c>
      <c r="V162" s="296">
        <f t="shared" ref="V162:V177" si="8">IFERROR(IF(U162="",0,CEILING((U162/$H162),1)*$H162),"")</f>
        <v>0</v>
      </c>
      <c r="W162" s="37" t="str">
        <f>IFERROR(IF(V162=0,"",ROUNDUP(V162/H162,0)*0.00753),"")</f>
        <v/>
      </c>
      <c r="X162" s="57"/>
      <c r="Y162" s="58"/>
      <c r="AC162" s="143" t="s">
        <v>1</v>
      </c>
    </row>
    <row r="163" spans="1:29" ht="27" customHeight="1" x14ac:dyDescent="0.25">
      <c r="A163" s="55" t="s">
        <v>271</v>
      </c>
      <c r="B163" s="55" t="s">
        <v>272</v>
      </c>
      <c r="C163" s="32">
        <v>4301031153</v>
      </c>
      <c r="D163" s="374">
        <v>4607091387230</v>
      </c>
      <c r="E163" s="319"/>
      <c r="F163" s="294">
        <v>0.7</v>
      </c>
      <c r="G163" s="33">
        <v>6</v>
      </c>
      <c r="H163" s="294">
        <v>4.2</v>
      </c>
      <c r="I163" s="294">
        <v>4.46</v>
      </c>
      <c r="J163" s="33">
        <v>156</v>
      </c>
      <c r="K163" s="34" t="s">
        <v>60</v>
      </c>
      <c r="L163" s="33">
        <v>40</v>
      </c>
      <c r="M163" s="46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3" s="376"/>
      <c r="O163" s="376"/>
      <c r="P163" s="376"/>
      <c r="Q163" s="319"/>
      <c r="R163" s="35"/>
      <c r="S163" s="35"/>
      <c r="T163" s="36" t="s">
        <v>62</v>
      </c>
      <c r="U163" s="295">
        <v>0</v>
      </c>
      <c r="V163" s="296">
        <f t="shared" si="8"/>
        <v>0</v>
      </c>
      <c r="W163" s="37" t="str">
        <f>IFERROR(IF(V163=0,"",ROUNDUP(V163/H163,0)*0.00753),"")</f>
        <v/>
      </c>
      <c r="X163" s="57"/>
      <c r="Y163" s="58"/>
      <c r="AC163" s="144" t="s">
        <v>1</v>
      </c>
    </row>
    <row r="164" spans="1:29" ht="27" customHeight="1" x14ac:dyDescent="0.25">
      <c r="A164" s="55" t="s">
        <v>273</v>
      </c>
      <c r="B164" s="55" t="s">
        <v>274</v>
      </c>
      <c r="C164" s="32">
        <v>4301031191</v>
      </c>
      <c r="D164" s="374">
        <v>4680115880993</v>
      </c>
      <c r="E164" s="319"/>
      <c r="F164" s="294">
        <v>0.7</v>
      </c>
      <c r="G164" s="33">
        <v>6</v>
      </c>
      <c r="H164" s="294">
        <v>4.2</v>
      </c>
      <c r="I164" s="294">
        <v>4.46</v>
      </c>
      <c r="J164" s="33">
        <v>156</v>
      </c>
      <c r="K164" s="34" t="s">
        <v>60</v>
      </c>
      <c r="L164" s="33">
        <v>40</v>
      </c>
      <c r="M164" s="465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4" s="376"/>
      <c r="O164" s="376"/>
      <c r="P164" s="376"/>
      <c r="Q164" s="319"/>
      <c r="R164" s="35"/>
      <c r="S164" s="35"/>
      <c r="T164" s="36" t="s">
        <v>62</v>
      </c>
      <c r="U164" s="295">
        <v>0</v>
      </c>
      <c r="V164" s="296">
        <f t="shared" si="8"/>
        <v>0</v>
      </c>
      <c r="W164" s="37" t="str">
        <f>IFERROR(IF(V164=0,"",ROUNDUP(V164/H164,0)*0.00753),"")</f>
        <v/>
      </c>
      <c r="X164" s="57"/>
      <c r="Y164" s="58"/>
      <c r="AC164" s="145" t="s">
        <v>1</v>
      </c>
    </row>
    <row r="165" spans="1:29" ht="27" customHeight="1" x14ac:dyDescent="0.25">
      <c r="A165" s="55" t="s">
        <v>275</v>
      </c>
      <c r="B165" s="55" t="s">
        <v>276</v>
      </c>
      <c r="C165" s="32">
        <v>4301031204</v>
      </c>
      <c r="D165" s="374">
        <v>4680115881761</v>
      </c>
      <c r="E165" s="319"/>
      <c r="F165" s="294">
        <v>0.7</v>
      </c>
      <c r="G165" s="33">
        <v>6</v>
      </c>
      <c r="H165" s="294">
        <v>4.2</v>
      </c>
      <c r="I165" s="294">
        <v>4.46</v>
      </c>
      <c r="J165" s="33">
        <v>156</v>
      </c>
      <c r="K165" s="34" t="s">
        <v>60</v>
      </c>
      <c r="L165" s="33">
        <v>40</v>
      </c>
      <c r="M165" s="466" t="s">
        <v>277</v>
      </c>
      <c r="N165" s="376"/>
      <c r="O165" s="376"/>
      <c r="P165" s="376"/>
      <c r="Q165" s="319"/>
      <c r="R165" s="35"/>
      <c r="S165" s="35"/>
      <c r="T165" s="36" t="s">
        <v>62</v>
      </c>
      <c r="U165" s="295">
        <v>0</v>
      </c>
      <c r="V165" s="296">
        <f t="shared" si="8"/>
        <v>0</v>
      </c>
      <c r="W165" s="37" t="str">
        <f>IFERROR(IF(V165=0,"",ROUNDUP(V165/H165,0)*0.00753),"")</f>
        <v/>
      </c>
      <c r="X165" s="57"/>
      <c r="Y165" s="58"/>
      <c r="AC165" s="146" t="s">
        <v>1</v>
      </c>
    </row>
    <row r="166" spans="1:29" ht="27" customHeight="1" x14ac:dyDescent="0.25">
      <c r="A166" s="55" t="s">
        <v>278</v>
      </c>
      <c r="B166" s="55" t="s">
        <v>279</v>
      </c>
      <c r="C166" s="32">
        <v>4301031201</v>
      </c>
      <c r="D166" s="374">
        <v>4680115881563</v>
      </c>
      <c r="E166" s="319"/>
      <c r="F166" s="294">
        <v>0.7</v>
      </c>
      <c r="G166" s="33">
        <v>6</v>
      </c>
      <c r="H166" s="294">
        <v>4.2</v>
      </c>
      <c r="I166" s="294">
        <v>4.4000000000000004</v>
      </c>
      <c r="J166" s="33">
        <v>156</v>
      </c>
      <c r="K166" s="34" t="s">
        <v>60</v>
      </c>
      <c r="L166" s="33">
        <v>40</v>
      </c>
      <c r="M166" s="467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6" s="376"/>
      <c r="O166" s="376"/>
      <c r="P166" s="376"/>
      <c r="Q166" s="319"/>
      <c r="R166" s="35"/>
      <c r="S166" s="35"/>
      <c r="T166" s="36" t="s">
        <v>62</v>
      </c>
      <c r="U166" s="295">
        <v>0</v>
      </c>
      <c r="V166" s="296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280</v>
      </c>
      <c r="B167" s="55" t="s">
        <v>281</v>
      </c>
      <c r="C167" s="32">
        <v>4301031224</v>
      </c>
      <c r="D167" s="374">
        <v>4680115882683</v>
      </c>
      <c r="E167" s="319"/>
      <c r="F167" s="294">
        <v>0.9</v>
      </c>
      <c r="G167" s="33">
        <v>6</v>
      </c>
      <c r="H167" s="294">
        <v>5.4</v>
      </c>
      <c r="I167" s="294">
        <v>5.61</v>
      </c>
      <c r="J167" s="33">
        <v>120</v>
      </c>
      <c r="K167" s="34" t="s">
        <v>60</v>
      </c>
      <c r="L167" s="33">
        <v>40</v>
      </c>
      <c r="M167" s="468" t="s">
        <v>282</v>
      </c>
      <c r="N167" s="376"/>
      <c r="O167" s="376"/>
      <c r="P167" s="376"/>
      <c r="Q167" s="319"/>
      <c r="R167" s="35"/>
      <c r="S167" s="35"/>
      <c r="T167" s="36" t="s">
        <v>62</v>
      </c>
      <c r="U167" s="295">
        <v>0</v>
      </c>
      <c r="V167" s="296">
        <f t="shared" si="8"/>
        <v>0</v>
      </c>
      <c r="W167" s="37" t="str">
        <f>IFERROR(IF(V167=0,"",ROUNDUP(V167/H167,0)*0.00937),"")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283</v>
      </c>
      <c r="B168" s="55" t="s">
        <v>284</v>
      </c>
      <c r="C168" s="32">
        <v>4301031230</v>
      </c>
      <c r="D168" s="374">
        <v>4680115882690</v>
      </c>
      <c r="E168" s="319"/>
      <c r="F168" s="294">
        <v>0.9</v>
      </c>
      <c r="G168" s="33">
        <v>6</v>
      </c>
      <c r="H168" s="294">
        <v>5.4</v>
      </c>
      <c r="I168" s="294">
        <v>5.61</v>
      </c>
      <c r="J168" s="33">
        <v>120</v>
      </c>
      <c r="K168" s="34" t="s">
        <v>60</v>
      </c>
      <c r="L168" s="33">
        <v>40</v>
      </c>
      <c r="M168" s="469" t="s">
        <v>285</v>
      </c>
      <c r="N168" s="376"/>
      <c r="O168" s="376"/>
      <c r="P168" s="376"/>
      <c r="Q168" s="319"/>
      <c r="R168" s="35"/>
      <c r="S168" s="35"/>
      <c r="T168" s="36" t="s">
        <v>62</v>
      </c>
      <c r="U168" s="295">
        <v>0</v>
      </c>
      <c r="V168" s="296">
        <f t="shared" si="8"/>
        <v>0</v>
      </c>
      <c r="W168" s="37" t="str">
        <f>IFERROR(IF(V168=0,"",ROUNDUP(V168/H168,0)*0.00937),"")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286</v>
      </c>
      <c r="B169" s="55" t="s">
        <v>287</v>
      </c>
      <c r="C169" s="32">
        <v>4301031220</v>
      </c>
      <c r="D169" s="374">
        <v>4680115882669</v>
      </c>
      <c r="E169" s="319"/>
      <c r="F169" s="294">
        <v>0.9</v>
      </c>
      <c r="G169" s="33">
        <v>6</v>
      </c>
      <c r="H169" s="294">
        <v>5.4</v>
      </c>
      <c r="I169" s="294">
        <v>5.61</v>
      </c>
      <c r="J169" s="33">
        <v>120</v>
      </c>
      <c r="K169" s="34" t="s">
        <v>60</v>
      </c>
      <c r="L169" s="33">
        <v>40</v>
      </c>
      <c r="M169" s="470" t="s">
        <v>288</v>
      </c>
      <c r="N169" s="376"/>
      <c r="O169" s="376"/>
      <c r="P169" s="376"/>
      <c r="Q169" s="319"/>
      <c r="R169" s="35"/>
      <c r="S169" s="35"/>
      <c r="T169" s="36" t="s">
        <v>62</v>
      </c>
      <c r="U169" s="295">
        <v>0</v>
      </c>
      <c r="V169" s="296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289</v>
      </c>
      <c r="B170" s="55" t="s">
        <v>290</v>
      </c>
      <c r="C170" s="32">
        <v>4301031221</v>
      </c>
      <c r="D170" s="374">
        <v>4680115882676</v>
      </c>
      <c r="E170" s="319"/>
      <c r="F170" s="294">
        <v>0.9</v>
      </c>
      <c r="G170" s="33">
        <v>6</v>
      </c>
      <c r="H170" s="294">
        <v>5.4</v>
      </c>
      <c r="I170" s="294">
        <v>5.61</v>
      </c>
      <c r="J170" s="33">
        <v>120</v>
      </c>
      <c r="K170" s="34" t="s">
        <v>60</v>
      </c>
      <c r="L170" s="33">
        <v>40</v>
      </c>
      <c r="M170" s="471" t="s">
        <v>291</v>
      </c>
      <c r="N170" s="376"/>
      <c r="O170" s="376"/>
      <c r="P170" s="376"/>
      <c r="Q170" s="319"/>
      <c r="R170" s="35"/>
      <c r="S170" s="35"/>
      <c r="T170" s="36" t="s">
        <v>62</v>
      </c>
      <c r="U170" s="295">
        <v>0</v>
      </c>
      <c r="V170" s="296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292</v>
      </c>
      <c r="B171" s="55" t="s">
        <v>293</v>
      </c>
      <c r="C171" s="32">
        <v>4301031152</v>
      </c>
      <c r="D171" s="374">
        <v>4607091387285</v>
      </c>
      <c r="E171" s="319"/>
      <c r="F171" s="294">
        <v>0.35</v>
      </c>
      <c r="G171" s="33">
        <v>6</v>
      </c>
      <c r="H171" s="294">
        <v>2.1</v>
      </c>
      <c r="I171" s="294">
        <v>2.23</v>
      </c>
      <c r="J171" s="33">
        <v>234</v>
      </c>
      <c r="K171" s="34" t="s">
        <v>60</v>
      </c>
      <c r="L171" s="33">
        <v>40</v>
      </c>
      <c r="M171" s="47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1" s="376"/>
      <c r="O171" s="376"/>
      <c r="P171" s="376"/>
      <c r="Q171" s="319"/>
      <c r="R171" s="35"/>
      <c r="S171" s="35"/>
      <c r="T171" s="36" t="s">
        <v>62</v>
      </c>
      <c r="U171" s="295">
        <v>0</v>
      </c>
      <c r="V171" s="296">
        <f t="shared" si="8"/>
        <v>0</v>
      </c>
      <c r="W171" s="37" t="str">
        <f>IFERROR(IF(V171=0,"",ROUNDUP(V171/H171,0)*0.00502),"")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294</v>
      </c>
      <c r="B172" s="55" t="s">
        <v>295</v>
      </c>
      <c r="C172" s="32">
        <v>4301031199</v>
      </c>
      <c r="D172" s="374">
        <v>4680115880986</v>
      </c>
      <c r="E172" s="319"/>
      <c r="F172" s="294">
        <v>0.35</v>
      </c>
      <c r="G172" s="33">
        <v>6</v>
      </c>
      <c r="H172" s="294">
        <v>2.1</v>
      </c>
      <c r="I172" s="294">
        <v>2.23</v>
      </c>
      <c r="J172" s="33">
        <v>234</v>
      </c>
      <c r="K172" s="34" t="s">
        <v>60</v>
      </c>
      <c r="L172" s="33">
        <v>40</v>
      </c>
      <c r="M172" s="473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2" s="376"/>
      <c r="O172" s="376"/>
      <c r="P172" s="376"/>
      <c r="Q172" s="319"/>
      <c r="R172" s="35"/>
      <c r="S172" s="35"/>
      <c r="T172" s="36" t="s">
        <v>62</v>
      </c>
      <c r="U172" s="295">
        <v>0</v>
      </c>
      <c r="V172" s="296">
        <f t="shared" si="8"/>
        <v>0</v>
      </c>
      <c r="W172" s="37" t="str">
        <f>IFERROR(IF(V172=0,"",ROUNDUP(V172/H172,0)*0.00502),"")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296</v>
      </c>
      <c r="B173" s="55" t="s">
        <v>297</v>
      </c>
      <c r="C173" s="32">
        <v>4301031190</v>
      </c>
      <c r="D173" s="374">
        <v>4680115880207</v>
      </c>
      <c r="E173" s="319"/>
      <c r="F173" s="294">
        <v>0.4</v>
      </c>
      <c r="G173" s="33">
        <v>6</v>
      </c>
      <c r="H173" s="294">
        <v>2.4</v>
      </c>
      <c r="I173" s="294">
        <v>2.63</v>
      </c>
      <c r="J173" s="33">
        <v>156</v>
      </c>
      <c r="K173" s="34" t="s">
        <v>60</v>
      </c>
      <c r="L173" s="33">
        <v>40</v>
      </c>
      <c r="M173" s="474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3" s="376"/>
      <c r="O173" s="376"/>
      <c r="P173" s="376"/>
      <c r="Q173" s="319"/>
      <c r="R173" s="35"/>
      <c r="S173" s="35"/>
      <c r="T173" s="36" t="s">
        <v>62</v>
      </c>
      <c r="U173" s="295">
        <v>0</v>
      </c>
      <c r="V173" s="296">
        <f t="shared" si="8"/>
        <v>0</v>
      </c>
      <c r="W173" s="37" t="str">
        <f>IFERROR(IF(V173=0,"",ROUNDUP(V173/H173,0)*0.00753),"")</f>
        <v/>
      </c>
      <c r="X173" s="57"/>
      <c r="Y173" s="58"/>
      <c r="AC173" s="154" t="s">
        <v>1</v>
      </c>
    </row>
    <row r="174" spans="1:29" ht="27" customHeight="1" x14ac:dyDescent="0.25">
      <c r="A174" s="55" t="s">
        <v>298</v>
      </c>
      <c r="B174" s="55" t="s">
        <v>299</v>
      </c>
      <c r="C174" s="32">
        <v>4301031205</v>
      </c>
      <c r="D174" s="374">
        <v>4680115881785</v>
      </c>
      <c r="E174" s="319"/>
      <c r="F174" s="294">
        <v>0.35</v>
      </c>
      <c r="G174" s="33">
        <v>6</v>
      </c>
      <c r="H174" s="294">
        <v>2.1</v>
      </c>
      <c r="I174" s="294">
        <v>2.23</v>
      </c>
      <c r="J174" s="33">
        <v>234</v>
      </c>
      <c r="K174" s="34" t="s">
        <v>60</v>
      </c>
      <c r="L174" s="33">
        <v>40</v>
      </c>
      <c r="M174" s="475" t="s">
        <v>300</v>
      </c>
      <c r="N174" s="376"/>
      <c r="O174" s="376"/>
      <c r="P174" s="376"/>
      <c r="Q174" s="319"/>
      <c r="R174" s="35"/>
      <c r="S174" s="35"/>
      <c r="T174" s="36" t="s">
        <v>62</v>
      </c>
      <c r="U174" s="295">
        <v>0</v>
      </c>
      <c r="V174" s="296">
        <f t="shared" si="8"/>
        <v>0</v>
      </c>
      <c r="W174" s="37" t="str">
        <f>IFERROR(IF(V174=0,"",ROUNDUP(V174/H174,0)*0.00502),"")</f>
        <v/>
      </c>
      <c r="X174" s="57"/>
      <c r="Y174" s="58"/>
      <c r="AC174" s="155" t="s">
        <v>1</v>
      </c>
    </row>
    <row r="175" spans="1:29" ht="27" customHeight="1" x14ac:dyDescent="0.25">
      <c r="A175" s="55" t="s">
        <v>301</v>
      </c>
      <c r="B175" s="55" t="s">
        <v>302</v>
      </c>
      <c r="C175" s="32">
        <v>4301031202</v>
      </c>
      <c r="D175" s="374">
        <v>4680115881679</v>
      </c>
      <c r="E175" s="319"/>
      <c r="F175" s="294">
        <v>0.35</v>
      </c>
      <c r="G175" s="33">
        <v>6</v>
      </c>
      <c r="H175" s="294">
        <v>2.1</v>
      </c>
      <c r="I175" s="294">
        <v>2.2000000000000002</v>
      </c>
      <c r="J175" s="33">
        <v>234</v>
      </c>
      <c r="K175" s="34" t="s">
        <v>60</v>
      </c>
      <c r="L175" s="33">
        <v>40</v>
      </c>
      <c r="M175" s="476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5" s="376"/>
      <c r="O175" s="376"/>
      <c r="P175" s="376"/>
      <c r="Q175" s="319"/>
      <c r="R175" s="35"/>
      <c r="S175" s="35"/>
      <c r="T175" s="36" t="s">
        <v>62</v>
      </c>
      <c r="U175" s="295">
        <v>0</v>
      </c>
      <c r="V175" s="296">
        <f t="shared" si="8"/>
        <v>0</v>
      </c>
      <c r="W175" s="37" t="str">
        <f>IFERROR(IF(V175=0,"",ROUNDUP(V175/H175,0)*0.00502),"")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303</v>
      </c>
      <c r="B176" s="55" t="s">
        <v>304</v>
      </c>
      <c r="C176" s="32">
        <v>4301031158</v>
      </c>
      <c r="D176" s="374">
        <v>4680115880191</v>
      </c>
      <c r="E176" s="319"/>
      <c r="F176" s="294">
        <v>0.4</v>
      </c>
      <c r="G176" s="33">
        <v>6</v>
      </c>
      <c r="H176" s="294">
        <v>2.4</v>
      </c>
      <c r="I176" s="294">
        <v>2.5</v>
      </c>
      <c r="J176" s="33">
        <v>234</v>
      </c>
      <c r="K176" s="34" t="s">
        <v>60</v>
      </c>
      <c r="L176" s="33">
        <v>40</v>
      </c>
      <c r="M176" s="477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6" s="376"/>
      <c r="O176" s="376"/>
      <c r="P176" s="376"/>
      <c r="Q176" s="319"/>
      <c r="R176" s="35"/>
      <c r="S176" s="35"/>
      <c r="T176" s="36" t="s">
        <v>62</v>
      </c>
      <c r="U176" s="295">
        <v>0</v>
      </c>
      <c r="V176" s="296">
        <f t="shared" si="8"/>
        <v>0</v>
      </c>
      <c r="W176" s="37" t="str">
        <f>IFERROR(IF(V176=0,"",ROUNDUP(V176/H176,0)*0.00502),"")</f>
        <v/>
      </c>
      <c r="X176" s="57"/>
      <c r="Y176" s="58"/>
      <c r="AC176" s="157" t="s">
        <v>1</v>
      </c>
    </row>
    <row r="177" spans="1:29" ht="27" customHeight="1" x14ac:dyDescent="0.25">
      <c r="A177" s="55" t="s">
        <v>305</v>
      </c>
      <c r="B177" s="55" t="s">
        <v>306</v>
      </c>
      <c r="C177" s="32">
        <v>4301031151</v>
      </c>
      <c r="D177" s="374">
        <v>4607091389845</v>
      </c>
      <c r="E177" s="319"/>
      <c r="F177" s="294">
        <v>0.35</v>
      </c>
      <c r="G177" s="33">
        <v>6</v>
      </c>
      <c r="H177" s="294">
        <v>2.1</v>
      </c>
      <c r="I177" s="294">
        <v>2.2000000000000002</v>
      </c>
      <c r="J177" s="33">
        <v>234</v>
      </c>
      <c r="K177" s="34" t="s">
        <v>60</v>
      </c>
      <c r="L177" s="33">
        <v>40</v>
      </c>
      <c r="M177" s="478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7" s="376"/>
      <c r="O177" s="376"/>
      <c r="P177" s="376"/>
      <c r="Q177" s="319"/>
      <c r="R177" s="35"/>
      <c r="S177" s="35"/>
      <c r="T177" s="36" t="s">
        <v>62</v>
      </c>
      <c r="U177" s="295">
        <v>0</v>
      </c>
      <c r="V177" s="296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x14ac:dyDescent="0.2">
      <c r="A178" s="378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79"/>
      <c r="M178" s="377" t="s">
        <v>63</v>
      </c>
      <c r="N178" s="331"/>
      <c r="O178" s="331"/>
      <c r="P178" s="331"/>
      <c r="Q178" s="331"/>
      <c r="R178" s="331"/>
      <c r="S178" s="332"/>
      <c r="T178" s="38" t="s">
        <v>64</v>
      </c>
      <c r="U178" s="297">
        <f>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</f>
        <v>0</v>
      </c>
      <c r="V178" s="297">
        <f>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</f>
        <v>0</v>
      </c>
      <c r="W178" s="297">
        <f>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</f>
        <v>0</v>
      </c>
      <c r="X178" s="298"/>
      <c r="Y178" s="298"/>
    </row>
    <row r="179" spans="1:29" x14ac:dyDescent="0.2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79"/>
      <c r="M179" s="377" t="s">
        <v>63</v>
      </c>
      <c r="N179" s="331"/>
      <c r="O179" s="331"/>
      <c r="P179" s="331"/>
      <c r="Q179" s="331"/>
      <c r="R179" s="331"/>
      <c r="S179" s="332"/>
      <c r="T179" s="38" t="s">
        <v>62</v>
      </c>
      <c r="U179" s="297">
        <f>IFERROR(SUM(U162:U177),"0")</f>
        <v>0</v>
      </c>
      <c r="V179" s="297">
        <f>IFERROR(SUM(V162:V177),"0")</f>
        <v>0</v>
      </c>
      <c r="W179" s="38"/>
      <c r="X179" s="298"/>
      <c r="Y179" s="298"/>
    </row>
    <row r="180" spans="1:29" ht="14.25" customHeight="1" x14ac:dyDescent="0.25">
      <c r="A180" s="373" t="s">
        <v>65</v>
      </c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290"/>
      <c r="Y180" s="290"/>
    </row>
    <row r="181" spans="1:29" ht="27" customHeight="1" x14ac:dyDescent="0.25">
      <c r="A181" s="55" t="s">
        <v>307</v>
      </c>
      <c r="B181" s="55" t="s">
        <v>308</v>
      </c>
      <c r="C181" s="32">
        <v>4301051479</v>
      </c>
      <c r="D181" s="374">
        <v>4680115882607</v>
      </c>
      <c r="E181" s="319"/>
      <c r="F181" s="294">
        <v>0.3</v>
      </c>
      <c r="G181" s="33">
        <v>6</v>
      </c>
      <c r="H181" s="294">
        <v>1.8</v>
      </c>
      <c r="I181" s="294">
        <v>2.0720000000000001</v>
      </c>
      <c r="J181" s="33">
        <v>156</v>
      </c>
      <c r="K181" s="34" t="s">
        <v>127</v>
      </c>
      <c r="L181" s="33">
        <v>45</v>
      </c>
      <c r="M181" s="479" t="s">
        <v>309</v>
      </c>
      <c r="N181" s="376"/>
      <c r="O181" s="376"/>
      <c r="P181" s="376"/>
      <c r="Q181" s="319"/>
      <c r="R181" s="35"/>
      <c r="S181" s="35"/>
      <c r="T181" s="36" t="s">
        <v>62</v>
      </c>
      <c r="U181" s="295">
        <v>0</v>
      </c>
      <c r="V181" s="296">
        <f t="shared" ref="V181:V203" si="9">IFERROR(IF(U181="",0,CEILING((U181/$H181),1)*$H181),"")</f>
        <v>0</v>
      </c>
      <c r="W181" s="37" t="str">
        <f>IFERROR(IF(V181=0,"",ROUNDUP(V181/H181,0)*0.00753),"")</f>
        <v/>
      </c>
      <c r="X181" s="57"/>
      <c r="Y181" s="58" t="s">
        <v>228</v>
      </c>
      <c r="AC181" s="159" t="s">
        <v>1</v>
      </c>
    </row>
    <row r="182" spans="1:29" ht="16.5" customHeight="1" x14ac:dyDescent="0.25">
      <c r="A182" s="55" t="s">
        <v>310</v>
      </c>
      <c r="B182" s="55" t="s">
        <v>311</v>
      </c>
      <c r="C182" s="32">
        <v>4301051523</v>
      </c>
      <c r="D182" s="374">
        <v>4680115882942</v>
      </c>
      <c r="E182" s="319"/>
      <c r="F182" s="294">
        <v>0.3</v>
      </c>
      <c r="G182" s="33">
        <v>6</v>
      </c>
      <c r="H182" s="294">
        <v>1.8</v>
      </c>
      <c r="I182" s="294">
        <v>2.0720000000000001</v>
      </c>
      <c r="J182" s="33">
        <v>156</v>
      </c>
      <c r="K182" s="34" t="s">
        <v>60</v>
      </c>
      <c r="L182" s="33">
        <v>40</v>
      </c>
      <c r="M182" s="480" t="s">
        <v>312</v>
      </c>
      <c r="N182" s="376"/>
      <c r="O182" s="376"/>
      <c r="P182" s="376"/>
      <c r="Q182" s="319"/>
      <c r="R182" s="35"/>
      <c r="S182" s="35"/>
      <c r="T182" s="36" t="s">
        <v>62</v>
      </c>
      <c r="U182" s="295">
        <v>0</v>
      </c>
      <c r="V182" s="296">
        <f t="shared" si="9"/>
        <v>0</v>
      </c>
      <c r="W182" s="37" t="str">
        <f>IFERROR(IF(V182=0,"",ROUNDUP(V182/H182,0)*0.00753),"")</f>
        <v/>
      </c>
      <c r="X182" s="57"/>
      <c r="Y182" s="58" t="s">
        <v>228</v>
      </c>
      <c r="AC182" s="160" t="s">
        <v>1</v>
      </c>
    </row>
    <row r="183" spans="1:29" ht="27" customHeight="1" x14ac:dyDescent="0.25">
      <c r="A183" s="55" t="s">
        <v>313</v>
      </c>
      <c r="B183" s="55" t="s">
        <v>314</v>
      </c>
      <c r="C183" s="32">
        <v>4301051409</v>
      </c>
      <c r="D183" s="374">
        <v>4680115881556</v>
      </c>
      <c r="E183" s="319"/>
      <c r="F183" s="294">
        <v>1</v>
      </c>
      <c r="G183" s="33">
        <v>4</v>
      </c>
      <c r="H183" s="294">
        <v>4</v>
      </c>
      <c r="I183" s="294">
        <v>4.4080000000000004</v>
      </c>
      <c r="J183" s="33">
        <v>104</v>
      </c>
      <c r="K183" s="34" t="s">
        <v>127</v>
      </c>
      <c r="L183" s="33">
        <v>45</v>
      </c>
      <c r="M183" s="481" t="s">
        <v>315</v>
      </c>
      <c r="N183" s="376"/>
      <c r="O183" s="376"/>
      <c r="P183" s="376"/>
      <c r="Q183" s="319"/>
      <c r="R183" s="35"/>
      <c r="S183" s="35"/>
      <c r="T183" s="36" t="s">
        <v>62</v>
      </c>
      <c r="U183" s="295">
        <v>0</v>
      </c>
      <c r="V183" s="296">
        <f t="shared" si="9"/>
        <v>0</v>
      </c>
      <c r="W183" s="37" t="str">
        <f>IFERROR(IF(V183=0,"",ROUNDUP(V183/H183,0)*0.01196),"")</f>
        <v/>
      </c>
      <c r="X183" s="57"/>
      <c r="Y183" s="58"/>
      <c r="AC183" s="161" t="s">
        <v>1</v>
      </c>
    </row>
    <row r="184" spans="1:29" ht="16.5" customHeight="1" x14ac:dyDescent="0.25">
      <c r="A184" s="55" t="s">
        <v>316</v>
      </c>
      <c r="B184" s="55" t="s">
        <v>317</v>
      </c>
      <c r="C184" s="32">
        <v>4301051101</v>
      </c>
      <c r="D184" s="374">
        <v>4607091387766</v>
      </c>
      <c r="E184" s="319"/>
      <c r="F184" s="294">
        <v>1.35</v>
      </c>
      <c r="G184" s="33">
        <v>6</v>
      </c>
      <c r="H184" s="294">
        <v>8.1</v>
      </c>
      <c r="I184" s="294">
        <v>8.6579999999999995</v>
      </c>
      <c r="J184" s="33">
        <v>56</v>
      </c>
      <c r="K184" s="34" t="s">
        <v>60</v>
      </c>
      <c r="L184" s="33">
        <v>40</v>
      </c>
      <c r="M184" s="48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76"/>
      <c r="O184" s="376"/>
      <c r="P184" s="376"/>
      <c r="Q184" s="319"/>
      <c r="R184" s="35"/>
      <c r="S184" s="35"/>
      <c r="T184" s="36" t="s">
        <v>62</v>
      </c>
      <c r="U184" s="295">
        <v>0</v>
      </c>
      <c r="V184" s="296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318</v>
      </c>
      <c r="B185" s="55" t="s">
        <v>319</v>
      </c>
      <c r="C185" s="32">
        <v>4301051116</v>
      </c>
      <c r="D185" s="374">
        <v>4607091387957</v>
      </c>
      <c r="E185" s="319"/>
      <c r="F185" s="294">
        <v>1.3</v>
      </c>
      <c r="G185" s="33">
        <v>6</v>
      </c>
      <c r="H185" s="294">
        <v>7.8</v>
      </c>
      <c r="I185" s="294">
        <v>8.3640000000000008</v>
      </c>
      <c r="J185" s="33">
        <v>56</v>
      </c>
      <c r="K185" s="34" t="s">
        <v>60</v>
      </c>
      <c r="L185" s="33">
        <v>40</v>
      </c>
      <c r="M185" s="48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76"/>
      <c r="O185" s="376"/>
      <c r="P185" s="376"/>
      <c r="Q185" s="319"/>
      <c r="R185" s="35"/>
      <c r="S185" s="35"/>
      <c r="T185" s="36" t="s">
        <v>62</v>
      </c>
      <c r="U185" s="295">
        <v>0</v>
      </c>
      <c r="V185" s="296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320</v>
      </c>
      <c r="B186" s="55" t="s">
        <v>321</v>
      </c>
      <c r="C186" s="32">
        <v>4301051115</v>
      </c>
      <c r="D186" s="374">
        <v>4607091387964</v>
      </c>
      <c r="E186" s="319"/>
      <c r="F186" s="294">
        <v>1.35</v>
      </c>
      <c r="G186" s="33">
        <v>6</v>
      </c>
      <c r="H186" s="294">
        <v>8.1</v>
      </c>
      <c r="I186" s="294">
        <v>8.6460000000000008</v>
      </c>
      <c r="J186" s="33">
        <v>56</v>
      </c>
      <c r="K186" s="34" t="s">
        <v>60</v>
      </c>
      <c r="L186" s="33">
        <v>40</v>
      </c>
      <c r="M186" s="48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76"/>
      <c r="O186" s="376"/>
      <c r="P186" s="376"/>
      <c r="Q186" s="319"/>
      <c r="R186" s="35"/>
      <c r="S186" s="35"/>
      <c r="T186" s="36" t="s">
        <v>62</v>
      </c>
      <c r="U186" s="295">
        <v>0</v>
      </c>
      <c r="V186" s="296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322</v>
      </c>
      <c r="B187" s="55" t="s">
        <v>323</v>
      </c>
      <c r="C187" s="32">
        <v>4301051470</v>
      </c>
      <c r="D187" s="374">
        <v>4680115880573</v>
      </c>
      <c r="E187" s="319"/>
      <c r="F187" s="294">
        <v>1.3</v>
      </c>
      <c r="G187" s="33">
        <v>6</v>
      </c>
      <c r="H187" s="294">
        <v>7.8</v>
      </c>
      <c r="I187" s="294">
        <v>8.3640000000000008</v>
      </c>
      <c r="J187" s="33">
        <v>56</v>
      </c>
      <c r="K187" s="34" t="s">
        <v>127</v>
      </c>
      <c r="L187" s="33">
        <v>45</v>
      </c>
      <c r="M187" s="485" t="s">
        <v>324</v>
      </c>
      <c r="N187" s="376"/>
      <c r="O187" s="376"/>
      <c r="P187" s="376"/>
      <c r="Q187" s="319"/>
      <c r="R187" s="35"/>
      <c r="S187" s="35"/>
      <c r="T187" s="36" t="s">
        <v>62</v>
      </c>
      <c r="U187" s="295">
        <v>0</v>
      </c>
      <c r="V187" s="296">
        <f t="shared" si="9"/>
        <v>0</v>
      </c>
      <c r="W187" s="37" t="str">
        <f>IFERROR(IF(V187=0,"",ROUNDUP(V187/H187,0)*0.02175),"")</f>
        <v/>
      </c>
      <c r="X187" s="57"/>
      <c r="Y187" s="58"/>
      <c r="AC187" s="165" t="s">
        <v>1</v>
      </c>
    </row>
    <row r="188" spans="1:29" ht="27" customHeight="1" x14ac:dyDescent="0.25">
      <c r="A188" s="55" t="s">
        <v>325</v>
      </c>
      <c r="B188" s="55" t="s">
        <v>326</v>
      </c>
      <c r="C188" s="32">
        <v>4301051408</v>
      </c>
      <c r="D188" s="374">
        <v>4680115881594</v>
      </c>
      <c r="E188" s="319"/>
      <c r="F188" s="294">
        <v>1.35</v>
      </c>
      <c r="G188" s="33">
        <v>6</v>
      </c>
      <c r="H188" s="294">
        <v>8.1</v>
      </c>
      <c r="I188" s="294">
        <v>8.6639999999999997</v>
      </c>
      <c r="J188" s="33">
        <v>56</v>
      </c>
      <c r="K188" s="34" t="s">
        <v>127</v>
      </c>
      <c r="L188" s="33">
        <v>40</v>
      </c>
      <c r="M188" s="486" t="s">
        <v>327</v>
      </c>
      <c r="N188" s="376"/>
      <c r="O188" s="376"/>
      <c r="P188" s="376"/>
      <c r="Q188" s="319"/>
      <c r="R188" s="35"/>
      <c r="S188" s="35"/>
      <c r="T188" s="36" t="s">
        <v>62</v>
      </c>
      <c r="U188" s="295">
        <v>0</v>
      </c>
      <c r="V188" s="296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328</v>
      </c>
      <c r="B189" s="55" t="s">
        <v>329</v>
      </c>
      <c r="C189" s="32">
        <v>4301051433</v>
      </c>
      <c r="D189" s="374">
        <v>4680115881587</v>
      </c>
      <c r="E189" s="319"/>
      <c r="F189" s="294">
        <v>1</v>
      </c>
      <c r="G189" s="33">
        <v>4</v>
      </c>
      <c r="H189" s="294">
        <v>4</v>
      </c>
      <c r="I189" s="294">
        <v>4.4080000000000004</v>
      </c>
      <c r="J189" s="33">
        <v>104</v>
      </c>
      <c r="K189" s="34" t="s">
        <v>60</v>
      </c>
      <c r="L189" s="33">
        <v>35</v>
      </c>
      <c r="M189" s="487" t="s">
        <v>330</v>
      </c>
      <c r="N189" s="376"/>
      <c r="O189" s="376"/>
      <c r="P189" s="376"/>
      <c r="Q189" s="319"/>
      <c r="R189" s="35"/>
      <c r="S189" s="35"/>
      <c r="T189" s="36" t="s">
        <v>62</v>
      </c>
      <c r="U189" s="295">
        <v>0</v>
      </c>
      <c r="V189" s="296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331</v>
      </c>
      <c r="B190" s="55" t="s">
        <v>332</v>
      </c>
      <c r="C190" s="32">
        <v>4301051380</v>
      </c>
      <c r="D190" s="374">
        <v>4680115880962</v>
      </c>
      <c r="E190" s="319"/>
      <c r="F190" s="294">
        <v>1.3</v>
      </c>
      <c r="G190" s="33">
        <v>6</v>
      </c>
      <c r="H190" s="294">
        <v>7.8</v>
      </c>
      <c r="I190" s="294">
        <v>8.3640000000000008</v>
      </c>
      <c r="J190" s="33">
        <v>56</v>
      </c>
      <c r="K190" s="34" t="s">
        <v>60</v>
      </c>
      <c r="L190" s="33">
        <v>40</v>
      </c>
      <c r="M190" s="488" t="s">
        <v>333</v>
      </c>
      <c r="N190" s="376"/>
      <c r="O190" s="376"/>
      <c r="P190" s="376"/>
      <c r="Q190" s="319"/>
      <c r="R190" s="35"/>
      <c r="S190" s="35"/>
      <c r="T190" s="36" t="s">
        <v>62</v>
      </c>
      <c r="U190" s="295">
        <v>0</v>
      </c>
      <c r="V190" s="296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334</v>
      </c>
      <c r="B191" s="55" t="s">
        <v>335</v>
      </c>
      <c r="C191" s="32">
        <v>4301051411</v>
      </c>
      <c r="D191" s="374">
        <v>4680115881617</v>
      </c>
      <c r="E191" s="319"/>
      <c r="F191" s="294">
        <v>1.35</v>
      </c>
      <c r="G191" s="33">
        <v>6</v>
      </c>
      <c r="H191" s="294">
        <v>8.1</v>
      </c>
      <c r="I191" s="294">
        <v>8.6460000000000008</v>
      </c>
      <c r="J191" s="33">
        <v>56</v>
      </c>
      <c r="K191" s="34" t="s">
        <v>127</v>
      </c>
      <c r="L191" s="33">
        <v>40</v>
      </c>
      <c r="M191" s="489" t="s">
        <v>336</v>
      </c>
      <c r="N191" s="376"/>
      <c r="O191" s="376"/>
      <c r="P191" s="376"/>
      <c r="Q191" s="319"/>
      <c r="R191" s="35"/>
      <c r="S191" s="35"/>
      <c r="T191" s="36" t="s">
        <v>62</v>
      </c>
      <c r="U191" s="295">
        <v>0</v>
      </c>
      <c r="V191" s="296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337</v>
      </c>
      <c r="B192" s="55" t="s">
        <v>338</v>
      </c>
      <c r="C192" s="32">
        <v>4301051377</v>
      </c>
      <c r="D192" s="374">
        <v>4680115881228</v>
      </c>
      <c r="E192" s="319"/>
      <c r="F192" s="294">
        <v>0.4</v>
      </c>
      <c r="G192" s="33">
        <v>6</v>
      </c>
      <c r="H192" s="294">
        <v>2.4</v>
      </c>
      <c r="I192" s="294">
        <v>2.6</v>
      </c>
      <c r="J192" s="33">
        <v>156</v>
      </c>
      <c r="K192" s="34" t="s">
        <v>60</v>
      </c>
      <c r="L192" s="33">
        <v>35</v>
      </c>
      <c r="M192" s="490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76"/>
      <c r="O192" s="376"/>
      <c r="P192" s="376"/>
      <c r="Q192" s="319"/>
      <c r="R192" s="35"/>
      <c r="S192" s="35"/>
      <c r="T192" s="36" t="s">
        <v>62</v>
      </c>
      <c r="U192" s="295">
        <v>200</v>
      </c>
      <c r="V192" s="296">
        <f t="shared" si="9"/>
        <v>201.6</v>
      </c>
      <c r="W192" s="37">
        <f>IFERROR(IF(V192=0,"",ROUNDUP(V192/H192,0)*0.00753),"")</f>
        <v>0.63251999999999997</v>
      </c>
      <c r="X192" s="57"/>
      <c r="Y192" s="58"/>
      <c r="AC192" s="170" t="s">
        <v>1</v>
      </c>
    </row>
    <row r="193" spans="1:29" ht="27" customHeight="1" x14ac:dyDescent="0.25">
      <c r="A193" s="55" t="s">
        <v>339</v>
      </c>
      <c r="B193" s="55" t="s">
        <v>340</v>
      </c>
      <c r="C193" s="32">
        <v>4301051432</v>
      </c>
      <c r="D193" s="374">
        <v>4680115881037</v>
      </c>
      <c r="E193" s="319"/>
      <c r="F193" s="294">
        <v>0.84</v>
      </c>
      <c r="G193" s="33">
        <v>4</v>
      </c>
      <c r="H193" s="294">
        <v>3.36</v>
      </c>
      <c r="I193" s="294">
        <v>3.6179999999999999</v>
      </c>
      <c r="J193" s="33">
        <v>120</v>
      </c>
      <c r="K193" s="34" t="s">
        <v>60</v>
      </c>
      <c r="L193" s="33">
        <v>35</v>
      </c>
      <c r="M193" s="491" t="s">
        <v>341</v>
      </c>
      <c r="N193" s="376"/>
      <c r="O193" s="376"/>
      <c r="P193" s="376"/>
      <c r="Q193" s="319"/>
      <c r="R193" s="35"/>
      <c r="S193" s="35"/>
      <c r="T193" s="36" t="s">
        <v>62</v>
      </c>
      <c r="U193" s="295">
        <v>0</v>
      </c>
      <c r="V193" s="296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342</v>
      </c>
      <c r="B194" s="55" t="s">
        <v>343</v>
      </c>
      <c r="C194" s="32">
        <v>4301051384</v>
      </c>
      <c r="D194" s="374">
        <v>4680115881211</v>
      </c>
      <c r="E194" s="319"/>
      <c r="F194" s="294">
        <v>0.4</v>
      </c>
      <c r="G194" s="33">
        <v>6</v>
      </c>
      <c r="H194" s="294">
        <v>2.4</v>
      </c>
      <c r="I194" s="294">
        <v>2.6</v>
      </c>
      <c r="J194" s="33">
        <v>156</v>
      </c>
      <c r="K194" s="34" t="s">
        <v>60</v>
      </c>
      <c r="L194" s="33">
        <v>45</v>
      </c>
      <c r="M194" s="492" t="s">
        <v>344</v>
      </c>
      <c r="N194" s="376"/>
      <c r="O194" s="376"/>
      <c r="P194" s="376"/>
      <c r="Q194" s="319"/>
      <c r="R194" s="35"/>
      <c r="S194" s="35"/>
      <c r="T194" s="36" t="s">
        <v>62</v>
      </c>
      <c r="U194" s="295">
        <v>260</v>
      </c>
      <c r="V194" s="296">
        <f t="shared" si="9"/>
        <v>261.59999999999997</v>
      </c>
      <c r="W194" s="37">
        <f>IFERROR(IF(V194=0,"",ROUNDUP(V194/H194,0)*0.00753),"")</f>
        <v>0.82077</v>
      </c>
      <c r="X194" s="57"/>
      <c r="Y194" s="58"/>
      <c r="AC194" s="172" t="s">
        <v>1</v>
      </c>
    </row>
    <row r="195" spans="1:29" ht="27" customHeight="1" x14ac:dyDescent="0.25">
      <c r="A195" s="55" t="s">
        <v>345</v>
      </c>
      <c r="B195" s="55" t="s">
        <v>346</v>
      </c>
      <c r="C195" s="32">
        <v>4301051378</v>
      </c>
      <c r="D195" s="374">
        <v>4680115881020</v>
      </c>
      <c r="E195" s="319"/>
      <c r="F195" s="294">
        <v>0.84</v>
      </c>
      <c r="G195" s="33">
        <v>4</v>
      </c>
      <c r="H195" s="294">
        <v>3.36</v>
      </c>
      <c r="I195" s="294">
        <v>3.57</v>
      </c>
      <c r="J195" s="33">
        <v>120</v>
      </c>
      <c r="K195" s="34" t="s">
        <v>60</v>
      </c>
      <c r="L195" s="33">
        <v>45</v>
      </c>
      <c r="M195" s="493" t="s">
        <v>347</v>
      </c>
      <c r="N195" s="376"/>
      <c r="O195" s="376"/>
      <c r="P195" s="376"/>
      <c r="Q195" s="319"/>
      <c r="R195" s="35"/>
      <c r="S195" s="35"/>
      <c r="T195" s="36" t="s">
        <v>62</v>
      </c>
      <c r="U195" s="295">
        <v>0</v>
      </c>
      <c r="V195" s="296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348</v>
      </c>
      <c r="B196" s="55" t="s">
        <v>349</v>
      </c>
      <c r="C196" s="32">
        <v>4301051134</v>
      </c>
      <c r="D196" s="374">
        <v>4607091381672</v>
      </c>
      <c r="E196" s="319"/>
      <c r="F196" s="294">
        <v>0.6</v>
      </c>
      <c r="G196" s="33">
        <v>6</v>
      </c>
      <c r="H196" s="294">
        <v>3.6</v>
      </c>
      <c r="I196" s="294">
        <v>3.8759999999999999</v>
      </c>
      <c r="J196" s="33">
        <v>120</v>
      </c>
      <c r="K196" s="34" t="s">
        <v>60</v>
      </c>
      <c r="L196" s="33">
        <v>40</v>
      </c>
      <c r="M196" s="49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76"/>
      <c r="O196" s="376"/>
      <c r="P196" s="376"/>
      <c r="Q196" s="319"/>
      <c r="R196" s="35"/>
      <c r="S196" s="35"/>
      <c r="T196" s="36" t="s">
        <v>62</v>
      </c>
      <c r="U196" s="295">
        <v>0</v>
      </c>
      <c r="V196" s="296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350</v>
      </c>
      <c r="B197" s="55" t="s">
        <v>351</v>
      </c>
      <c r="C197" s="32">
        <v>4301051130</v>
      </c>
      <c r="D197" s="374">
        <v>4607091387537</v>
      </c>
      <c r="E197" s="319"/>
      <c r="F197" s="294">
        <v>0.45</v>
      </c>
      <c r="G197" s="33">
        <v>6</v>
      </c>
      <c r="H197" s="294">
        <v>2.7</v>
      </c>
      <c r="I197" s="294">
        <v>2.99</v>
      </c>
      <c r="J197" s="33">
        <v>156</v>
      </c>
      <c r="K197" s="34" t="s">
        <v>60</v>
      </c>
      <c r="L197" s="33">
        <v>40</v>
      </c>
      <c r="M197" s="49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76"/>
      <c r="O197" s="376"/>
      <c r="P197" s="376"/>
      <c r="Q197" s="319"/>
      <c r="R197" s="35"/>
      <c r="S197" s="35"/>
      <c r="T197" s="36" t="s">
        <v>62</v>
      </c>
      <c r="U197" s="295">
        <v>0</v>
      </c>
      <c r="V197" s="296">
        <f t="shared" si="9"/>
        <v>0</v>
      </c>
      <c r="W197" s="37" t="str">
        <f t="shared" ref="W197:W203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352</v>
      </c>
      <c r="B198" s="55" t="s">
        <v>353</v>
      </c>
      <c r="C198" s="32">
        <v>4301051132</v>
      </c>
      <c r="D198" s="374">
        <v>4607091387513</v>
      </c>
      <c r="E198" s="319"/>
      <c r="F198" s="294">
        <v>0.45</v>
      </c>
      <c r="G198" s="33">
        <v>6</v>
      </c>
      <c r="H198" s="294">
        <v>2.7</v>
      </c>
      <c r="I198" s="294">
        <v>2.9780000000000002</v>
      </c>
      <c r="J198" s="33">
        <v>156</v>
      </c>
      <c r="K198" s="34" t="s">
        <v>60</v>
      </c>
      <c r="L198" s="33">
        <v>40</v>
      </c>
      <c r="M198" s="49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76"/>
      <c r="O198" s="376"/>
      <c r="P198" s="376"/>
      <c r="Q198" s="319"/>
      <c r="R198" s="35"/>
      <c r="S198" s="35"/>
      <c r="T198" s="36" t="s">
        <v>62</v>
      </c>
      <c r="U198" s="295">
        <v>0</v>
      </c>
      <c r="V198" s="296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354</v>
      </c>
      <c r="B199" s="55" t="s">
        <v>355</v>
      </c>
      <c r="C199" s="32">
        <v>4301051407</v>
      </c>
      <c r="D199" s="374">
        <v>4680115882195</v>
      </c>
      <c r="E199" s="319"/>
      <c r="F199" s="294">
        <v>0.4</v>
      </c>
      <c r="G199" s="33">
        <v>6</v>
      </c>
      <c r="H199" s="294">
        <v>2.4</v>
      </c>
      <c r="I199" s="294">
        <v>2.69</v>
      </c>
      <c r="J199" s="33">
        <v>156</v>
      </c>
      <c r="K199" s="34" t="s">
        <v>127</v>
      </c>
      <c r="L199" s="33">
        <v>40</v>
      </c>
      <c r="M199" s="497" t="s">
        <v>356</v>
      </c>
      <c r="N199" s="376"/>
      <c r="O199" s="376"/>
      <c r="P199" s="376"/>
      <c r="Q199" s="319"/>
      <c r="R199" s="35"/>
      <c r="S199" s="35"/>
      <c r="T199" s="36" t="s">
        <v>62</v>
      </c>
      <c r="U199" s="295">
        <v>0</v>
      </c>
      <c r="V199" s="296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357</v>
      </c>
      <c r="B200" s="55" t="s">
        <v>358</v>
      </c>
      <c r="C200" s="32">
        <v>4301051468</v>
      </c>
      <c r="D200" s="374">
        <v>4680115880092</v>
      </c>
      <c r="E200" s="319"/>
      <c r="F200" s="294">
        <v>0.4</v>
      </c>
      <c r="G200" s="33">
        <v>6</v>
      </c>
      <c r="H200" s="294">
        <v>2.4</v>
      </c>
      <c r="I200" s="294">
        <v>2.6720000000000002</v>
      </c>
      <c r="J200" s="33">
        <v>156</v>
      </c>
      <c r="K200" s="34" t="s">
        <v>127</v>
      </c>
      <c r="L200" s="33">
        <v>45</v>
      </c>
      <c r="M200" s="498" t="s">
        <v>359</v>
      </c>
      <c r="N200" s="376"/>
      <c r="O200" s="376"/>
      <c r="P200" s="376"/>
      <c r="Q200" s="319"/>
      <c r="R200" s="35"/>
      <c r="S200" s="35"/>
      <c r="T200" s="36" t="s">
        <v>62</v>
      </c>
      <c r="U200" s="295">
        <v>240</v>
      </c>
      <c r="V200" s="296">
        <f t="shared" si="9"/>
        <v>240</v>
      </c>
      <c r="W200" s="37">
        <f t="shared" si="10"/>
        <v>0.753</v>
      </c>
      <c r="X200" s="57"/>
      <c r="Y200" s="58"/>
      <c r="AC200" s="178" t="s">
        <v>1</v>
      </c>
    </row>
    <row r="201" spans="1:29" ht="27" customHeight="1" x14ac:dyDescent="0.25">
      <c r="A201" s="55" t="s">
        <v>360</v>
      </c>
      <c r="B201" s="55" t="s">
        <v>361</v>
      </c>
      <c r="C201" s="32">
        <v>4301051469</v>
      </c>
      <c r="D201" s="374">
        <v>4680115880221</v>
      </c>
      <c r="E201" s="319"/>
      <c r="F201" s="294">
        <v>0.4</v>
      </c>
      <c r="G201" s="33">
        <v>6</v>
      </c>
      <c r="H201" s="294">
        <v>2.4</v>
      </c>
      <c r="I201" s="294">
        <v>2.6720000000000002</v>
      </c>
      <c r="J201" s="33">
        <v>156</v>
      </c>
      <c r="K201" s="34" t="s">
        <v>127</v>
      </c>
      <c r="L201" s="33">
        <v>45</v>
      </c>
      <c r="M201" s="499" t="s">
        <v>362</v>
      </c>
      <c r="N201" s="376"/>
      <c r="O201" s="376"/>
      <c r="P201" s="376"/>
      <c r="Q201" s="319"/>
      <c r="R201" s="35"/>
      <c r="S201" s="35"/>
      <c r="T201" s="36" t="s">
        <v>62</v>
      </c>
      <c r="U201" s="295">
        <v>56</v>
      </c>
      <c r="V201" s="296">
        <f t="shared" si="9"/>
        <v>57.599999999999994</v>
      </c>
      <c r="W201" s="37">
        <f t="shared" si="10"/>
        <v>0.18071999999999999</v>
      </c>
      <c r="X201" s="57"/>
      <c r="Y201" s="58"/>
      <c r="AC201" s="179" t="s">
        <v>1</v>
      </c>
    </row>
    <row r="202" spans="1:29" ht="16.5" customHeight="1" x14ac:dyDescent="0.25">
      <c r="A202" s="55" t="s">
        <v>363</v>
      </c>
      <c r="B202" s="55" t="s">
        <v>364</v>
      </c>
      <c r="C202" s="32">
        <v>4301051326</v>
      </c>
      <c r="D202" s="374">
        <v>4680115880504</v>
      </c>
      <c r="E202" s="319"/>
      <c r="F202" s="294">
        <v>0.4</v>
      </c>
      <c r="G202" s="33">
        <v>6</v>
      </c>
      <c r="H202" s="294">
        <v>2.4</v>
      </c>
      <c r="I202" s="294">
        <v>2.6720000000000002</v>
      </c>
      <c r="J202" s="33">
        <v>156</v>
      </c>
      <c r="K202" s="34" t="s">
        <v>60</v>
      </c>
      <c r="L202" s="33">
        <v>40</v>
      </c>
      <c r="M202" s="500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2" s="376"/>
      <c r="O202" s="376"/>
      <c r="P202" s="376"/>
      <c r="Q202" s="319"/>
      <c r="R202" s="35"/>
      <c r="S202" s="35"/>
      <c r="T202" s="36" t="s">
        <v>62</v>
      </c>
      <c r="U202" s="295">
        <v>0</v>
      </c>
      <c r="V202" s="296">
        <f t="shared" si="9"/>
        <v>0</v>
      </c>
      <c r="W202" s="37" t="str">
        <f t="shared" si="10"/>
        <v/>
      </c>
      <c r="X202" s="57"/>
      <c r="Y202" s="58"/>
      <c r="AC202" s="180" t="s">
        <v>1</v>
      </c>
    </row>
    <row r="203" spans="1:29" ht="27" customHeight="1" x14ac:dyDescent="0.25">
      <c r="A203" s="55" t="s">
        <v>365</v>
      </c>
      <c r="B203" s="55" t="s">
        <v>366</v>
      </c>
      <c r="C203" s="32">
        <v>4301051410</v>
      </c>
      <c r="D203" s="374">
        <v>4680115882164</v>
      </c>
      <c r="E203" s="319"/>
      <c r="F203" s="294">
        <v>0.4</v>
      </c>
      <c r="G203" s="33">
        <v>6</v>
      </c>
      <c r="H203" s="294">
        <v>2.4</v>
      </c>
      <c r="I203" s="294">
        <v>2.6779999999999999</v>
      </c>
      <c r="J203" s="33">
        <v>156</v>
      </c>
      <c r="K203" s="34" t="s">
        <v>127</v>
      </c>
      <c r="L203" s="33">
        <v>40</v>
      </c>
      <c r="M203" s="501" t="s">
        <v>367</v>
      </c>
      <c r="N203" s="376"/>
      <c r="O203" s="376"/>
      <c r="P203" s="376"/>
      <c r="Q203" s="319"/>
      <c r="R203" s="35"/>
      <c r="S203" s="35"/>
      <c r="T203" s="36" t="s">
        <v>62</v>
      </c>
      <c r="U203" s="295">
        <v>0</v>
      </c>
      <c r="V203" s="296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x14ac:dyDescent="0.2">
      <c r="A204" s="378"/>
      <c r="B204" s="303"/>
      <c r="C204" s="303"/>
      <c r="D204" s="303"/>
      <c r="E204" s="303"/>
      <c r="F204" s="303"/>
      <c r="G204" s="303"/>
      <c r="H204" s="303"/>
      <c r="I204" s="303"/>
      <c r="J204" s="303"/>
      <c r="K204" s="303"/>
      <c r="L204" s="379"/>
      <c r="M204" s="377" t="s">
        <v>63</v>
      </c>
      <c r="N204" s="331"/>
      <c r="O204" s="331"/>
      <c r="P204" s="331"/>
      <c r="Q204" s="331"/>
      <c r="R204" s="331"/>
      <c r="S204" s="332"/>
      <c r="T204" s="38" t="s">
        <v>64</v>
      </c>
      <c r="U204" s="297">
        <f>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315</v>
      </c>
      <c r="V204" s="297">
        <f>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317</v>
      </c>
      <c r="W204" s="297">
        <f>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2.3870100000000001</v>
      </c>
      <c r="X204" s="298"/>
      <c r="Y204" s="298"/>
    </row>
    <row r="205" spans="1:29" x14ac:dyDescent="0.2">
      <c r="A205" s="303"/>
      <c r="B205" s="303"/>
      <c r="C205" s="303"/>
      <c r="D205" s="303"/>
      <c r="E205" s="303"/>
      <c r="F205" s="303"/>
      <c r="G205" s="303"/>
      <c r="H205" s="303"/>
      <c r="I205" s="303"/>
      <c r="J205" s="303"/>
      <c r="K205" s="303"/>
      <c r="L205" s="379"/>
      <c r="M205" s="377" t="s">
        <v>63</v>
      </c>
      <c r="N205" s="331"/>
      <c r="O205" s="331"/>
      <c r="P205" s="331"/>
      <c r="Q205" s="331"/>
      <c r="R205" s="331"/>
      <c r="S205" s="332"/>
      <c r="T205" s="38" t="s">
        <v>62</v>
      </c>
      <c r="U205" s="297">
        <f>IFERROR(SUM(U181:U203),"0")</f>
        <v>756</v>
      </c>
      <c r="V205" s="297">
        <f>IFERROR(SUM(V181:V203),"0")</f>
        <v>760.8</v>
      </c>
      <c r="W205" s="38"/>
      <c r="X205" s="298"/>
      <c r="Y205" s="298"/>
    </row>
    <row r="206" spans="1:29" ht="14.25" customHeight="1" x14ac:dyDescent="0.25">
      <c r="A206" s="373" t="s">
        <v>196</v>
      </c>
      <c r="B206" s="303"/>
      <c r="C206" s="303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290"/>
      <c r="Y206" s="290"/>
    </row>
    <row r="207" spans="1:29" ht="16.5" customHeight="1" x14ac:dyDescent="0.25">
      <c r="A207" s="55" t="s">
        <v>368</v>
      </c>
      <c r="B207" s="55" t="s">
        <v>369</v>
      </c>
      <c r="C207" s="32">
        <v>4301060326</v>
      </c>
      <c r="D207" s="374">
        <v>4607091380880</v>
      </c>
      <c r="E207" s="319"/>
      <c r="F207" s="294">
        <v>1.4</v>
      </c>
      <c r="G207" s="33">
        <v>6</v>
      </c>
      <c r="H207" s="294">
        <v>8.4</v>
      </c>
      <c r="I207" s="294">
        <v>8.9640000000000004</v>
      </c>
      <c r="J207" s="33">
        <v>56</v>
      </c>
      <c r="K207" s="34" t="s">
        <v>60</v>
      </c>
      <c r="L207" s="33">
        <v>30</v>
      </c>
      <c r="M207" s="50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7" s="376"/>
      <c r="O207" s="376"/>
      <c r="P207" s="376"/>
      <c r="Q207" s="319"/>
      <c r="R207" s="35"/>
      <c r="S207" s="35"/>
      <c r="T207" s="36" t="s">
        <v>62</v>
      </c>
      <c r="U207" s="295">
        <v>0</v>
      </c>
      <c r="V207" s="296">
        <f t="shared" ref="V207:V212" si="11">IFERROR(IF(U207="",0,CEILING((U207/$H207),1)*$H207),"")</f>
        <v>0</v>
      </c>
      <c r="W207" s="37" t="str">
        <f>IFERROR(IF(V207=0,"",ROUNDUP(V207/H207,0)*0.02175),"")</f>
        <v/>
      </c>
      <c r="X207" s="57"/>
      <c r="Y207" s="58"/>
      <c r="AC207" s="182" t="s">
        <v>1</v>
      </c>
    </row>
    <row r="208" spans="1:29" ht="27" customHeight="1" x14ac:dyDescent="0.25">
      <c r="A208" s="55" t="s">
        <v>370</v>
      </c>
      <c r="B208" s="55" t="s">
        <v>371</v>
      </c>
      <c r="C208" s="32">
        <v>4301060308</v>
      </c>
      <c r="D208" s="374">
        <v>4607091384482</v>
      </c>
      <c r="E208" s="319"/>
      <c r="F208" s="294">
        <v>1.3</v>
      </c>
      <c r="G208" s="33">
        <v>6</v>
      </c>
      <c r="H208" s="294">
        <v>7.8</v>
      </c>
      <c r="I208" s="294">
        <v>8.3640000000000008</v>
      </c>
      <c r="J208" s="33">
        <v>56</v>
      </c>
      <c r="K208" s="34" t="s">
        <v>60</v>
      </c>
      <c r="L208" s="33">
        <v>30</v>
      </c>
      <c r="M208" s="5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08" s="376"/>
      <c r="O208" s="376"/>
      <c r="P208" s="376"/>
      <c r="Q208" s="319"/>
      <c r="R208" s="35"/>
      <c r="S208" s="35"/>
      <c r="T208" s="36" t="s">
        <v>62</v>
      </c>
      <c r="U208" s="295">
        <v>30</v>
      </c>
      <c r="V208" s="296">
        <f t="shared" si="11"/>
        <v>31.2</v>
      </c>
      <c r="W208" s="37">
        <f>IFERROR(IF(V208=0,"",ROUNDUP(V208/H208,0)*0.02175),"")</f>
        <v>8.6999999999999994E-2</v>
      </c>
      <c r="X208" s="57"/>
      <c r="Y208" s="58"/>
      <c r="AC208" s="183" t="s">
        <v>1</v>
      </c>
    </row>
    <row r="209" spans="1:29" ht="16.5" customHeight="1" x14ac:dyDescent="0.25">
      <c r="A209" s="55" t="s">
        <v>372</v>
      </c>
      <c r="B209" s="55" t="s">
        <v>373</v>
      </c>
      <c r="C209" s="32">
        <v>4301060325</v>
      </c>
      <c r="D209" s="374">
        <v>4607091380897</v>
      </c>
      <c r="E209" s="319"/>
      <c r="F209" s="294">
        <v>1.4</v>
      </c>
      <c r="G209" s="33">
        <v>6</v>
      </c>
      <c r="H209" s="294">
        <v>8.4</v>
      </c>
      <c r="I209" s="294">
        <v>8.9640000000000004</v>
      </c>
      <c r="J209" s="33">
        <v>56</v>
      </c>
      <c r="K209" s="34" t="s">
        <v>60</v>
      </c>
      <c r="L209" s="33">
        <v>30</v>
      </c>
      <c r="M209" s="50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09" s="376"/>
      <c r="O209" s="376"/>
      <c r="P209" s="376"/>
      <c r="Q209" s="319"/>
      <c r="R209" s="35"/>
      <c r="S209" s="35"/>
      <c r="T209" s="36" t="s">
        <v>62</v>
      </c>
      <c r="U209" s="295">
        <v>0</v>
      </c>
      <c r="V209" s="296">
        <f t="shared" si="11"/>
        <v>0</v>
      </c>
      <c r="W209" s="37" t="str">
        <f>IFERROR(IF(V209=0,"",ROUNDUP(V209/H209,0)*0.02175),"")</f>
        <v/>
      </c>
      <c r="X209" s="57"/>
      <c r="Y209" s="58"/>
      <c r="AC209" s="184" t="s">
        <v>1</v>
      </c>
    </row>
    <row r="210" spans="1:29" ht="16.5" customHeight="1" x14ac:dyDescent="0.25">
      <c r="A210" s="55" t="s">
        <v>374</v>
      </c>
      <c r="B210" s="55" t="s">
        <v>375</v>
      </c>
      <c r="C210" s="32">
        <v>4301060338</v>
      </c>
      <c r="D210" s="374">
        <v>4680115880801</v>
      </c>
      <c r="E210" s="319"/>
      <c r="F210" s="294">
        <v>0.4</v>
      </c>
      <c r="G210" s="33">
        <v>6</v>
      </c>
      <c r="H210" s="294">
        <v>2.4</v>
      </c>
      <c r="I210" s="294">
        <v>2.6720000000000002</v>
      </c>
      <c r="J210" s="33">
        <v>156</v>
      </c>
      <c r="K210" s="34" t="s">
        <v>60</v>
      </c>
      <c r="L210" s="33">
        <v>40</v>
      </c>
      <c r="M210" s="505" t="s">
        <v>376</v>
      </c>
      <c r="N210" s="376"/>
      <c r="O210" s="376"/>
      <c r="P210" s="376"/>
      <c r="Q210" s="319"/>
      <c r="R210" s="35"/>
      <c r="S210" s="35"/>
      <c r="T210" s="36" t="s">
        <v>62</v>
      </c>
      <c r="U210" s="295">
        <v>0</v>
      </c>
      <c r="V210" s="296">
        <f t="shared" si="11"/>
        <v>0</v>
      </c>
      <c r="W210" s="37" t="str">
        <f>IFERROR(IF(V210=0,"",ROUNDUP(V210/H210,0)*0.00753),"")</f>
        <v/>
      </c>
      <c r="X210" s="57"/>
      <c r="Y210" s="58"/>
      <c r="AC210" s="185" t="s">
        <v>1</v>
      </c>
    </row>
    <row r="211" spans="1:29" ht="27" customHeight="1" x14ac:dyDescent="0.25">
      <c r="A211" s="55" t="s">
        <v>377</v>
      </c>
      <c r="B211" s="55" t="s">
        <v>378</v>
      </c>
      <c r="C211" s="32">
        <v>4301060339</v>
      </c>
      <c r="D211" s="374">
        <v>4680115880818</v>
      </c>
      <c r="E211" s="319"/>
      <c r="F211" s="294">
        <v>0.4</v>
      </c>
      <c r="G211" s="33">
        <v>6</v>
      </c>
      <c r="H211" s="294">
        <v>2.4</v>
      </c>
      <c r="I211" s="294">
        <v>2.6720000000000002</v>
      </c>
      <c r="J211" s="33">
        <v>156</v>
      </c>
      <c r="K211" s="34" t="s">
        <v>60</v>
      </c>
      <c r="L211" s="33">
        <v>40</v>
      </c>
      <c r="M211" s="506" t="s">
        <v>379</v>
      </c>
      <c r="N211" s="376"/>
      <c r="O211" s="376"/>
      <c r="P211" s="376"/>
      <c r="Q211" s="319"/>
      <c r="R211" s="35"/>
      <c r="S211" s="35"/>
      <c r="T211" s="36" t="s">
        <v>62</v>
      </c>
      <c r="U211" s="295">
        <v>0</v>
      </c>
      <c r="V211" s="296">
        <f t="shared" si="11"/>
        <v>0</v>
      </c>
      <c r="W211" s="37" t="str">
        <f>IFERROR(IF(V211=0,"",ROUNDUP(V211/H211,0)*0.00753),"")</f>
        <v/>
      </c>
      <c r="X211" s="57"/>
      <c r="Y211" s="58"/>
      <c r="AC211" s="186" t="s">
        <v>1</v>
      </c>
    </row>
    <row r="212" spans="1:29" ht="16.5" customHeight="1" x14ac:dyDescent="0.25">
      <c r="A212" s="55" t="s">
        <v>380</v>
      </c>
      <c r="B212" s="55" t="s">
        <v>381</v>
      </c>
      <c r="C212" s="32">
        <v>4301060337</v>
      </c>
      <c r="D212" s="374">
        <v>4680115880368</v>
      </c>
      <c r="E212" s="319"/>
      <c r="F212" s="294">
        <v>1</v>
      </c>
      <c r="G212" s="33">
        <v>4</v>
      </c>
      <c r="H212" s="294">
        <v>4</v>
      </c>
      <c r="I212" s="294">
        <v>4.3600000000000003</v>
      </c>
      <c r="J212" s="33">
        <v>104</v>
      </c>
      <c r="K212" s="34" t="s">
        <v>127</v>
      </c>
      <c r="L212" s="33">
        <v>40</v>
      </c>
      <c r="M212" s="507" t="s">
        <v>382</v>
      </c>
      <c r="N212" s="376"/>
      <c r="O212" s="376"/>
      <c r="P212" s="376"/>
      <c r="Q212" s="319"/>
      <c r="R212" s="35"/>
      <c r="S212" s="35"/>
      <c r="T212" s="36" t="s">
        <v>62</v>
      </c>
      <c r="U212" s="295">
        <v>0</v>
      </c>
      <c r="V212" s="296">
        <f t="shared" si="11"/>
        <v>0</v>
      </c>
      <c r="W212" s="37" t="str">
        <f>IFERROR(IF(V212=0,"",ROUNDUP(V212/H212,0)*0.01196),"")</f>
        <v/>
      </c>
      <c r="X212" s="57"/>
      <c r="Y212" s="58"/>
      <c r="AC212" s="187" t="s">
        <v>1</v>
      </c>
    </row>
    <row r="213" spans="1:29" x14ac:dyDescent="0.2">
      <c r="A213" s="378"/>
      <c r="B213" s="303"/>
      <c r="C213" s="303"/>
      <c r="D213" s="303"/>
      <c r="E213" s="303"/>
      <c r="F213" s="303"/>
      <c r="G213" s="303"/>
      <c r="H213" s="303"/>
      <c r="I213" s="303"/>
      <c r="J213" s="303"/>
      <c r="K213" s="303"/>
      <c r="L213" s="379"/>
      <c r="M213" s="377" t="s">
        <v>63</v>
      </c>
      <c r="N213" s="331"/>
      <c r="O213" s="331"/>
      <c r="P213" s="331"/>
      <c r="Q213" s="331"/>
      <c r="R213" s="331"/>
      <c r="S213" s="332"/>
      <c r="T213" s="38" t="s">
        <v>64</v>
      </c>
      <c r="U213" s="297">
        <f>IFERROR(U207/H207,"0")+IFERROR(U208/H208,"0")+IFERROR(U209/H209,"0")+IFERROR(U210/H210,"0")+IFERROR(U211/H211,"0")+IFERROR(U212/H212,"0")</f>
        <v>3.8461538461538463</v>
      </c>
      <c r="V213" s="297">
        <f>IFERROR(V207/H207,"0")+IFERROR(V208/H208,"0")+IFERROR(V209/H209,"0")+IFERROR(V210/H210,"0")+IFERROR(V211/H211,"0")+IFERROR(V212/H212,"0")</f>
        <v>4</v>
      </c>
      <c r="W213" s="297">
        <f>IFERROR(IF(W207="",0,W207),"0")+IFERROR(IF(W208="",0,W208),"0")+IFERROR(IF(W209="",0,W209),"0")+IFERROR(IF(W210="",0,W210),"0")+IFERROR(IF(W211="",0,W211),"0")+IFERROR(IF(W212="",0,W212),"0")</f>
        <v>8.6999999999999994E-2</v>
      </c>
      <c r="X213" s="298"/>
      <c r="Y213" s="298"/>
    </row>
    <row r="214" spans="1:29" x14ac:dyDescent="0.2">
      <c r="A214" s="303"/>
      <c r="B214" s="303"/>
      <c r="C214" s="303"/>
      <c r="D214" s="303"/>
      <c r="E214" s="303"/>
      <c r="F214" s="303"/>
      <c r="G214" s="303"/>
      <c r="H214" s="303"/>
      <c r="I214" s="303"/>
      <c r="J214" s="303"/>
      <c r="K214" s="303"/>
      <c r="L214" s="379"/>
      <c r="M214" s="377" t="s">
        <v>63</v>
      </c>
      <c r="N214" s="331"/>
      <c r="O214" s="331"/>
      <c r="P214" s="331"/>
      <c r="Q214" s="331"/>
      <c r="R214" s="331"/>
      <c r="S214" s="332"/>
      <c r="T214" s="38" t="s">
        <v>62</v>
      </c>
      <c r="U214" s="297">
        <f>IFERROR(SUM(U207:U212),"0")</f>
        <v>30</v>
      </c>
      <c r="V214" s="297">
        <f>IFERROR(SUM(V207:V212),"0")</f>
        <v>31.2</v>
      </c>
      <c r="W214" s="38"/>
      <c r="X214" s="298"/>
      <c r="Y214" s="298"/>
    </row>
    <row r="215" spans="1:29" ht="14.25" customHeight="1" x14ac:dyDescent="0.25">
      <c r="A215" s="373" t="s">
        <v>79</v>
      </c>
      <c r="B215" s="303"/>
      <c r="C215" s="303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290"/>
      <c r="Y215" s="290"/>
    </row>
    <row r="216" spans="1:29" ht="16.5" customHeight="1" x14ac:dyDescent="0.25">
      <c r="A216" s="55" t="s">
        <v>383</v>
      </c>
      <c r="B216" s="55" t="s">
        <v>384</v>
      </c>
      <c r="C216" s="32">
        <v>4301030232</v>
      </c>
      <c r="D216" s="374">
        <v>4607091388374</v>
      </c>
      <c r="E216" s="319"/>
      <c r="F216" s="294">
        <v>0.38</v>
      </c>
      <c r="G216" s="33">
        <v>8</v>
      </c>
      <c r="H216" s="294">
        <v>3.04</v>
      </c>
      <c r="I216" s="294">
        <v>3.28</v>
      </c>
      <c r="J216" s="33">
        <v>156</v>
      </c>
      <c r="K216" s="34" t="s">
        <v>82</v>
      </c>
      <c r="L216" s="33">
        <v>180</v>
      </c>
      <c r="M216" s="508" t="s">
        <v>385</v>
      </c>
      <c r="N216" s="376"/>
      <c r="O216" s="376"/>
      <c r="P216" s="376"/>
      <c r="Q216" s="319"/>
      <c r="R216" s="35"/>
      <c r="S216" s="35"/>
      <c r="T216" s="36" t="s">
        <v>62</v>
      </c>
      <c r="U216" s="295">
        <v>0</v>
      </c>
      <c r="V216" s="296">
        <f>IFERROR(IF(U216="",0,CEILING((U216/$H216),1)*$H216),"")</f>
        <v>0</v>
      </c>
      <c r="W216" s="37" t="str">
        <f>IFERROR(IF(V216=0,"",ROUNDUP(V216/H216,0)*0.00753),"")</f>
        <v/>
      </c>
      <c r="X216" s="57"/>
      <c r="Y216" s="58"/>
      <c r="AC216" s="188" t="s">
        <v>1</v>
      </c>
    </row>
    <row r="217" spans="1:29" ht="27" customHeight="1" x14ac:dyDescent="0.25">
      <c r="A217" s="55" t="s">
        <v>386</v>
      </c>
      <c r="B217" s="55" t="s">
        <v>387</v>
      </c>
      <c r="C217" s="32">
        <v>4301030235</v>
      </c>
      <c r="D217" s="374">
        <v>4607091388381</v>
      </c>
      <c r="E217" s="319"/>
      <c r="F217" s="294">
        <v>0.38</v>
      </c>
      <c r="G217" s="33">
        <v>8</v>
      </c>
      <c r="H217" s="294">
        <v>3.04</v>
      </c>
      <c r="I217" s="294">
        <v>3.32</v>
      </c>
      <c r="J217" s="33">
        <v>156</v>
      </c>
      <c r="K217" s="34" t="s">
        <v>82</v>
      </c>
      <c r="L217" s="33">
        <v>180</v>
      </c>
      <c r="M217" s="509" t="s">
        <v>388</v>
      </c>
      <c r="N217" s="376"/>
      <c r="O217" s="376"/>
      <c r="P217" s="376"/>
      <c r="Q217" s="319"/>
      <c r="R217" s="35"/>
      <c r="S217" s="35"/>
      <c r="T217" s="36" t="s">
        <v>62</v>
      </c>
      <c r="U217" s="295">
        <v>0</v>
      </c>
      <c r="V217" s="296">
        <f>IFERROR(IF(U217="",0,CEILING((U217/$H217),1)*$H217),"")</f>
        <v>0</v>
      </c>
      <c r="W217" s="37" t="str">
        <f>IFERROR(IF(V217=0,"",ROUNDUP(V217/H217,0)*0.00753),"")</f>
        <v/>
      </c>
      <c r="X217" s="57"/>
      <c r="Y217" s="58"/>
      <c r="AC217" s="189" t="s">
        <v>1</v>
      </c>
    </row>
    <row r="218" spans="1:29" ht="27" customHeight="1" x14ac:dyDescent="0.25">
      <c r="A218" s="55" t="s">
        <v>389</v>
      </c>
      <c r="B218" s="55" t="s">
        <v>390</v>
      </c>
      <c r="C218" s="32">
        <v>4301030233</v>
      </c>
      <c r="D218" s="374">
        <v>4607091388404</v>
      </c>
      <c r="E218" s="319"/>
      <c r="F218" s="294">
        <v>0.17</v>
      </c>
      <c r="G218" s="33">
        <v>15</v>
      </c>
      <c r="H218" s="294">
        <v>2.5499999999999998</v>
      </c>
      <c r="I218" s="294">
        <v>2.9</v>
      </c>
      <c r="J218" s="33">
        <v>156</v>
      </c>
      <c r="K218" s="34" t="s">
        <v>82</v>
      </c>
      <c r="L218" s="33">
        <v>180</v>
      </c>
      <c r="M218" s="51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18" s="376"/>
      <c r="O218" s="376"/>
      <c r="P218" s="376"/>
      <c r="Q218" s="319"/>
      <c r="R218" s="35"/>
      <c r="S218" s="35"/>
      <c r="T218" s="36" t="s">
        <v>62</v>
      </c>
      <c r="U218" s="295">
        <v>0</v>
      </c>
      <c r="V218" s="296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x14ac:dyDescent="0.2">
      <c r="A219" s="378"/>
      <c r="B219" s="303"/>
      <c r="C219" s="303"/>
      <c r="D219" s="303"/>
      <c r="E219" s="303"/>
      <c r="F219" s="303"/>
      <c r="G219" s="303"/>
      <c r="H219" s="303"/>
      <c r="I219" s="303"/>
      <c r="J219" s="303"/>
      <c r="K219" s="303"/>
      <c r="L219" s="379"/>
      <c r="M219" s="377" t="s">
        <v>63</v>
      </c>
      <c r="N219" s="331"/>
      <c r="O219" s="331"/>
      <c r="P219" s="331"/>
      <c r="Q219" s="331"/>
      <c r="R219" s="331"/>
      <c r="S219" s="332"/>
      <c r="T219" s="38" t="s">
        <v>64</v>
      </c>
      <c r="U219" s="297">
        <f>IFERROR(U216/H216,"0")+IFERROR(U217/H217,"0")+IFERROR(U218/H218,"0")</f>
        <v>0</v>
      </c>
      <c r="V219" s="297">
        <f>IFERROR(V216/H216,"0")+IFERROR(V217/H217,"0")+IFERROR(V218/H218,"0")</f>
        <v>0</v>
      </c>
      <c r="W219" s="297">
        <f>IFERROR(IF(W216="",0,W216),"0")+IFERROR(IF(W217="",0,W217),"0")+IFERROR(IF(W218="",0,W218),"0")</f>
        <v>0</v>
      </c>
      <c r="X219" s="298"/>
      <c r="Y219" s="298"/>
    </row>
    <row r="220" spans="1:29" x14ac:dyDescent="0.2">
      <c r="A220" s="303"/>
      <c r="B220" s="303"/>
      <c r="C220" s="303"/>
      <c r="D220" s="303"/>
      <c r="E220" s="303"/>
      <c r="F220" s="303"/>
      <c r="G220" s="303"/>
      <c r="H220" s="303"/>
      <c r="I220" s="303"/>
      <c r="J220" s="303"/>
      <c r="K220" s="303"/>
      <c r="L220" s="379"/>
      <c r="M220" s="377" t="s">
        <v>63</v>
      </c>
      <c r="N220" s="331"/>
      <c r="O220" s="331"/>
      <c r="P220" s="331"/>
      <c r="Q220" s="331"/>
      <c r="R220" s="331"/>
      <c r="S220" s="332"/>
      <c r="T220" s="38" t="s">
        <v>62</v>
      </c>
      <c r="U220" s="297">
        <f>IFERROR(SUM(U216:U218),"0")</f>
        <v>0</v>
      </c>
      <c r="V220" s="297">
        <f>IFERROR(SUM(V216:V218),"0")</f>
        <v>0</v>
      </c>
      <c r="W220" s="38"/>
      <c r="X220" s="298"/>
      <c r="Y220" s="298"/>
    </row>
    <row r="221" spans="1:29" ht="14.25" customHeight="1" x14ac:dyDescent="0.25">
      <c r="A221" s="373" t="s">
        <v>391</v>
      </c>
      <c r="B221" s="303"/>
      <c r="C221" s="303"/>
      <c r="D221" s="303"/>
      <c r="E221" s="303"/>
      <c r="F221" s="303"/>
      <c r="G221" s="303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290"/>
      <c r="Y221" s="290"/>
    </row>
    <row r="222" spans="1:29" ht="16.5" customHeight="1" x14ac:dyDescent="0.25">
      <c r="A222" s="55" t="s">
        <v>392</v>
      </c>
      <c r="B222" s="55" t="s">
        <v>393</v>
      </c>
      <c r="C222" s="32">
        <v>4301180002</v>
      </c>
      <c r="D222" s="374">
        <v>4680115880122</v>
      </c>
      <c r="E222" s="319"/>
      <c r="F222" s="294">
        <v>0.1</v>
      </c>
      <c r="G222" s="33">
        <v>20</v>
      </c>
      <c r="H222" s="294">
        <v>2</v>
      </c>
      <c r="I222" s="294">
        <v>2.2400000000000002</v>
      </c>
      <c r="J222" s="33">
        <v>238</v>
      </c>
      <c r="K222" s="34" t="s">
        <v>394</v>
      </c>
      <c r="L222" s="33">
        <v>730</v>
      </c>
      <c r="M222" s="511" t="str">
        <f>HYPERLINK("https://abi.ru/products/Охлажденные/Стародворье/Бордо/Паштеты/P002649/","Паштеты Копчёный бекон Бордо фикс.вес 0,1 Стародворье")</f>
        <v>Паштеты Копчёный бекон Бордо фикс.вес 0,1 Стародворье</v>
      </c>
      <c r="N222" s="376"/>
      <c r="O222" s="376"/>
      <c r="P222" s="376"/>
      <c r="Q222" s="319"/>
      <c r="R222" s="35"/>
      <c r="S222" s="35"/>
      <c r="T222" s="36" t="s">
        <v>62</v>
      </c>
      <c r="U222" s="295">
        <v>0</v>
      </c>
      <c r="V222" s="296">
        <f>IFERROR(IF(U222="",0,CEILING((U222/$H222),1)*$H222),"")</f>
        <v>0</v>
      </c>
      <c r="W222" s="37" t="str">
        <f>IFERROR(IF(V222=0,"",ROUNDUP(V222/H222,0)*0.00474),"")</f>
        <v/>
      </c>
      <c r="X222" s="57"/>
      <c r="Y222" s="58"/>
      <c r="AC222" s="191" t="s">
        <v>1</v>
      </c>
    </row>
    <row r="223" spans="1:29" ht="16.5" customHeight="1" x14ac:dyDescent="0.25">
      <c r="A223" s="55" t="s">
        <v>395</v>
      </c>
      <c r="B223" s="55" t="s">
        <v>396</v>
      </c>
      <c r="C223" s="32">
        <v>4301180007</v>
      </c>
      <c r="D223" s="374">
        <v>4680115881808</v>
      </c>
      <c r="E223" s="319"/>
      <c r="F223" s="294">
        <v>0.1</v>
      </c>
      <c r="G223" s="33">
        <v>20</v>
      </c>
      <c r="H223" s="294">
        <v>2</v>
      </c>
      <c r="I223" s="294">
        <v>2.2400000000000002</v>
      </c>
      <c r="J223" s="33">
        <v>238</v>
      </c>
      <c r="K223" s="34" t="s">
        <v>394</v>
      </c>
      <c r="L223" s="33">
        <v>730</v>
      </c>
      <c r="M223" s="512" t="s">
        <v>397</v>
      </c>
      <c r="N223" s="376"/>
      <c r="O223" s="376"/>
      <c r="P223" s="376"/>
      <c r="Q223" s="319"/>
      <c r="R223" s="35"/>
      <c r="S223" s="35"/>
      <c r="T223" s="36" t="s">
        <v>62</v>
      </c>
      <c r="U223" s="295">
        <v>0</v>
      </c>
      <c r="V223" s="296">
        <f>IFERROR(IF(U223="",0,CEILING((U223/$H223),1)*$H223),"")</f>
        <v>0</v>
      </c>
      <c r="W223" s="37" t="str">
        <f>IFERROR(IF(V223=0,"",ROUNDUP(V223/H223,0)*0.00474),"")</f>
        <v/>
      </c>
      <c r="X223" s="57"/>
      <c r="Y223" s="58"/>
      <c r="AC223" s="192" t="s">
        <v>1</v>
      </c>
    </row>
    <row r="224" spans="1:29" ht="27" customHeight="1" x14ac:dyDescent="0.25">
      <c r="A224" s="55" t="s">
        <v>398</v>
      </c>
      <c r="B224" s="55" t="s">
        <v>399</v>
      </c>
      <c r="C224" s="32">
        <v>4301180006</v>
      </c>
      <c r="D224" s="374">
        <v>4680115881822</v>
      </c>
      <c r="E224" s="319"/>
      <c r="F224" s="294">
        <v>0.1</v>
      </c>
      <c r="G224" s="33">
        <v>20</v>
      </c>
      <c r="H224" s="294">
        <v>2</v>
      </c>
      <c r="I224" s="294">
        <v>2.2400000000000002</v>
      </c>
      <c r="J224" s="33">
        <v>238</v>
      </c>
      <c r="K224" s="34" t="s">
        <v>394</v>
      </c>
      <c r="L224" s="33">
        <v>730</v>
      </c>
      <c r="M224" s="513" t="s">
        <v>400</v>
      </c>
      <c r="N224" s="376"/>
      <c r="O224" s="376"/>
      <c r="P224" s="376"/>
      <c r="Q224" s="319"/>
      <c r="R224" s="35"/>
      <c r="S224" s="35"/>
      <c r="T224" s="36" t="s">
        <v>62</v>
      </c>
      <c r="U224" s="295">
        <v>0</v>
      </c>
      <c r="V224" s="296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401</v>
      </c>
      <c r="B225" s="55" t="s">
        <v>402</v>
      </c>
      <c r="C225" s="32">
        <v>4301180001</v>
      </c>
      <c r="D225" s="374">
        <v>4680115880016</v>
      </c>
      <c r="E225" s="319"/>
      <c r="F225" s="294">
        <v>0.1</v>
      </c>
      <c r="G225" s="33">
        <v>20</v>
      </c>
      <c r="H225" s="294">
        <v>2</v>
      </c>
      <c r="I225" s="294">
        <v>2.2400000000000002</v>
      </c>
      <c r="J225" s="33">
        <v>238</v>
      </c>
      <c r="K225" s="34" t="s">
        <v>394</v>
      </c>
      <c r="L225" s="33">
        <v>730</v>
      </c>
      <c r="M225" s="51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5" s="376"/>
      <c r="O225" s="376"/>
      <c r="P225" s="376"/>
      <c r="Q225" s="319"/>
      <c r="R225" s="35"/>
      <c r="S225" s="35"/>
      <c r="T225" s="36" t="s">
        <v>62</v>
      </c>
      <c r="U225" s="295">
        <v>0</v>
      </c>
      <c r="V225" s="296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x14ac:dyDescent="0.2">
      <c r="A226" s="378"/>
      <c r="B226" s="303"/>
      <c r="C226" s="303"/>
      <c r="D226" s="303"/>
      <c r="E226" s="303"/>
      <c r="F226" s="303"/>
      <c r="G226" s="303"/>
      <c r="H226" s="303"/>
      <c r="I226" s="303"/>
      <c r="J226" s="303"/>
      <c r="K226" s="303"/>
      <c r="L226" s="379"/>
      <c r="M226" s="377" t="s">
        <v>63</v>
      </c>
      <c r="N226" s="331"/>
      <c r="O226" s="331"/>
      <c r="P226" s="331"/>
      <c r="Q226" s="331"/>
      <c r="R226" s="331"/>
      <c r="S226" s="332"/>
      <c r="T226" s="38" t="s">
        <v>64</v>
      </c>
      <c r="U226" s="297">
        <f>IFERROR(U222/H222,"0")+IFERROR(U223/H223,"0")+IFERROR(U224/H224,"0")+IFERROR(U225/H225,"0")</f>
        <v>0</v>
      </c>
      <c r="V226" s="297">
        <f>IFERROR(V222/H222,"0")+IFERROR(V223/H223,"0")+IFERROR(V224/H224,"0")+IFERROR(V225/H225,"0")</f>
        <v>0</v>
      </c>
      <c r="W226" s="297">
        <f>IFERROR(IF(W222="",0,W222),"0")+IFERROR(IF(W223="",0,W223),"0")+IFERROR(IF(W224="",0,W224),"0")+IFERROR(IF(W225="",0,W225),"0")</f>
        <v>0</v>
      </c>
      <c r="X226" s="298"/>
      <c r="Y226" s="298"/>
    </row>
    <row r="227" spans="1:29" x14ac:dyDescent="0.2">
      <c r="A227" s="303"/>
      <c r="B227" s="303"/>
      <c r="C227" s="303"/>
      <c r="D227" s="303"/>
      <c r="E227" s="303"/>
      <c r="F227" s="303"/>
      <c r="G227" s="303"/>
      <c r="H227" s="303"/>
      <c r="I227" s="303"/>
      <c r="J227" s="303"/>
      <c r="K227" s="303"/>
      <c r="L227" s="379"/>
      <c r="M227" s="377" t="s">
        <v>63</v>
      </c>
      <c r="N227" s="331"/>
      <c r="O227" s="331"/>
      <c r="P227" s="331"/>
      <c r="Q227" s="331"/>
      <c r="R227" s="331"/>
      <c r="S227" s="332"/>
      <c r="T227" s="38" t="s">
        <v>62</v>
      </c>
      <c r="U227" s="297">
        <f>IFERROR(SUM(U222:U225),"0")</f>
        <v>0</v>
      </c>
      <c r="V227" s="297">
        <f>IFERROR(SUM(V222:V225),"0")</f>
        <v>0</v>
      </c>
      <c r="W227" s="38"/>
      <c r="X227" s="298"/>
      <c r="Y227" s="298"/>
    </row>
    <row r="228" spans="1:29" ht="16.5" customHeight="1" x14ac:dyDescent="0.25">
      <c r="A228" s="372" t="s">
        <v>403</v>
      </c>
      <c r="B228" s="303"/>
      <c r="C228" s="303"/>
      <c r="D228" s="303"/>
      <c r="E228" s="303"/>
      <c r="F228" s="303"/>
      <c r="G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291"/>
      <c r="Y228" s="291"/>
    </row>
    <row r="229" spans="1:29" ht="14.25" customHeight="1" x14ac:dyDescent="0.25">
      <c r="A229" s="373" t="s">
        <v>103</v>
      </c>
      <c r="B229" s="303"/>
      <c r="C229" s="303"/>
      <c r="D229" s="303"/>
      <c r="E229" s="303"/>
      <c r="F229" s="303"/>
      <c r="G229" s="303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290"/>
      <c r="Y229" s="290"/>
    </row>
    <row r="230" spans="1:29" ht="27" customHeight="1" x14ac:dyDescent="0.25">
      <c r="A230" s="55" t="s">
        <v>404</v>
      </c>
      <c r="B230" s="55" t="s">
        <v>405</v>
      </c>
      <c r="C230" s="32">
        <v>4301011315</v>
      </c>
      <c r="D230" s="374">
        <v>4607091387421</v>
      </c>
      <c r="E230" s="319"/>
      <c r="F230" s="294">
        <v>1.35</v>
      </c>
      <c r="G230" s="33">
        <v>8</v>
      </c>
      <c r="H230" s="294">
        <v>10.8</v>
      </c>
      <c r="I230" s="294">
        <v>11.28</v>
      </c>
      <c r="J230" s="33">
        <v>56</v>
      </c>
      <c r="K230" s="34" t="s">
        <v>99</v>
      </c>
      <c r="L230" s="33">
        <v>55</v>
      </c>
      <c r="M230" s="51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0" s="376"/>
      <c r="O230" s="376"/>
      <c r="P230" s="376"/>
      <c r="Q230" s="319"/>
      <c r="R230" s="35"/>
      <c r="S230" s="35"/>
      <c r="T230" s="36" t="s">
        <v>62</v>
      </c>
      <c r="U230" s="295">
        <v>0</v>
      </c>
      <c r="V230" s="296">
        <f t="shared" ref="V230:V236" si="12"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195" t="s">
        <v>1</v>
      </c>
    </row>
    <row r="231" spans="1:29" ht="27" customHeight="1" x14ac:dyDescent="0.25">
      <c r="A231" s="55" t="s">
        <v>404</v>
      </c>
      <c r="B231" s="55" t="s">
        <v>406</v>
      </c>
      <c r="C231" s="32">
        <v>4301011121</v>
      </c>
      <c r="D231" s="374">
        <v>4607091387421</v>
      </c>
      <c r="E231" s="319"/>
      <c r="F231" s="294">
        <v>1.35</v>
      </c>
      <c r="G231" s="33">
        <v>8</v>
      </c>
      <c r="H231" s="294">
        <v>10.8</v>
      </c>
      <c r="I231" s="294">
        <v>11.28</v>
      </c>
      <c r="J231" s="33">
        <v>48</v>
      </c>
      <c r="K231" s="34" t="s">
        <v>233</v>
      </c>
      <c r="L231" s="33">
        <v>55</v>
      </c>
      <c r="M231" s="51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76"/>
      <c r="O231" s="376"/>
      <c r="P231" s="376"/>
      <c r="Q231" s="319"/>
      <c r="R231" s="35"/>
      <c r="S231" s="35"/>
      <c r="T231" s="36" t="s">
        <v>62</v>
      </c>
      <c r="U231" s="295">
        <v>0</v>
      </c>
      <c r="V231" s="296">
        <f t="shared" si="12"/>
        <v>0</v>
      </c>
      <c r="W231" s="37" t="str">
        <f>IFERROR(IF(V231=0,"",ROUNDUP(V231/H231,0)*0.02039),"")</f>
        <v/>
      </c>
      <c r="X231" s="57"/>
      <c r="Y231" s="58"/>
      <c r="AC231" s="196" t="s">
        <v>1</v>
      </c>
    </row>
    <row r="232" spans="1:29" ht="27" customHeight="1" x14ac:dyDescent="0.25">
      <c r="A232" s="55" t="s">
        <v>407</v>
      </c>
      <c r="B232" s="55" t="s">
        <v>408</v>
      </c>
      <c r="C232" s="32">
        <v>4301011396</v>
      </c>
      <c r="D232" s="374">
        <v>4607091387452</v>
      </c>
      <c r="E232" s="319"/>
      <c r="F232" s="294">
        <v>1.35</v>
      </c>
      <c r="G232" s="33">
        <v>8</v>
      </c>
      <c r="H232" s="294">
        <v>10.8</v>
      </c>
      <c r="I232" s="294">
        <v>11.28</v>
      </c>
      <c r="J232" s="33">
        <v>48</v>
      </c>
      <c r="K232" s="34" t="s">
        <v>233</v>
      </c>
      <c r="L232" s="33">
        <v>55</v>
      </c>
      <c r="M232" s="51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2" s="376"/>
      <c r="O232" s="376"/>
      <c r="P232" s="376"/>
      <c r="Q232" s="319"/>
      <c r="R232" s="35"/>
      <c r="S232" s="35"/>
      <c r="T232" s="36" t="s">
        <v>62</v>
      </c>
      <c r="U232" s="295">
        <v>0</v>
      </c>
      <c r="V232" s="296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407</v>
      </c>
      <c r="B233" s="55" t="s">
        <v>409</v>
      </c>
      <c r="C233" s="32">
        <v>4301011322</v>
      </c>
      <c r="D233" s="374">
        <v>4607091387452</v>
      </c>
      <c r="E233" s="319"/>
      <c r="F233" s="294">
        <v>1.35</v>
      </c>
      <c r="G233" s="33">
        <v>8</v>
      </c>
      <c r="H233" s="294">
        <v>10.8</v>
      </c>
      <c r="I233" s="294">
        <v>11.28</v>
      </c>
      <c r="J233" s="33">
        <v>56</v>
      </c>
      <c r="K233" s="34" t="s">
        <v>127</v>
      </c>
      <c r="L233" s="33">
        <v>55</v>
      </c>
      <c r="M233" s="518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76"/>
      <c r="O233" s="376"/>
      <c r="P233" s="376"/>
      <c r="Q233" s="319"/>
      <c r="R233" s="35"/>
      <c r="S233" s="35"/>
      <c r="T233" s="36" t="s">
        <v>62</v>
      </c>
      <c r="U233" s="295">
        <v>0</v>
      </c>
      <c r="V233" s="296">
        <f t="shared" si="12"/>
        <v>0</v>
      </c>
      <c r="W233" s="37" t="str">
        <f>IFERROR(IF(V233=0,"",ROUNDUP(V233/H233,0)*0.02175),"")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410</v>
      </c>
      <c r="B234" s="55" t="s">
        <v>411</v>
      </c>
      <c r="C234" s="32">
        <v>4301011313</v>
      </c>
      <c r="D234" s="374">
        <v>4607091385984</v>
      </c>
      <c r="E234" s="319"/>
      <c r="F234" s="294">
        <v>1.35</v>
      </c>
      <c r="G234" s="33">
        <v>8</v>
      </c>
      <c r="H234" s="294">
        <v>10.8</v>
      </c>
      <c r="I234" s="294">
        <v>11.28</v>
      </c>
      <c r="J234" s="33">
        <v>56</v>
      </c>
      <c r="K234" s="34" t="s">
        <v>99</v>
      </c>
      <c r="L234" s="33">
        <v>55</v>
      </c>
      <c r="M234" s="51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4" s="376"/>
      <c r="O234" s="376"/>
      <c r="P234" s="376"/>
      <c r="Q234" s="319"/>
      <c r="R234" s="35"/>
      <c r="S234" s="35"/>
      <c r="T234" s="36" t="s">
        <v>62</v>
      </c>
      <c r="U234" s="295">
        <v>0</v>
      </c>
      <c r="V234" s="296">
        <f t="shared" si="12"/>
        <v>0</v>
      </c>
      <c r="W234" s="37" t="str">
        <f>IFERROR(IF(V234=0,"",ROUNDUP(V234/H234,0)*0.02175),"")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412</v>
      </c>
      <c r="B235" s="55" t="s">
        <v>413</v>
      </c>
      <c r="C235" s="32">
        <v>4301011316</v>
      </c>
      <c r="D235" s="374">
        <v>4607091387438</v>
      </c>
      <c r="E235" s="319"/>
      <c r="F235" s="294">
        <v>0.5</v>
      </c>
      <c r="G235" s="33">
        <v>10</v>
      </c>
      <c r="H235" s="294">
        <v>5</v>
      </c>
      <c r="I235" s="294">
        <v>5.24</v>
      </c>
      <c r="J235" s="33">
        <v>120</v>
      </c>
      <c r="K235" s="34" t="s">
        <v>99</v>
      </c>
      <c r="L235" s="33">
        <v>55</v>
      </c>
      <c r="M235" s="52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5" s="376"/>
      <c r="O235" s="376"/>
      <c r="P235" s="376"/>
      <c r="Q235" s="319"/>
      <c r="R235" s="35"/>
      <c r="S235" s="35"/>
      <c r="T235" s="36" t="s">
        <v>62</v>
      </c>
      <c r="U235" s="295">
        <v>0</v>
      </c>
      <c r="V235" s="296">
        <f t="shared" si="12"/>
        <v>0</v>
      </c>
      <c r="W235" s="37" t="str">
        <f>IFERROR(IF(V235=0,"",ROUNDUP(V235/H235,0)*0.00937),"")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414</v>
      </c>
      <c r="B236" s="55" t="s">
        <v>415</v>
      </c>
      <c r="C236" s="32">
        <v>4301011318</v>
      </c>
      <c r="D236" s="374">
        <v>4607091387469</v>
      </c>
      <c r="E236" s="319"/>
      <c r="F236" s="294">
        <v>0.5</v>
      </c>
      <c r="G236" s="33">
        <v>10</v>
      </c>
      <c r="H236" s="294">
        <v>5</v>
      </c>
      <c r="I236" s="294">
        <v>5.21</v>
      </c>
      <c r="J236" s="33">
        <v>120</v>
      </c>
      <c r="K236" s="34" t="s">
        <v>60</v>
      </c>
      <c r="L236" s="33">
        <v>55</v>
      </c>
      <c r="M236" s="52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6" s="376"/>
      <c r="O236" s="376"/>
      <c r="P236" s="376"/>
      <c r="Q236" s="319"/>
      <c r="R236" s="35"/>
      <c r="S236" s="35"/>
      <c r="T236" s="36" t="s">
        <v>62</v>
      </c>
      <c r="U236" s="295">
        <v>0</v>
      </c>
      <c r="V236" s="296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x14ac:dyDescent="0.2">
      <c r="A237" s="378"/>
      <c r="B237" s="303"/>
      <c r="C237" s="303"/>
      <c r="D237" s="303"/>
      <c r="E237" s="303"/>
      <c r="F237" s="303"/>
      <c r="G237" s="303"/>
      <c r="H237" s="303"/>
      <c r="I237" s="303"/>
      <c r="J237" s="303"/>
      <c r="K237" s="303"/>
      <c r="L237" s="379"/>
      <c r="M237" s="377" t="s">
        <v>63</v>
      </c>
      <c r="N237" s="331"/>
      <c r="O237" s="331"/>
      <c r="P237" s="331"/>
      <c r="Q237" s="331"/>
      <c r="R237" s="331"/>
      <c r="S237" s="332"/>
      <c r="T237" s="38" t="s">
        <v>64</v>
      </c>
      <c r="U237" s="297">
        <f>IFERROR(U230/H230,"0")+IFERROR(U231/H231,"0")+IFERROR(U232/H232,"0")+IFERROR(U233/H233,"0")+IFERROR(U234/H234,"0")+IFERROR(U235/H235,"0")+IFERROR(U236/H236,"0")</f>
        <v>0</v>
      </c>
      <c r="V237" s="297">
        <f>IFERROR(V230/H230,"0")+IFERROR(V231/H231,"0")+IFERROR(V232/H232,"0")+IFERROR(V233/H233,"0")+IFERROR(V234/H234,"0")+IFERROR(V235/H235,"0")+IFERROR(V236/H236,"0")</f>
        <v>0</v>
      </c>
      <c r="W237" s="297">
        <f>IFERROR(IF(W230="",0,W230),"0")+IFERROR(IF(W231="",0,W231),"0")+IFERROR(IF(W232="",0,W232),"0")+IFERROR(IF(W233="",0,W233),"0")+IFERROR(IF(W234="",0,W234),"0")+IFERROR(IF(W235="",0,W235),"0")+IFERROR(IF(W236="",0,W236),"0")</f>
        <v>0</v>
      </c>
      <c r="X237" s="298"/>
      <c r="Y237" s="298"/>
    </row>
    <row r="238" spans="1:29" x14ac:dyDescent="0.2">
      <c r="A238" s="303"/>
      <c r="B238" s="303"/>
      <c r="C238" s="303"/>
      <c r="D238" s="303"/>
      <c r="E238" s="303"/>
      <c r="F238" s="303"/>
      <c r="G238" s="303"/>
      <c r="H238" s="303"/>
      <c r="I238" s="303"/>
      <c r="J238" s="303"/>
      <c r="K238" s="303"/>
      <c r="L238" s="379"/>
      <c r="M238" s="377" t="s">
        <v>63</v>
      </c>
      <c r="N238" s="331"/>
      <c r="O238" s="331"/>
      <c r="P238" s="331"/>
      <c r="Q238" s="331"/>
      <c r="R238" s="331"/>
      <c r="S238" s="332"/>
      <c r="T238" s="38" t="s">
        <v>62</v>
      </c>
      <c r="U238" s="297">
        <f>IFERROR(SUM(U230:U236),"0")</f>
        <v>0</v>
      </c>
      <c r="V238" s="297">
        <f>IFERROR(SUM(V230:V236),"0")</f>
        <v>0</v>
      </c>
      <c r="W238" s="38"/>
      <c r="X238" s="298"/>
      <c r="Y238" s="298"/>
    </row>
    <row r="239" spans="1:29" ht="14.25" customHeight="1" x14ac:dyDescent="0.25">
      <c r="A239" s="373" t="s">
        <v>57</v>
      </c>
      <c r="B239" s="303"/>
      <c r="C239" s="303"/>
      <c r="D239" s="303"/>
      <c r="E239" s="303"/>
      <c r="F239" s="303"/>
      <c r="G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290"/>
      <c r="Y239" s="290"/>
    </row>
    <row r="240" spans="1:29" ht="27" customHeight="1" x14ac:dyDescent="0.25">
      <c r="A240" s="55" t="s">
        <v>416</v>
      </c>
      <c r="B240" s="55" t="s">
        <v>417</v>
      </c>
      <c r="C240" s="32">
        <v>4301031154</v>
      </c>
      <c r="D240" s="374">
        <v>4607091387292</v>
      </c>
      <c r="E240" s="319"/>
      <c r="F240" s="294">
        <v>0.63</v>
      </c>
      <c r="G240" s="33">
        <v>6</v>
      </c>
      <c r="H240" s="294">
        <v>3.78</v>
      </c>
      <c r="I240" s="294">
        <v>4.04</v>
      </c>
      <c r="J240" s="33">
        <v>156</v>
      </c>
      <c r="K240" s="34" t="s">
        <v>60</v>
      </c>
      <c r="L240" s="33">
        <v>45</v>
      </c>
      <c r="M240" s="522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0" s="376"/>
      <c r="O240" s="376"/>
      <c r="P240" s="376"/>
      <c r="Q240" s="319"/>
      <c r="R240" s="35"/>
      <c r="S240" s="35"/>
      <c r="T240" s="36" t="s">
        <v>62</v>
      </c>
      <c r="U240" s="295">
        <v>0</v>
      </c>
      <c r="V240" s="296">
        <f>IFERROR(IF(U240="",0,CEILING((U240/$H240),1)*$H240),"")</f>
        <v>0</v>
      </c>
      <c r="W240" s="37" t="str">
        <f>IFERROR(IF(V240=0,"",ROUNDUP(V240/H240,0)*0.00753),"")</f>
        <v/>
      </c>
      <c r="X240" s="57"/>
      <c r="Y240" s="58"/>
      <c r="AC240" s="202" t="s">
        <v>1</v>
      </c>
    </row>
    <row r="241" spans="1:29" ht="27" customHeight="1" x14ac:dyDescent="0.25">
      <c r="A241" s="55" t="s">
        <v>418</v>
      </c>
      <c r="B241" s="55" t="s">
        <v>419</v>
      </c>
      <c r="C241" s="32">
        <v>4301031155</v>
      </c>
      <c r="D241" s="374">
        <v>4607091387315</v>
      </c>
      <c r="E241" s="319"/>
      <c r="F241" s="294">
        <v>0.7</v>
      </c>
      <c r="G241" s="33">
        <v>4</v>
      </c>
      <c r="H241" s="294">
        <v>2.8</v>
      </c>
      <c r="I241" s="294">
        <v>3.048</v>
      </c>
      <c r="J241" s="33">
        <v>156</v>
      </c>
      <c r="K241" s="34" t="s">
        <v>60</v>
      </c>
      <c r="L241" s="33">
        <v>45</v>
      </c>
      <c r="M241" s="523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1" s="376"/>
      <c r="O241" s="376"/>
      <c r="P241" s="376"/>
      <c r="Q241" s="319"/>
      <c r="R241" s="35"/>
      <c r="S241" s="35"/>
      <c r="T241" s="36" t="s">
        <v>62</v>
      </c>
      <c r="U241" s="295">
        <v>0</v>
      </c>
      <c r="V241" s="296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x14ac:dyDescent="0.2">
      <c r="A242" s="378"/>
      <c r="B242" s="303"/>
      <c r="C242" s="303"/>
      <c r="D242" s="303"/>
      <c r="E242" s="303"/>
      <c r="F242" s="303"/>
      <c r="G242" s="303"/>
      <c r="H242" s="303"/>
      <c r="I242" s="303"/>
      <c r="J242" s="303"/>
      <c r="K242" s="303"/>
      <c r="L242" s="379"/>
      <c r="M242" s="377" t="s">
        <v>63</v>
      </c>
      <c r="N242" s="331"/>
      <c r="O242" s="331"/>
      <c r="P242" s="331"/>
      <c r="Q242" s="331"/>
      <c r="R242" s="331"/>
      <c r="S242" s="332"/>
      <c r="T242" s="38" t="s">
        <v>64</v>
      </c>
      <c r="U242" s="297">
        <f>IFERROR(U240/H240,"0")+IFERROR(U241/H241,"0")</f>
        <v>0</v>
      </c>
      <c r="V242" s="297">
        <f>IFERROR(V240/H240,"0")+IFERROR(V241/H241,"0")</f>
        <v>0</v>
      </c>
      <c r="W242" s="297">
        <f>IFERROR(IF(W240="",0,W240),"0")+IFERROR(IF(W241="",0,W241),"0")</f>
        <v>0</v>
      </c>
      <c r="X242" s="298"/>
      <c r="Y242" s="298"/>
    </row>
    <row r="243" spans="1:29" x14ac:dyDescent="0.2">
      <c r="A243" s="303"/>
      <c r="B243" s="303"/>
      <c r="C243" s="303"/>
      <c r="D243" s="303"/>
      <c r="E243" s="303"/>
      <c r="F243" s="303"/>
      <c r="G243" s="303"/>
      <c r="H243" s="303"/>
      <c r="I243" s="303"/>
      <c r="J243" s="303"/>
      <c r="K243" s="303"/>
      <c r="L243" s="379"/>
      <c r="M243" s="377" t="s">
        <v>63</v>
      </c>
      <c r="N243" s="331"/>
      <c r="O243" s="331"/>
      <c r="P243" s="331"/>
      <c r="Q243" s="331"/>
      <c r="R243" s="331"/>
      <c r="S243" s="332"/>
      <c r="T243" s="38" t="s">
        <v>62</v>
      </c>
      <c r="U243" s="297">
        <f>IFERROR(SUM(U240:U241),"0")</f>
        <v>0</v>
      </c>
      <c r="V243" s="297">
        <f>IFERROR(SUM(V240:V241),"0")</f>
        <v>0</v>
      </c>
      <c r="W243" s="38"/>
      <c r="X243" s="298"/>
      <c r="Y243" s="298"/>
    </row>
    <row r="244" spans="1:29" ht="16.5" customHeight="1" x14ac:dyDescent="0.25">
      <c r="A244" s="372" t="s">
        <v>420</v>
      </c>
      <c r="B244" s="303"/>
      <c r="C244" s="303"/>
      <c r="D244" s="303"/>
      <c r="E244" s="303"/>
      <c r="F244" s="303"/>
      <c r="G244" s="303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291"/>
      <c r="Y244" s="291"/>
    </row>
    <row r="245" spans="1:29" ht="14.25" customHeight="1" x14ac:dyDescent="0.25">
      <c r="A245" s="373" t="s">
        <v>57</v>
      </c>
      <c r="B245" s="303"/>
      <c r="C245" s="303"/>
      <c r="D245" s="303"/>
      <c r="E245" s="303"/>
      <c r="F245" s="303"/>
      <c r="G245" s="303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290"/>
      <c r="Y245" s="290"/>
    </row>
    <row r="246" spans="1:29" ht="37.5" customHeight="1" x14ac:dyDescent="0.25">
      <c r="A246" s="55" t="s">
        <v>421</v>
      </c>
      <c r="B246" s="55" t="s">
        <v>422</v>
      </c>
      <c r="C246" s="32">
        <v>4301030368</v>
      </c>
      <c r="D246" s="374">
        <v>4607091383232</v>
      </c>
      <c r="E246" s="319"/>
      <c r="F246" s="294">
        <v>0.28000000000000003</v>
      </c>
      <c r="G246" s="33">
        <v>6</v>
      </c>
      <c r="H246" s="294">
        <v>1.68</v>
      </c>
      <c r="I246" s="294">
        <v>2.6</v>
      </c>
      <c r="J246" s="33">
        <v>156</v>
      </c>
      <c r="K246" s="34" t="s">
        <v>60</v>
      </c>
      <c r="L246" s="33">
        <v>35</v>
      </c>
      <c r="M246" s="524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6" s="376"/>
      <c r="O246" s="376"/>
      <c r="P246" s="376"/>
      <c r="Q246" s="319"/>
      <c r="R246" s="35"/>
      <c r="S246" s="35"/>
      <c r="T246" s="36" t="s">
        <v>62</v>
      </c>
      <c r="U246" s="295">
        <v>0</v>
      </c>
      <c r="V246" s="296">
        <f>IFERROR(IF(U246="",0,CEILING((U246/$H246),1)*$H246),"")</f>
        <v>0</v>
      </c>
      <c r="W246" s="37" t="str">
        <f>IFERROR(IF(V246=0,"",ROUNDUP(V246/H246,0)*0.00753),"")</f>
        <v/>
      </c>
      <c r="X246" s="57"/>
      <c r="Y246" s="58"/>
      <c r="AC246" s="204" t="s">
        <v>1</v>
      </c>
    </row>
    <row r="247" spans="1:29" ht="27" customHeight="1" x14ac:dyDescent="0.25">
      <c r="A247" s="55" t="s">
        <v>423</v>
      </c>
      <c r="B247" s="55" t="s">
        <v>424</v>
      </c>
      <c r="C247" s="32">
        <v>4301031066</v>
      </c>
      <c r="D247" s="374">
        <v>4607091383836</v>
      </c>
      <c r="E247" s="319"/>
      <c r="F247" s="294">
        <v>0.3</v>
      </c>
      <c r="G247" s="33">
        <v>6</v>
      </c>
      <c r="H247" s="294">
        <v>1.8</v>
      </c>
      <c r="I247" s="294">
        <v>2.048</v>
      </c>
      <c r="J247" s="33">
        <v>156</v>
      </c>
      <c r="K247" s="34" t="s">
        <v>60</v>
      </c>
      <c r="L247" s="33">
        <v>40</v>
      </c>
      <c r="M247" s="5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7" s="376"/>
      <c r="O247" s="376"/>
      <c r="P247" s="376"/>
      <c r="Q247" s="319"/>
      <c r="R247" s="35"/>
      <c r="S247" s="35"/>
      <c r="T247" s="36" t="s">
        <v>62</v>
      </c>
      <c r="U247" s="295">
        <v>0</v>
      </c>
      <c r="V247" s="296">
        <f>IFERROR(IF(U247="",0,CEILING((U247/$H247),1)*$H247),"")</f>
        <v>0</v>
      </c>
      <c r="W247" s="37" t="str">
        <f>IFERROR(IF(V247=0,"",ROUNDUP(V247/H247,0)*0.00753),"")</f>
        <v/>
      </c>
      <c r="X247" s="57"/>
      <c r="Y247" s="58"/>
      <c r="AC247" s="205" t="s">
        <v>1</v>
      </c>
    </row>
    <row r="248" spans="1:29" x14ac:dyDescent="0.2">
      <c r="A248" s="378"/>
      <c r="B248" s="303"/>
      <c r="C248" s="303"/>
      <c r="D248" s="303"/>
      <c r="E248" s="303"/>
      <c r="F248" s="303"/>
      <c r="G248" s="303"/>
      <c r="H248" s="303"/>
      <c r="I248" s="303"/>
      <c r="J248" s="303"/>
      <c r="K248" s="303"/>
      <c r="L248" s="379"/>
      <c r="M248" s="377" t="s">
        <v>63</v>
      </c>
      <c r="N248" s="331"/>
      <c r="O248" s="331"/>
      <c r="P248" s="331"/>
      <c r="Q248" s="331"/>
      <c r="R248" s="331"/>
      <c r="S248" s="332"/>
      <c r="T248" s="38" t="s">
        <v>64</v>
      </c>
      <c r="U248" s="297">
        <f>IFERROR(U246/H246,"0")+IFERROR(U247/H247,"0")</f>
        <v>0</v>
      </c>
      <c r="V248" s="297">
        <f>IFERROR(V246/H246,"0")+IFERROR(V247/H247,"0")</f>
        <v>0</v>
      </c>
      <c r="W248" s="297">
        <f>IFERROR(IF(W246="",0,W246),"0")+IFERROR(IF(W247="",0,W247),"0")</f>
        <v>0</v>
      </c>
      <c r="X248" s="298"/>
      <c r="Y248" s="298"/>
    </row>
    <row r="249" spans="1:29" x14ac:dyDescent="0.2">
      <c r="A249" s="303"/>
      <c r="B249" s="303"/>
      <c r="C249" s="303"/>
      <c r="D249" s="303"/>
      <c r="E249" s="303"/>
      <c r="F249" s="303"/>
      <c r="G249" s="303"/>
      <c r="H249" s="303"/>
      <c r="I249" s="303"/>
      <c r="J249" s="303"/>
      <c r="K249" s="303"/>
      <c r="L249" s="379"/>
      <c r="M249" s="377" t="s">
        <v>63</v>
      </c>
      <c r="N249" s="331"/>
      <c r="O249" s="331"/>
      <c r="P249" s="331"/>
      <c r="Q249" s="331"/>
      <c r="R249" s="331"/>
      <c r="S249" s="332"/>
      <c r="T249" s="38" t="s">
        <v>62</v>
      </c>
      <c r="U249" s="297">
        <f>IFERROR(SUM(U246:U247),"0")</f>
        <v>0</v>
      </c>
      <c r="V249" s="297">
        <f>IFERROR(SUM(V246:V247),"0")</f>
        <v>0</v>
      </c>
      <c r="W249" s="38"/>
      <c r="X249" s="298"/>
      <c r="Y249" s="298"/>
    </row>
    <row r="250" spans="1:29" ht="14.25" customHeight="1" x14ac:dyDescent="0.25">
      <c r="A250" s="373" t="s">
        <v>65</v>
      </c>
      <c r="B250" s="303"/>
      <c r="C250" s="303"/>
      <c r="D250" s="303"/>
      <c r="E250" s="303"/>
      <c r="F250" s="303"/>
      <c r="G250" s="303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290"/>
      <c r="Y250" s="290"/>
    </row>
    <row r="251" spans="1:29" ht="27" customHeight="1" x14ac:dyDescent="0.25">
      <c r="A251" s="55" t="s">
        <v>425</v>
      </c>
      <c r="B251" s="55" t="s">
        <v>426</v>
      </c>
      <c r="C251" s="32">
        <v>4301051142</v>
      </c>
      <c r="D251" s="374">
        <v>4607091387919</v>
      </c>
      <c r="E251" s="319"/>
      <c r="F251" s="294">
        <v>1.35</v>
      </c>
      <c r="G251" s="33">
        <v>6</v>
      </c>
      <c r="H251" s="294">
        <v>8.1</v>
      </c>
      <c r="I251" s="294">
        <v>8.6639999999999997</v>
      </c>
      <c r="J251" s="33">
        <v>56</v>
      </c>
      <c r="K251" s="34" t="s">
        <v>60</v>
      </c>
      <c r="L251" s="33">
        <v>45</v>
      </c>
      <c r="M251" s="52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1" s="376"/>
      <c r="O251" s="376"/>
      <c r="P251" s="376"/>
      <c r="Q251" s="319"/>
      <c r="R251" s="35"/>
      <c r="S251" s="35"/>
      <c r="T251" s="36" t="s">
        <v>62</v>
      </c>
      <c r="U251" s="295">
        <v>0</v>
      </c>
      <c r="V251" s="296">
        <f>IFERROR(IF(U251="",0,CEILING((U251/$H251),1)*$H251),"")</f>
        <v>0</v>
      </c>
      <c r="W251" s="37" t="str">
        <f>IFERROR(IF(V251=0,"",ROUNDUP(V251/H251,0)*0.02175),"")</f>
        <v/>
      </c>
      <c r="X251" s="57"/>
      <c r="Y251" s="58"/>
      <c r="AC251" s="206" t="s">
        <v>1</v>
      </c>
    </row>
    <row r="252" spans="1:29" ht="27" customHeight="1" x14ac:dyDescent="0.25">
      <c r="A252" s="55" t="s">
        <v>427</v>
      </c>
      <c r="B252" s="55" t="s">
        <v>428</v>
      </c>
      <c r="C252" s="32">
        <v>4301051109</v>
      </c>
      <c r="D252" s="374">
        <v>4607091383942</v>
      </c>
      <c r="E252" s="319"/>
      <c r="F252" s="294">
        <v>0.42</v>
      </c>
      <c r="G252" s="33">
        <v>6</v>
      </c>
      <c r="H252" s="294">
        <v>2.52</v>
      </c>
      <c r="I252" s="294">
        <v>2.7919999999999998</v>
      </c>
      <c r="J252" s="33">
        <v>156</v>
      </c>
      <c r="K252" s="34" t="s">
        <v>127</v>
      </c>
      <c r="L252" s="33">
        <v>45</v>
      </c>
      <c r="M252" s="52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2" s="376"/>
      <c r="O252" s="376"/>
      <c r="P252" s="376"/>
      <c r="Q252" s="319"/>
      <c r="R252" s="35"/>
      <c r="S252" s="35"/>
      <c r="T252" s="36" t="s">
        <v>62</v>
      </c>
      <c r="U252" s="295">
        <v>147</v>
      </c>
      <c r="V252" s="296">
        <f>IFERROR(IF(U252="",0,CEILING((U252/$H252),1)*$H252),"")</f>
        <v>148.68</v>
      </c>
      <c r="W252" s="37">
        <f>IFERROR(IF(V252=0,"",ROUNDUP(V252/H252,0)*0.00753),"")</f>
        <v>0.44427</v>
      </c>
      <c r="X252" s="57"/>
      <c r="Y252" s="58"/>
      <c r="AC252" s="207" t="s">
        <v>1</v>
      </c>
    </row>
    <row r="253" spans="1:29" ht="27" customHeight="1" x14ac:dyDescent="0.25">
      <c r="A253" s="55" t="s">
        <v>429</v>
      </c>
      <c r="B253" s="55" t="s">
        <v>430</v>
      </c>
      <c r="C253" s="32">
        <v>4301051300</v>
      </c>
      <c r="D253" s="374">
        <v>4607091383959</v>
      </c>
      <c r="E253" s="319"/>
      <c r="F253" s="294">
        <v>0.42</v>
      </c>
      <c r="G253" s="33">
        <v>6</v>
      </c>
      <c r="H253" s="294">
        <v>2.52</v>
      </c>
      <c r="I253" s="294">
        <v>2.78</v>
      </c>
      <c r="J253" s="33">
        <v>156</v>
      </c>
      <c r="K253" s="34" t="s">
        <v>60</v>
      </c>
      <c r="L253" s="33">
        <v>35</v>
      </c>
      <c r="M253" s="528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3" s="376"/>
      <c r="O253" s="376"/>
      <c r="P253" s="376"/>
      <c r="Q253" s="319"/>
      <c r="R253" s="35"/>
      <c r="S253" s="35"/>
      <c r="T253" s="36" t="s">
        <v>62</v>
      </c>
      <c r="U253" s="295">
        <v>0</v>
      </c>
      <c r="V253" s="296">
        <f>IFERROR(IF(U253="",0,CEILING((U253/$H253),1)*$H253),"")</f>
        <v>0</v>
      </c>
      <c r="W253" s="37" t="str">
        <f>IFERROR(IF(V253=0,"",ROUNDUP(V253/H253,0)*0.00753),"")</f>
        <v/>
      </c>
      <c r="X253" s="57"/>
      <c r="Y253" s="58"/>
      <c r="AC253" s="208" t="s">
        <v>1</v>
      </c>
    </row>
    <row r="254" spans="1:29" x14ac:dyDescent="0.2">
      <c r="A254" s="378"/>
      <c r="B254" s="303"/>
      <c r="C254" s="303"/>
      <c r="D254" s="303"/>
      <c r="E254" s="303"/>
      <c r="F254" s="303"/>
      <c r="G254" s="303"/>
      <c r="H254" s="303"/>
      <c r="I254" s="303"/>
      <c r="J254" s="303"/>
      <c r="K254" s="303"/>
      <c r="L254" s="379"/>
      <c r="M254" s="377" t="s">
        <v>63</v>
      </c>
      <c r="N254" s="331"/>
      <c r="O254" s="331"/>
      <c r="P254" s="331"/>
      <c r="Q254" s="331"/>
      <c r="R254" s="331"/>
      <c r="S254" s="332"/>
      <c r="T254" s="38" t="s">
        <v>64</v>
      </c>
      <c r="U254" s="297">
        <f>IFERROR(U251/H251,"0")+IFERROR(U252/H252,"0")+IFERROR(U253/H253,"0")</f>
        <v>58.333333333333336</v>
      </c>
      <c r="V254" s="297">
        <f>IFERROR(V251/H251,"0")+IFERROR(V252/H252,"0")+IFERROR(V253/H253,"0")</f>
        <v>59</v>
      </c>
      <c r="W254" s="297">
        <f>IFERROR(IF(W251="",0,W251),"0")+IFERROR(IF(W252="",0,W252),"0")+IFERROR(IF(W253="",0,W253),"0")</f>
        <v>0.44427</v>
      </c>
      <c r="X254" s="298"/>
      <c r="Y254" s="298"/>
    </row>
    <row r="255" spans="1:29" x14ac:dyDescent="0.2">
      <c r="A255" s="303"/>
      <c r="B255" s="303"/>
      <c r="C255" s="303"/>
      <c r="D255" s="303"/>
      <c r="E255" s="303"/>
      <c r="F255" s="303"/>
      <c r="G255" s="303"/>
      <c r="H255" s="303"/>
      <c r="I255" s="303"/>
      <c r="J255" s="303"/>
      <c r="K255" s="303"/>
      <c r="L255" s="379"/>
      <c r="M255" s="377" t="s">
        <v>63</v>
      </c>
      <c r="N255" s="331"/>
      <c r="O255" s="331"/>
      <c r="P255" s="331"/>
      <c r="Q255" s="331"/>
      <c r="R255" s="331"/>
      <c r="S255" s="332"/>
      <c r="T255" s="38" t="s">
        <v>62</v>
      </c>
      <c r="U255" s="297">
        <f>IFERROR(SUM(U251:U253),"0")</f>
        <v>147</v>
      </c>
      <c r="V255" s="297">
        <f>IFERROR(SUM(V251:V253),"0")</f>
        <v>148.68</v>
      </c>
      <c r="W255" s="38"/>
      <c r="X255" s="298"/>
      <c r="Y255" s="298"/>
    </row>
    <row r="256" spans="1:29" ht="14.25" customHeight="1" x14ac:dyDescent="0.25">
      <c r="A256" s="373" t="s">
        <v>196</v>
      </c>
      <c r="B256" s="303"/>
      <c r="C256" s="303"/>
      <c r="D256" s="303"/>
      <c r="E256" s="303"/>
      <c r="F256" s="303"/>
      <c r="G256" s="303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290"/>
      <c r="Y256" s="290"/>
    </row>
    <row r="257" spans="1:29" ht="27" customHeight="1" x14ac:dyDescent="0.25">
      <c r="A257" s="55" t="s">
        <v>431</v>
      </c>
      <c r="B257" s="55" t="s">
        <v>432</v>
      </c>
      <c r="C257" s="32">
        <v>4301060324</v>
      </c>
      <c r="D257" s="374">
        <v>4607091388831</v>
      </c>
      <c r="E257" s="319"/>
      <c r="F257" s="294">
        <v>0.38</v>
      </c>
      <c r="G257" s="33">
        <v>6</v>
      </c>
      <c r="H257" s="294">
        <v>2.2799999999999998</v>
      </c>
      <c r="I257" s="294">
        <v>2.552</v>
      </c>
      <c r="J257" s="33">
        <v>156</v>
      </c>
      <c r="K257" s="34" t="s">
        <v>60</v>
      </c>
      <c r="L257" s="33">
        <v>40</v>
      </c>
      <c r="M257" s="529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7" s="376"/>
      <c r="O257" s="376"/>
      <c r="P257" s="376"/>
      <c r="Q257" s="319"/>
      <c r="R257" s="35"/>
      <c r="S257" s="35"/>
      <c r="T257" s="36" t="s">
        <v>62</v>
      </c>
      <c r="U257" s="295">
        <v>0</v>
      </c>
      <c r="V257" s="296">
        <f>IFERROR(IF(U257="",0,CEILING((U257/$H257),1)*$H257),"")</f>
        <v>0</v>
      </c>
      <c r="W257" s="37" t="str">
        <f>IFERROR(IF(V257=0,"",ROUNDUP(V257/H257,0)*0.00753),"")</f>
        <v/>
      </c>
      <c r="X257" s="57"/>
      <c r="Y257" s="58"/>
      <c r="AC257" s="209" t="s">
        <v>1</v>
      </c>
    </row>
    <row r="258" spans="1:29" x14ac:dyDescent="0.2">
      <c r="A258" s="378"/>
      <c r="B258" s="303"/>
      <c r="C258" s="303"/>
      <c r="D258" s="303"/>
      <c r="E258" s="303"/>
      <c r="F258" s="303"/>
      <c r="G258" s="303"/>
      <c r="H258" s="303"/>
      <c r="I258" s="303"/>
      <c r="J258" s="303"/>
      <c r="K258" s="303"/>
      <c r="L258" s="379"/>
      <c r="M258" s="377" t="s">
        <v>63</v>
      </c>
      <c r="N258" s="331"/>
      <c r="O258" s="331"/>
      <c r="P258" s="331"/>
      <c r="Q258" s="331"/>
      <c r="R258" s="331"/>
      <c r="S258" s="332"/>
      <c r="T258" s="38" t="s">
        <v>64</v>
      </c>
      <c r="U258" s="297">
        <f>IFERROR(U257/H257,"0")</f>
        <v>0</v>
      </c>
      <c r="V258" s="297">
        <f>IFERROR(V257/H257,"0")</f>
        <v>0</v>
      </c>
      <c r="W258" s="297">
        <f>IFERROR(IF(W257="",0,W257),"0")</f>
        <v>0</v>
      </c>
      <c r="X258" s="298"/>
      <c r="Y258" s="298"/>
    </row>
    <row r="259" spans="1:29" x14ac:dyDescent="0.2">
      <c r="A259" s="303"/>
      <c r="B259" s="303"/>
      <c r="C259" s="303"/>
      <c r="D259" s="303"/>
      <c r="E259" s="303"/>
      <c r="F259" s="303"/>
      <c r="G259" s="303"/>
      <c r="H259" s="303"/>
      <c r="I259" s="303"/>
      <c r="J259" s="303"/>
      <c r="K259" s="303"/>
      <c r="L259" s="379"/>
      <c r="M259" s="377" t="s">
        <v>63</v>
      </c>
      <c r="N259" s="331"/>
      <c r="O259" s="331"/>
      <c r="P259" s="331"/>
      <c r="Q259" s="331"/>
      <c r="R259" s="331"/>
      <c r="S259" s="332"/>
      <c r="T259" s="38" t="s">
        <v>62</v>
      </c>
      <c r="U259" s="297">
        <f>IFERROR(SUM(U257:U257),"0")</f>
        <v>0</v>
      </c>
      <c r="V259" s="297">
        <f>IFERROR(SUM(V257:V257),"0")</f>
        <v>0</v>
      </c>
      <c r="W259" s="38"/>
      <c r="X259" s="298"/>
      <c r="Y259" s="298"/>
    </row>
    <row r="260" spans="1:29" ht="14.25" customHeight="1" x14ac:dyDescent="0.25">
      <c r="A260" s="373" t="s">
        <v>79</v>
      </c>
      <c r="B260" s="303"/>
      <c r="C260" s="303"/>
      <c r="D260" s="303"/>
      <c r="E260" s="303"/>
      <c r="F260" s="303"/>
      <c r="G260" s="303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290"/>
      <c r="Y260" s="290"/>
    </row>
    <row r="261" spans="1:29" ht="27" customHeight="1" x14ac:dyDescent="0.25">
      <c r="A261" s="55" t="s">
        <v>433</v>
      </c>
      <c r="B261" s="55" t="s">
        <v>434</v>
      </c>
      <c r="C261" s="32">
        <v>4301032015</v>
      </c>
      <c r="D261" s="374">
        <v>4607091383102</v>
      </c>
      <c r="E261" s="319"/>
      <c r="F261" s="294">
        <v>0.17</v>
      </c>
      <c r="G261" s="33">
        <v>15</v>
      </c>
      <c r="H261" s="294">
        <v>2.5499999999999998</v>
      </c>
      <c r="I261" s="294">
        <v>2.9750000000000001</v>
      </c>
      <c r="J261" s="33">
        <v>156</v>
      </c>
      <c r="K261" s="34" t="s">
        <v>82</v>
      </c>
      <c r="L261" s="33">
        <v>180</v>
      </c>
      <c r="M261" s="53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1" s="376"/>
      <c r="O261" s="376"/>
      <c r="P261" s="376"/>
      <c r="Q261" s="319"/>
      <c r="R261" s="35"/>
      <c r="S261" s="35"/>
      <c r="T261" s="36" t="s">
        <v>62</v>
      </c>
      <c r="U261" s="295">
        <v>0</v>
      </c>
      <c r="V261" s="296">
        <f>IFERROR(IF(U261="",0,CEILING((U261/$H261),1)*$H261),"")</f>
        <v>0</v>
      </c>
      <c r="W261" s="37" t="str">
        <f>IFERROR(IF(V261=0,"",ROUNDUP(V261/H261,0)*0.00753),"")</f>
        <v/>
      </c>
      <c r="X261" s="57"/>
      <c r="Y261" s="58"/>
      <c r="AC261" s="210" t="s">
        <v>1</v>
      </c>
    </row>
    <row r="262" spans="1:29" x14ac:dyDescent="0.2">
      <c r="A262" s="378"/>
      <c r="B262" s="303"/>
      <c r="C262" s="303"/>
      <c r="D262" s="303"/>
      <c r="E262" s="303"/>
      <c r="F262" s="303"/>
      <c r="G262" s="303"/>
      <c r="H262" s="303"/>
      <c r="I262" s="303"/>
      <c r="J262" s="303"/>
      <c r="K262" s="303"/>
      <c r="L262" s="379"/>
      <c r="M262" s="377" t="s">
        <v>63</v>
      </c>
      <c r="N262" s="331"/>
      <c r="O262" s="331"/>
      <c r="P262" s="331"/>
      <c r="Q262" s="331"/>
      <c r="R262" s="331"/>
      <c r="S262" s="332"/>
      <c r="T262" s="38" t="s">
        <v>64</v>
      </c>
      <c r="U262" s="297">
        <f>IFERROR(U261/H261,"0")</f>
        <v>0</v>
      </c>
      <c r="V262" s="297">
        <f>IFERROR(V261/H261,"0")</f>
        <v>0</v>
      </c>
      <c r="W262" s="297">
        <f>IFERROR(IF(W261="",0,W261),"0")</f>
        <v>0</v>
      </c>
      <c r="X262" s="298"/>
      <c r="Y262" s="298"/>
    </row>
    <row r="263" spans="1:29" x14ac:dyDescent="0.2">
      <c r="A263" s="303"/>
      <c r="B263" s="303"/>
      <c r="C263" s="303"/>
      <c r="D263" s="303"/>
      <c r="E263" s="303"/>
      <c r="F263" s="303"/>
      <c r="G263" s="303"/>
      <c r="H263" s="303"/>
      <c r="I263" s="303"/>
      <c r="J263" s="303"/>
      <c r="K263" s="303"/>
      <c r="L263" s="379"/>
      <c r="M263" s="377" t="s">
        <v>63</v>
      </c>
      <c r="N263" s="331"/>
      <c r="O263" s="331"/>
      <c r="P263" s="331"/>
      <c r="Q263" s="331"/>
      <c r="R263" s="331"/>
      <c r="S263" s="332"/>
      <c r="T263" s="38" t="s">
        <v>62</v>
      </c>
      <c r="U263" s="297">
        <f>IFERROR(SUM(U261:U261),"0")</f>
        <v>0</v>
      </c>
      <c r="V263" s="297">
        <f>IFERROR(SUM(V261:V261),"0")</f>
        <v>0</v>
      </c>
      <c r="W263" s="38"/>
      <c r="X263" s="298"/>
      <c r="Y263" s="298"/>
    </row>
    <row r="264" spans="1:29" ht="27.75" customHeight="1" x14ac:dyDescent="0.2">
      <c r="A264" s="370" t="s">
        <v>435</v>
      </c>
      <c r="B264" s="371"/>
      <c r="C264" s="371"/>
      <c r="D264" s="371"/>
      <c r="E264" s="371"/>
      <c r="F264" s="371"/>
      <c r="G264" s="371"/>
      <c r="H264" s="371"/>
      <c r="I264" s="371"/>
      <c r="J264" s="371"/>
      <c r="K264" s="371"/>
      <c r="L264" s="371"/>
      <c r="M264" s="371"/>
      <c r="N264" s="371"/>
      <c r="O264" s="371"/>
      <c r="P264" s="371"/>
      <c r="Q264" s="371"/>
      <c r="R264" s="371"/>
      <c r="S264" s="371"/>
      <c r="T264" s="371"/>
      <c r="U264" s="371"/>
      <c r="V264" s="371"/>
      <c r="W264" s="371"/>
      <c r="X264" s="49"/>
      <c r="Y264" s="49"/>
    </row>
    <row r="265" spans="1:29" ht="16.5" customHeight="1" x14ac:dyDescent="0.25">
      <c r="A265" s="372" t="s">
        <v>436</v>
      </c>
      <c r="B265" s="303"/>
      <c r="C265" s="303"/>
      <c r="D265" s="303"/>
      <c r="E265" s="303"/>
      <c r="F265" s="303"/>
      <c r="G265" s="303"/>
      <c r="H265" s="303"/>
      <c r="I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V265" s="303"/>
      <c r="W265" s="303"/>
      <c r="X265" s="291"/>
      <c r="Y265" s="291"/>
    </row>
    <row r="266" spans="1:29" ht="14.25" customHeight="1" x14ac:dyDescent="0.25">
      <c r="A266" s="373" t="s">
        <v>103</v>
      </c>
      <c r="B266" s="303"/>
      <c r="C266" s="303"/>
      <c r="D266" s="303"/>
      <c r="E266" s="303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290"/>
      <c r="Y266" s="290"/>
    </row>
    <row r="267" spans="1:29" ht="27" customHeight="1" x14ac:dyDescent="0.25">
      <c r="A267" s="55" t="s">
        <v>437</v>
      </c>
      <c r="B267" s="55" t="s">
        <v>438</v>
      </c>
      <c r="C267" s="32">
        <v>4301011239</v>
      </c>
      <c r="D267" s="374">
        <v>4607091383997</v>
      </c>
      <c r="E267" s="319"/>
      <c r="F267" s="294">
        <v>2.5</v>
      </c>
      <c r="G267" s="33">
        <v>6</v>
      </c>
      <c r="H267" s="294">
        <v>15</v>
      </c>
      <c r="I267" s="294">
        <v>15.48</v>
      </c>
      <c r="J267" s="33">
        <v>48</v>
      </c>
      <c r="K267" s="34" t="s">
        <v>233</v>
      </c>
      <c r="L267" s="33">
        <v>60</v>
      </c>
      <c r="M267" s="53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7" s="376"/>
      <c r="O267" s="376"/>
      <c r="P267" s="376"/>
      <c r="Q267" s="319"/>
      <c r="R267" s="35"/>
      <c r="S267" s="35"/>
      <c r="T267" s="36" t="s">
        <v>62</v>
      </c>
      <c r="U267" s="295">
        <v>0</v>
      </c>
      <c r="V267" s="296">
        <f t="shared" ref="V267:V274" si="13">IFERROR(IF(U267="",0,CEILING((U267/$H267),1)*$H267),"")</f>
        <v>0</v>
      </c>
      <c r="W267" s="37" t="str">
        <f>IFERROR(IF(V267=0,"",ROUNDUP(V267/H267,0)*0.02039),"")</f>
        <v/>
      </c>
      <c r="X267" s="57"/>
      <c r="Y267" s="58"/>
      <c r="AC267" s="211" t="s">
        <v>1</v>
      </c>
    </row>
    <row r="268" spans="1:29" ht="27" customHeight="1" x14ac:dyDescent="0.25">
      <c r="A268" s="55" t="s">
        <v>437</v>
      </c>
      <c r="B268" s="55" t="s">
        <v>439</v>
      </c>
      <c r="C268" s="32">
        <v>4301011339</v>
      </c>
      <c r="D268" s="374">
        <v>4607091383997</v>
      </c>
      <c r="E268" s="319"/>
      <c r="F268" s="294">
        <v>2.5</v>
      </c>
      <c r="G268" s="33">
        <v>6</v>
      </c>
      <c r="H268" s="294">
        <v>15</v>
      </c>
      <c r="I268" s="294">
        <v>15.48</v>
      </c>
      <c r="J268" s="33">
        <v>48</v>
      </c>
      <c r="K268" s="34" t="s">
        <v>60</v>
      </c>
      <c r="L268" s="33">
        <v>60</v>
      </c>
      <c r="M268" s="53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76"/>
      <c r="O268" s="376"/>
      <c r="P268" s="376"/>
      <c r="Q268" s="319"/>
      <c r="R268" s="35"/>
      <c r="S268" s="35"/>
      <c r="T268" s="36" t="s">
        <v>62</v>
      </c>
      <c r="U268" s="295">
        <v>800</v>
      </c>
      <c r="V268" s="296">
        <f t="shared" si="13"/>
        <v>810</v>
      </c>
      <c r="W268" s="37">
        <f>IFERROR(IF(V268=0,"",ROUNDUP(V268/H268,0)*0.02175),"")</f>
        <v>1.1744999999999999</v>
      </c>
      <c r="X268" s="57"/>
      <c r="Y268" s="58"/>
      <c r="AC268" s="212" t="s">
        <v>1</v>
      </c>
    </row>
    <row r="269" spans="1:29" ht="27" customHeight="1" x14ac:dyDescent="0.25">
      <c r="A269" s="55" t="s">
        <v>440</v>
      </c>
      <c r="B269" s="55" t="s">
        <v>441</v>
      </c>
      <c r="C269" s="32">
        <v>4301011326</v>
      </c>
      <c r="D269" s="374">
        <v>4607091384130</v>
      </c>
      <c r="E269" s="319"/>
      <c r="F269" s="294">
        <v>2.5</v>
      </c>
      <c r="G269" s="33">
        <v>6</v>
      </c>
      <c r="H269" s="294">
        <v>15</v>
      </c>
      <c r="I269" s="294">
        <v>15.48</v>
      </c>
      <c r="J269" s="33">
        <v>48</v>
      </c>
      <c r="K269" s="34" t="s">
        <v>60</v>
      </c>
      <c r="L269" s="33">
        <v>60</v>
      </c>
      <c r="M269" s="53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69" s="376"/>
      <c r="O269" s="376"/>
      <c r="P269" s="376"/>
      <c r="Q269" s="319"/>
      <c r="R269" s="35"/>
      <c r="S269" s="35"/>
      <c r="T269" s="36" t="s">
        <v>62</v>
      </c>
      <c r="U269" s="295">
        <v>700</v>
      </c>
      <c r="V269" s="296">
        <f t="shared" si="13"/>
        <v>705</v>
      </c>
      <c r="W269" s="37">
        <f>IFERROR(IF(V269=0,"",ROUNDUP(V269/H269,0)*0.02175),"")</f>
        <v>1.0222499999999999</v>
      </c>
      <c r="X269" s="57"/>
      <c r="Y269" s="58"/>
      <c r="AC269" s="213" t="s">
        <v>1</v>
      </c>
    </row>
    <row r="270" spans="1:29" ht="27" customHeight="1" x14ac:dyDescent="0.25">
      <c r="A270" s="55" t="s">
        <v>440</v>
      </c>
      <c r="B270" s="55" t="s">
        <v>442</v>
      </c>
      <c r="C270" s="32">
        <v>4301011240</v>
      </c>
      <c r="D270" s="374">
        <v>4607091384130</v>
      </c>
      <c r="E270" s="319"/>
      <c r="F270" s="294">
        <v>2.5</v>
      </c>
      <c r="G270" s="33">
        <v>6</v>
      </c>
      <c r="H270" s="294">
        <v>15</v>
      </c>
      <c r="I270" s="294">
        <v>15.48</v>
      </c>
      <c r="J270" s="33">
        <v>48</v>
      </c>
      <c r="K270" s="34" t="s">
        <v>233</v>
      </c>
      <c r="L270" s="33">
        <v>60</v>
      </c>
      <c r="M270" s="53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76"/>
      <c r="O270" s="376"/>
      <c r="P270" s="376"/>
      <c r="Q270" s="319"/>
      <c r="R270" s="35"/>
      <c r="S270" s="35"/>
      <c r="T270" s="36" t="s">
        <v>62</v>
      </c>
      <c r="U270" s="295">
        <v>0</v>
      </c>
      <c r="V270" s="296">
        <f t="shared" si="13"/>
        <v>0</v>
      </c>
      <c r="W270" s="37" t="str">
        <f>IFERROR(IF(V270=0,"",ROUNDUP(V270/H270,0)*0.02039),"")</f>
        <v/>
      </c>
      <c r="X270" s="57"/>
      <c r="Y270" s="58"/>
      <c r="AC270" s="214" t="s">
        <v>1</v>
      </c>
    </row>
    <row r="271" spans="1:29" ht="16.5" customHeight="1" x14ac:dyDescent="0.25">
      <c r="A271" s="55" t="s">
        <v>443</v>
      </c>
      <c r="B271" s="55" t="s">
        <v>444</v>
      </c>
      <c r="C271" s="32">
        <v>4301011330</v>
      </c>
      <c r="D271" s="374">
        <v>4607091384147</v>
      </c>
      <c r="E271" s="319"/>
      <c r="F271" s="294">
        <v>2.5</v>
      </c>
      <c r="G271" s="33">
        <v>6</v>
      </c>
      <c r="H271" s="294">
        <v>15</v>
      </c>
      <c r="I271" s="294">
        <v>15.48</v>
      </c>
      <c r="J271" s="33">
        <v>48</v>
      </c>
      <c r="K271" s="34" t="s">
        <v>60</v>
      </c>
      <c r="L271" s="33">
        <v>60</v>
      </c>
      <c r="M271" s="53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1" s="376"/>
      <c r="O271" s="376"/>
      <c r="P271" s="376"/>
      <c r="Q271" s="319"/>
      <c r="R271" s="35"/>
      <c r="S271" s="35"/>
      <c r="T271" s="36" t="s">
        <v>62</v>
      </c>
      <c r="U271" s="295">
        <v>1100</v>
      </c>
      <c r="V271" s="296">
        <f t="shared" si="13"/>
        <v>1110</v>
      </c>
      <c r="W271" s="37">
        <f>IFERROR(IF(V271=0,"",ROUNDUP(V271/H271,0)*0.02175),"")</f>
        <v>1.6094999999999999</v>
      </c>
      <c r="X271" s="57"/>
      <c r="Y271" s="58"/>
      <c r="AC271" s="215" t="s">
        <v>1</v>
      </c>
    </row>
    <row r="272" spans="1:29" ht="16.5" customHeight="1" x14ac:dyDescent="0.25">
      <c r="A272" s="55" t="s">
        <v>443</v>
      </c>
      <c r="B272" s="55" t="s">
        <v>445</v>
      </c>
      <c r="C272" s="32">
        <v>4301011238</v>
      </c>
      <c r="D272" s="374">
        <v>4607091384147</v>
      </c>
      <c r="E272" s="319"/>
      <c r="F272" s="294">
        <v>2.5</v>
      </c>
      <c r="G272" s="33">
        <v>6</v>
      </c>
      <c r="H272" s="294">
        <v>15</v>
      </c>
      <c r="I272" s="294">
        <v>15.48</v>
      </c>
      <c r="J272" s="33">
        <v>48</v>
      </c>
      <c r="K272" s="34" t="s">
        <v>233</v>
      </c>
      <c r="L272" s="33">
        <v>60</v>
      </c>
      <c r="M272" s="536" t="s">
        <v>446</v>
      </c>
      <c r="N272" s="376"/>
      <c r="O272" s="376"/>
      <c r="P272" s="376"/>
      <c r="Q272" s="319"/>
      <c r="R272" s="35"/>
      <c r="S272" s="35"/>
      <c r="T272" s="36" t="s">
        <v>62</v>
      </c>
      <c r="U272" s="295">
        <v>0</v>
      </c>
      <c r="V272" s="296">
        <f t="shared" si="13"/>
        <v>0</v>
      </c>
      <c r="W272" s="37" t="str">
        <f>IFERROR(IF(V272=0,"",ROUNDUP(V272/H272,0)*0.02039),"")</f>
        <v/>
      </c>
      <c r="X272" s="57"/>
      <c r="Y272" s="58"/>
      <c r="AC272" s="216" t="s">
        <v>1</v>
      </c>
    </row>
    <row r="273" spans="1:29" ht="27" customHeight="1" x14ac:dyDescent="0.25">
      <c r="A273" s="55" t="s">
        <v>447</v>
      </c>
      <c r="B273" s="55" t="s">
        <v>448</v>
      </c>
      <c r="C273" s="32">
        <v>4301011327</v>
      </c>
      <c r="D273" s="374">
        <v>4607091384154</v>
      </c>
      <c r="E273" s="319"/>
      <c r="F273" s="294">
        <v>0.5</v>
      </c>
      <c r="G273" s="33">
        <v>10</v>
      </c>
      <c r="H273" s="294">
        <v>5</v>
      </c>
      <c r="I273" s="294">
        <v>5.21</v>
      </c>
      <c r="J273" s="33">
        <v>120</v>
      </c>
      <c r="K273" s="34" t="s">
        <v>60</v>
      </c>
      <c r="L273" s="33">
        <v>60</v>
      </c>
      <c r="M273" s="53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3" s="376"/>
      <c r="O273" s="376"/>
      <c r="P273" s="376"/>
      <c r="Q273" s="319"/>
      <c r="R273" s="35"/>
      <c r="S273" s="35"/>
      <c r="T273" s="36" t="s">
        <v>62</v>
      </c>
      <c r="U273" s="295">
        <v>0</v>
      </c>
      <c r="V273" s="296">
        <f t="shared" si="13"/>
        <v>0</v>
      </c>
      <c r="W273" s="37" t="str">
        <f>IFERROR(IF(V273=0,"",ROUNDUP(V273/H273,0)*0.00937),"")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449</v>
      </c>
      <c r="B274" s="55" t="s">
        <v>450</v>
      </c>
      <c r="C274" s="32">
        <v>4301011332</v>
      </c>
      <c r="D274" s="374">
        <v>4607091384161</v>
      </c>
      <c r="E274" s="319"/>
      <c r="F274" s="294">
        <v>0.5</v>
      </c>
      <c r="G274" s="33">
        <v>10</v>
      </c>
      <c r="H274" s="294">
        <v>5</v>
      </c>
      <c r="I274" s="294">
        <v>5.21</v>
      </c>
      <c r="J274" s="33">
        <v>120</v>
      </c>
      <c r="K274" s="34" t="s">
        <v>60</v>
      </c>
      <c r="L274" s="33">
        <v>60</v>
      </c>
      <c r="M274" s="53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4" s="376"/>
      <c r="O274" s="376"/>
      <c r="P274" s="376"/>
      <c r="Q274" s="319"/>
      <c r="R274" s="35"/>
      <c r="S274" s="35"/>
      <c r="T274" s="36" t="s">
        <v>62</v>
      </c>
      <c r="U274" s="295">
        <v>0</v>
      </c>
      <c r="V274" s="296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x14ac:dyDescent="0.2">
      <c r="A275" s="378"/>
      <c r="B275" s="303"/>
      <c r="C275" s="303"/>
      <c r="D275" s="303"/>
      <c r="E275" s="303"/>
      <c r="F275" s="303"/>
      <c r="G275" s="303"/>
      <c r="H275" s="303"/>
      <c r="I275" s="303"/>
      <c r="J275" s="303"/>
      <c r="K275" s="303"/>
      <c r="L275" s="379"/>
      <c r="M275" s="377" t="s">
        <v>63</v>
      </c>
      <c r="N275" s="331"/>
      <c r="O275" s="331"/>
      <c r="P275" s="331"/>
      <c r="Q275" s="331"/>
      <c r="R275" s="331"/>
      <c r="S275" s="332"/>
      <c r="T275" s="38" t="s">
        <v>64</v>
      </c>
      <c r="U275" s="297">
        <f>IFERROR(U267/H267,"0")+IFERROR(U268/H268,"0")+IFERROR(U269/H269,"0")+IFERROR(U270/H270,"0")+IFERROR(U271/H271,"0")+IFERROR(U272/H272,"0")+IFERROR(U273/H273,"0")+IFERROR(U274/H274,"0")</f>
        <v>173.33333333333331</v>
      </c>
      <c r="V275" s="297">
        <f>IFERROR(V267/H267,"0")+IFERROR(V268/H268,"0")+IFERROR(V269/H269,"0")+IFERROR(V270/H270,"0")+IFERROR(V271/H271,"0")+IFERROR(V272/H272,"0")+IFERROR(V273/H273,"0")+IFERROR(V274/H274,"0")</f>
        <v>175</v>
      </c>
      <c r="W275" s="297">
        <f>IFERROR(IF(W267="",0,W267),"0")+IFERROR(IF(W268="",0,W268),"0")+IFERROR(IF(W269="",0,W269),"0")+IFERROR(IF(W270="",0,W270),"0")+IFERROR(IF(W271="",0,W271),"0")+IFERROR(IF(W272="",0,W272),"0")+IFERROR(IF(W273="",0,W273),"0")+IFERROR(IF(W274="",0,W274),"0")</f>
        <v>3.8062499999999995</v>
      </c>
      <c r="X275" s="298"/>
      <c r="Y275" s="298"/>
    </row>
    <row r="276" spans="1:29" x14ac:dyDescent="0.2">
      <c r="A276" s="303"/>
      <c r="B276" s="303"/>
      <c r="C276" s="303"/>
      <c r="D276" s="303"/>
      <c r="E276" s="303"/>
      <c r="F276" s="303"/>
      <c r="G276" s="303"/>
      <c r="H276" s="303"/>
      <c r="I276" s="303"/>
      <c r="J276" s="303"/>
      <c r="K276" s="303"/>
      <c r="L276" s="379"/>
      <c r="M276" s="377" t="s">
        <v>63</v>
      </c>
      <c r="N276" s="331"/>
      <c r="O276" s="331"/>
      <c r="P276" s="331"/>
      <c r="Q276" s="331"/>
      <c r="R276" s="331"/>
      <c r="S276" s="332"/>
      <c r="T276" s="38" t="s">
        <v>62</v>
      </c>
      <c r="U276" s="297">
        <f>IFERROR(SUM(U267:U274),"0")</f>
        <v>2600</v>
      </c>
      <c r="V276" s="297">
        <f>IFERROR(SUM(V267:V274),"0")</f>
        <v>2625</v>
      </c>
      <c r="W276" s="38"/>
      <c r="X276" s="298"/>
      <c r="Y276" s="298"/>
    </row>
    <row r="277" spans="1:29" ht="14.25" customHeight="1" x14ac:dyDescent="0.25">
      <c r="A277" s="373" t="s">
        <v>96</v>
      </c>
      <c r="B277" s="303"/>
      <c r="C277" s="303"/>
      <c r="D277" s="303"/>
      <c r="E277" s="303"/>
      <c r="F277" s="303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V277" s="303"/>
      <c r="W277" s="303"/>
      <c r="X277" s="290"/>
      <c r="Y277" s="290"/>
    </row>
    <row r="278" spans="1:29" ht="27" customHeight="1" x14ac:dyDescent="0.25">
      <c r="A278" s="55" t="s">
        <v>451</v>
      </c>
      <c r="B278" s="55" t="s">
        <v>452</v>
      </c>
      <c r="C278" s="32">
        <v>4301020178</v>
      </c>
      <c r="D278" s="374">
        <v>4607091383980</v>
      </c>
      <c r="E278" s="319"/>
      <c r="F278" s="294">
        <v>2.5</v>
      </c>
      <c r="G278" s="33">
        <v>6</v>
      </c>
      <c r="H278" s="294">
        <v>15</v>
      </c>
      <c r="I278" s="294">
        <v>15.48</v>
      </c>
      <c r="J278" s="33">
        <v>48</v>
      </c>
      <c r="K278" s="34" t="s">
        <v>99</v>
      </c>
      <c r="L278" s="33">
        <v>50</v>
      </c>
      <c r="M278" s="53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8" s="376"/>
      <c r="O278" s="376"/>
      <c r="P278" s="376"/>
      <c r="Q278" s="319"/>
      <c r="R278" s="35"/>
      <c r="S278" s="35"/>
      <c r="T278" s="36" t="s">
        <v>62</v>
      </c>
      <c r="U278" s="295">
        <v>800</v>
      </c>
      <c r="V278" s="296">
        <f>IFERROR(IF(U278="",0,CEILING((U278/$H278),1)*$H278),"")</f>
        <v>810</v>
      </c>
      <c r="W278" s="37">
        <f>IFERROR(IF(V278=0,"",ROUNDUP(V278/H278,0)*0.02175),"")</f>
        <v>1.1744999999999999</v>
      </c>
      <c r="X278" s="57"/>
      <c r="Y278" s="58"/>
      <c r="AC278" s="219" t="s">
        <v>1</v>
      </c>
    </row>
    <row r="279" spans="1:29" ht="27" customHeight="1" x14ac:dyDescent="0.25">
      <c r="A279" s="55" t="s">
        <v>453</v>
      </c>
      <c r="B279" s="55" t="s">
        <v>454</v>
      </c>
      <c r="C279" s="32">
        <v>4301020179</v>
      </c>
      <c r="D279" s="374">
        <v>4607091384178</v>
      </c>
      <c r="E279" s="319"/>
      <c r="F279" s="294">
        <v>0.4</v>
      </c>
      <c r="G279" s="33">
        <v>10</v>
      </c>
      <c r="H279" s="294">
        <v>4</v>
      </c>
      <c r="I279" s="294">
        <v>4.24</v>
      </c>
      <c r="J279" s="33">
        <v>120</v>
      </c>
      <c r="K279" s="34" t="s">
        <v>99</v>
      </c>
      <c r="L279" s="33">
        <v>50</v>
      </c>
      <c r="M279" s="54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79" s="376"/>
      <c r="O279" s="376"/>
      <c r="P279" s="376"/>
      <c r="Q279" s="319"/>
      <c r="R279" s="35"/>
      <c r="S279" s="35"/>
      <c r="T279" s="36" t="s">
        <v>62</v>
      </c>
      <c r="U279" s="295">
        <v>0</v>
      </c>
      <c r="V279" s="296">
        <f>IFERROR(IF(U279="",0,CEILING((U279/$H279),1)*$H279),"")</f>
        <v>0</v>
      </c>
      <c r="W279" s="37" t="str">
        <f>IFERROR(IF(V279=0,"",ROUNDUP(V279/H279,0)*0.00937),"")</f>
        <v/>
      </c>
      <c r="X279" s="57"/>
      <c r="Y279" s="58"/>
      <c r="AC279" s="220" t="s">
        <v>1</v>
      </c>
    </row>
    <row r="280" spans="1:29" x14ac:dyDescent="0.2">
      <c r="A280" s="378"/>
      <c r="B280" s="303"/>
      <c r="C280" s="303"/>
      <c r="D280" s="303"/>
      <c r="E280" s="303"/>
      <c r="F280" s="303"/>
      <c r="G280" s="303"/>
      <c r="H280" s="303"/>
      <c r="I280" s="303"/>
      <c r="J280" s="303"/>
      <c r="K280" s="303"/>
      <c r="L280" s="379"/>
      <c r="M280" s="377" t="s">
        <v>63</v>
      </c>
      <c r="N280" s="331"/>
      <c r="O280" s="331"/>
      <c r="P280" s="331"/>
      <c r="Q280" s="331"/>
      <c r="R280" s="331"/>
      <c r="S280" s="332"/>
      <c r="T280" s="38" t="s">
        <v>64</v>
      </c>
      <c r="U280" s="297">
        <f>IFERROR(U278/H278,"0")+IFERROR(U279/H279,"0")</f>
        <v>53.333333333333336</v>
      </c>
      <c r="V280" s="297">
        <f>IFERROR(V278/H278,"0")+IFERROR(V279/H279,"0")</f>
        <v>54</v>
      </c>
      <c r="W280" s="297">
        <f>IFERROR(IF(W278="",0,W278),"0")+IFERROR(IF(W279="",0,W279),"0")</f>
        <v>1.1744999999999999</v>
      </c>
      <c r="X280" s="298"/>
      <c r="Y280" s="298"/>
    </row>
    <row r="281" spans="1:29" x14ac:dyDescent="0.2">
      <c r="A281" s="303"/>
      <c r="B281" s="303"/>
      <c r="C281" s="303"/>
      <c r="D281" s="303"/>
      <c r="E281" s="303"/>
      <c r="F281" s="303"/>
      <c r="G281" s="303"/>
      <c r="H281" s="303"/>
      <c r="I281" s="303"/>
      <c r="J281" s="303"/>
      <c r="K281" s="303"/>
      <c r="L281" s="379"/>
      <c r="M281" s="377" t="s">
        <v>63</v>
      </c>
      <c r="N281" s="331"/>
      <c r="O281" s="331"/>
      <c r="P281" s="331"/>
      <c r="Q281" s="331"/>
      <c r="R281" s="331"/>
      <c r="S281" s="332"/>
      <c r="T281" s="38" t="s">
        <v>62</v>
      </c>
      <c r="U281" s="297">
        <f>IFERROR(SUM(U278:U279),"0")</f>
        <v>800</v>
      </c>
      <c r="V281" s="297">
        <f>IFERROR(SUM(V278:V279),"0")</f>
        <v>810</v>
      </c>
      <c r="W281" s="38"/>
      <c r="X281" s="298"/>
      <c r="Y281" s="298"/>
    </row>
    <row r="282" spans="1:29" ht="14.25" customHeight="1" x14ac:dyDescent="0.25">
      <c r="A282" s="373" t="s">
        <v>57</v>
      </c>
      <c r="B282" s="303"/>
      <c r="C282" s="303"/>
      <c r="D282" s="303"/>
      <c r="E282" s="303"/>
      <c r="F282" s="303"/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  <c r="Q282" s="303"/>
      <c r="R282" s="303"/>
      <c r="S282" s="303"/>
      <c r="T282" s="303"/>
      <c r="U282" s="303"/>
      <c r="V282" s="303"/>
      <c r="W282" s="303"/>
      <c r="X282" s="290"/>
      <c r="Y282" s="290"/>
    </row>
    <row r="283" spans="1:29" ht="27" customHeight="1" x14ac:dyDescent="0.25">
      <c r="A283" s="55" t="s">
        <v>455</v>
      </c>
      <c r="B283" s="55" t="s">
        <v>456</v>
      </c>
      <c r="C283" s="32">
        <v>4301031137</v>
      </c>
      <c r="D283" s="374">
        <v>4607091384857</v>
      </c>
      <c r="E283" s="319"/>
      <c r="F283" s="294">
        <v>0.73</v>
      </c>
      <c r="G283" s="33">
        <v>6</v>
      </c>
      <c r="H283" s="294">
        <v>4.38</v>
      </c>
      <c r="I283" s="294">
        <v>4.58</v>
      </c>
      <c r="J283" s="33">
        <v>156</v>
      </c>
      <c r="K283" s="34" t="s">
        <v>60</v>
      </c>
      <c r="L283" s="33">
        <v>35</v>
      </c>
      <c r="M283" s="541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3" s="376"/>
      <c r="O283" s="376"/>
      <c r="P283" s="376"/>
      <c r="Q283" s="319"/>
      <c r="R283" s="35"/>
      <c r="S283" s="35"/>
      <c r="T283" s="36" t="s">
        <v>62</v>
      </c>
      <c r="U283" s="295">
        <v>0</v>
      </c>
      <c r="V283" s="296">
        <f>IFERROR(IF(U283="",0,CEILING((U283/$H283),1)*$H283),"")</f>
        <v>0</v>
      </c>
      <c r="W283" s="37" t="str">
        <f>IFERROR(IF(V283=0,"",ROUNDUP(V283/H283,0)*0.00753),"")</f>
        <v/>
      </c>
      <c r="X283" s="57"/>
      <c r="Y283" s="58"/>
      <c r="AC283" s="221" t="s">
        <v>1</v>
      </c>
    </row>
    <row r="284" spans="1:29" x14ac:dyDescent="0.2">
      <c r="A284" s="378"/>
      <c r="B284" s="303"/>
      <c r="C284" s="303"/>
      <c r="D284" s="303"/>
      <c r="E284" s="303"/>
      <c r="F284" s="303"/>
      <c r="G284" s="303"/>
      <c r="H284" s="303"/>
      <c r="I284" s="303"/>
      <c r="J284" s="303"/>
      <c r="K284" s="303"/>
      <c r="L284" s="379"/>
      <c r="M284" s="377" t="s">
        <v>63</v>
      </c>
      <c r="N284" s="331"/>
      <c r="O284" s="331"/>
      <c r="P284" s="331"/>
      <c r="Q284" s="331"/>
      <c r="R284" s="331"/>
      <c r="S284" s="332"/>
      <c r="T284" s="38" t="s">
        <v>64</v>
      </c>
      <c r="U284" s="297">
        <f>IFERROR(U283/H283,"0")</f>
        <v>0</v>
      </c>
      <c r="V284" s="297">
        <f>IFERROR(V283/H283,"0")</f>
        <v>0</v>
      </c>
      <c r="W284" s="297">
        <f>IFERROR(IF(W283="",0,W283),"0")</f>
        <v>0</v>
      </c>
      <c r="X284" s="298"/>
      <c r="Y284" s="298"/>
    </row>
    <row r="285" spans="1:29" x14ac:dyDescent="0.2">
      <c r="A285" s="303"/>
      <c r="B285" s="303"/>
      <c r="C285" s="303"/>
      <c r="D285" s="303"/>
      <c r="E285" s="303"/>
      <c r="F285" s="303"/>
      <c r="G285" s="303"/>
      <c r="H285" s="303"/>
      <c r="I285" s="303"/>
      <c r="J285" s="303"/>
      <c r="K285" s="303"/>
      <c r="L285" s="379"/>
      <c r="M285" s="377" t="s">
        <v>63</v>
      </c>
      <c r="N285" s="331"/>
      <c r="O285" s="331"/>
      <c r="P285" s="331"/>
      <c r="Q285" s="331"/>
      <c r="R285" s="331"/>
      <c r="S285" s="332"/>
      <c r="T285" s="38" t="s">
        <v>62</v>
      </c>
      <c r="U285" s="297">
        <f>IFERROR(SUM(U283:U283),"0")</f>
        <v>0</v>
      </c>
      <c r="V285" s="297">
        <f>IFERROR(SUM(V283:V283),"0")</f>
        <v>0</v>
      </c>
      <c r="W285" s="38"/>
      <c r="X285" s="298"/>
      <c r="Y285" s="298"/>
    </row>
    <row r="286" spans="1:29" ht="14.25" customHeight="1" x14ac:dyDescent="0.25">
      <c r="A286" s="373" t="s">
        <v>65</v>
      </c>
      <c r="B286" s="303"/>
      <c r="C286" s="303"/>
      <c r="D286" s="303"/>
      <c r="E286" s="303"/>
      <c r="F286" s="303"/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  <c r="Q286" s="303"/>
      <c r="R286" s="303"/>
      <c r="S286" s="303"/>
      <c r="T286" s="303"/>
      <c r="U286" s="303"/>
      <c r="V286" s="303"/>
      <c r="W286" s="303"/>
      <c r="X286" s="290"/>
      <c r="Y286" s="290"/>
    </row>
    <row r="287" spans="1:29" ht="27" customHeight="1" x14ac:dyDescent="0.25">
      <c r="A287" s="55" t="s">
        <v>457</v>
      </c>
      <c r="B287" s="55" t="s">
        <v>458</v>
      </c>
      <c r="C287" s="32">
        <v>4301051298</v>
      </c>
      <c r="D287" s="374">
        <v>4607091384260</v>
      </c>
      <c r="E287" s="319"/>
      <c r="F287" s="294">
        <v>1.3</v>
      </c>
      <c r="G287" s="33">
        <v>6</v>
      </c>
      <c r="H287" s="294">
        <v>7.8</v>
      </c>
      <c r="I287" s="294">
        <v>8.3640000000000008</v>
      </c>
      <c r="J287" s="33">
        <v>56</v>
      </c>
      <c r="K287" s="34" t="s">
        <v>60</v>
      </c>
      <c r="L287" s="33">
        <v>35</v>
      </c>
      <c r="M287" s="54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7" s="376"/>
      <c r="O287" s="376"/>
      <c r="P287" s="376"/>
      <c r="Q287" s="319"/>
      <c r="R287" s="35"/>
      <c r="S287" s="35"/>
      <c r="T287" s="36" t="s">
        <v>62</v>
      </c>
      <c r="U287" s="295">
        <v>0</v>
      </c>
      <c r="V287" s="296">
        <f>IFERROR(IF(U287="",0,CEILING((U287/$H287),1)*$H287),"")</f>
        <v>0</v>
      </c>
      <c r="W287" s="37" t="str">
        <f>IFERROR(IF(V287=0,"",ROUNDUP(V287/H287,0)*0.02175),"")</f>
        <v/>
      </c>
      <c r="X287" s="57"/>
      <c r="Y287" s="58"/>
      <c r="AC287" s="222" t="s">
        <v>1</v>
      </c>
    </row>
    <row r="288" spans="1:29" x14ac:dyDescent="0.2">
      <c r="A288" s="378"/>
      <c r="B288" s="303"/>
      <c r="C288" s="303"/>
      <c r="D288" s="303"/>
      <c r="E288" s="303"/>
      <c r="F288" s="303"/>
      <c r="G288" s="303"/>
      <c r="H288" s="303"/>
      <c r="I288" s="303"/>
      <c r="J288" s="303"/>
      <c r="K288" s="303"/>
      <c r="L288" s="379"/>
      <c r="M288" s="377" t="s">
        <v>63</v>
      </c>
      <c r="N288" s="331"/>
      <c r="O288" s="331"/>
      <c r="P288" s="331"/>
      <c r="Q288" s="331"/>
      <c r="R288" s="331"/>
      <c r="S288" s="332"/>
      <c r="T288" s="38" t="s">
        <v>64</v>
      </c>
      <c r="U288" s="297">
        <f>IFERROR(U287/H287,"0")</f>
        <v>0</v>
      </c>
      <c r="V288" s="297">
        <f>IFERROR(V287/H287,"0")</f>
        <v>0</v>
      </c>
      <c r="W288" s="297">
        <f>IFERROR(IF(W287="",0,W287),"0")</f>
        <v>0</v>
      </c>
      <c r="X288" s="298"/>
      <c r="Y288" s="298"/>
    </row>
    <row r="289" spans="1:29" x14ac:dyDescent="0.2">
      <c r="A289" s="303"/>
      <c r="B289" s="303"/>
      <c r="C289" s="303"/>
      <c r="D289" s="303"/>
      <c r="E289" s="303"/>
      <c r="F289" s="303"/>
      <c r="G289" s="303"/>
      <c r="H289" s="303"/>
      <c r="I289" s="303"/>
      <c r="J289" s="303"/>
      <c r="K289" s="303"/>
      <c r="L289" s="379"/>
      <c r="M289" s="377" t="s">
        <v>63</v>
      </c>
      <c r="N289" s="331"/>
      <c r="O289" s="331"/>
      <c r="P289" s="331"/>
      <c r="Q289" s="331"/>
      <c r="R289" s="331"/>
      <c r="S289" s="332"/>
      <c r="T289" s="38" t="s">
        <v>62</v>
      </c>
      <c r="U289" s="297">
        <f>IFERROR(SUM(U287:U287),"0")</f>
        <v>0</v>
      </c>
      <c r="V289" s="297">
        <f>IFERROR(SUM(V287:V287),"0")</f>
        <v>0</v>
      </c>
      <c r="W289" s="38"/>
      <c r="X289" s="298"/>
      <c r="Y289" s="298"/>
    </row>
    <row r="290" spans="1:29" ht="14.25" customHeight="1" x14ac:dyDescent="0.25">
      <c r="A290" s="373" t="s">
        <v>196</v>
      </c>
      <c r="B290" s="303"/>
      <c r="C290" s="303"/>
      <c r="D290" s="303"/>
      <c r="E290" s="303"/>
      <c r="F290" s="303"/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V290" s="303"/>
      <c r="W290" s="303"/>
      <c r="X290" s="290"/>
      <c r="Y290" s="290"/>
    </row>
    <row r="291" spans="1:29" ht="16.5" customHeight="1" x14ac:dyDescent="0.25">
      <c r="A291" s="55" t="s">
        <v>459</v>
      </c>
      <c r="B291" s="55" t="s">
        <v>460</v>
      </c>
      <c r="C291" s="32">
        <v>4301060314</v>
      </c>
      <c r="D291" s="374">
        <v>4607091384673</v>
      </c>
      <c r="E291" s="319"/>
      <c r="F291" s="294">
        <v>1.3</v>
      </c>
      <c r="G291" s="33">
        <v>6</v>
      </c>
      <c r="H291" s="294">
        <v>7.8</v>
      </c>
      <c r="I291" s="294">
        <v>8.3640000000000008</v>
      </c>
      <c r="J291" s="33">
        <v>56</v>
      </c>
      <c r="K291" s="34" t="s">
        <v>60</v>
      </c>
      <c r="L291" s="33">
        <v>30</v>
      </c>
      <c r="M291" s="54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1" s="376"/>
      <c r="O291" s="376"/>
      <c r="P291" s="376"/>
      <c r="Q291" s="319"/>
      <c r="R291" s="35"/>
      <c r="S291" s="35"/>
      <c r="T291" s="36" t="s">
        <v>62</v>
      </c>
      <c r="U291" s="295">
        <v>250</v>
      </c>
      <c r="V291" s="296">
        <f>IFERROR(IF(U291="",0,CEILING((U291/$H291),1)*$H291),"")</f>
        <v>257.39999999999998</v>
      </c>
      <c r="W291" s="37">
        <f>IFERROR(IF(V291=0,"",ROUNDUP(V291/H291,0)*0.02175),"")</f>
        <v>0.71775</v>
      </c>
      <c r="X291" s="57"/>
      <c r="Y291" s="58"/>
      <c r="AC291" s="223" t="s">
        <v>1</v>
      </c>
    </row>
    <row r="292" spans="1:29" x14ac:dyDescent="0.2">
      <c r="A292" s="378"/>
      <c r="B292" s="303"/>
      <c r="C292" s="303"/>
      <c r="D292" s="303"/>
      <c r="E292" s="303"/>
      <c r="F292" s="303"/>
      <c r="G292" s="303"/>
      <c r="H292" s="303"/>
      <c r="I292" s="303"/>
      <c r="J292" s="303"/>
      <c r="K292" s="303"/>
      <c r="L292" s="379"/>
      <c r="M292" s="377" t="s">
        <v>63</v>
      </c>
      <c r="N292" s="331"/>
      <c r="O292" s="331"/>
      <c r="P292" s="331"/>
      <c r="Q292" s="331"/>
      <c r="R292" s="331"/>
      <c r="S292" s="332"/>
      <c r="T292" s="38" t="s">
        <v>64</v>
      </c>
      <c r="U292" s="297">
        <f>IFERROR(U291/H291,"0")</f>
        <v>32.051282051282051</v>
      </c>
      <c r="V292" s="297">
        <f>IFERROR(V291/H291,"0")</f>
        <v>33</v>
      </c>
      <c r="W292" s="297">
        <f>IFERROR(IF(W291="",0,W291),"0")</f>
        <v>0.71775</v>
      </c>
      <c r="X292" s="298"/>
      <c r="Y292" s="298"/>
    </row>
    <row r="293" spans="1:29" x14ac:dyDescent="0.2">
      <c r="A293" s="303"/>
      <c r="B293" s="303"/>
      <c r="C293" s="303"/>
      <c r="D293" s="303"/>
      <c r="E293" s="303"/>
      <c r="F293" s="303"/>
      <c r="G293" s="303"/>
      <c r="H293" s="303"/>
      <c r="I293" s="303"/>
      <c r="J293" s="303"/>
      <c r="K293" s="303"/>
      <c r="L293" s="379"/>
      <c r="M293" s="377" t="s">
        <v>63</v>
      </c>
      <c r="N293" s="331"/>
      <c r="O293" s="331"/>
      <c r="P293" s="331"/>
      <c r="Q293" s="331"/>
      <c r="R293" s="331"/>
      <c r="S293" s="332"/>
      <c r="T293" s="38" t="s">
        <v>62</v>
      </c>
      <c r="U293" s="297">
        <f>IFERROR(SUM(U291:U291),"0")</f>
        <v>250</v>
      </c>
      <c r="V293" s="297">
        <f>IFERROR(SUM(V291:V291),"0")</f>
        <v>257.39999999999998</v>
      </c>
      <c r="W293" s="38"/>
      <c r="X293" s="298"/>
      <c r="Y293" s="298"/>
    </row>
    <row r="294" spans="1:29" ht="16.5" customHeight="1" x14ac:dyDescent="0.25">
      <c r="A294" s="372" t="s">
        <v>461</v>
      </c>
      <c r="B294" s="303"/>
      <c r="C294" s="303"/>
      <c r="D294" s="303"/>
      <c r="E294" s="303"/>
      <c r="F294" s="303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  <c r="Q294" s="303"/>
      <c r="R294" s="303"/>
      <c r="S294" s="303"/>
      <c r="T294" s="303"/>
      <c r="U294" s="303"/>
      <c r="V294" s="303"/>
      <c r="W294" s="303"/>
      <c r="X294" s="291"/>
      <c r="Y294" s="291"/>
    </row>
    <row r="295" spans="1:29" ht="14.25" customHeight="1" x14ac:dyDescent="0.25">
      <c r="A295" s="373" t="s">
        <v>103</v>
      </c>
      <c r="B295" s="303"/>
      <c r="C295" s="303"/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290"/>
      <c r="Y295" s="290"/>
    </row>
    <row r="296" spans="1:29" ht="27" customHeight="1" x14ac:dyDescent="0.25">
      <c r="A296" s="55" t="s">
        <v>462</v>
      </c>
      <c r="B296" s="55" t="s">
        <v>463</v>
      </c>
      <c r="C296" s="32">
        <v>4301011324</v>
      </c>
      <c r="D296" s="374">
        <v>4607091384185</v>
      </c>
      <c r="E296" s="319"/>
      <c r="F296" s="294">
        <v>0.8</v>
      </c>
      <c r="G296" s="33">
        <v>15</v>
      </c>
      <c r="H296" s="294">
        <v>12</v>
      </c>
      <c r="I296" s="294">
        <v>12.48</v>
      </c>
      <c r="J296" s="33">
        <v>56</v>
      </c>
      <c r="K296" s="34" t="s">
        <v>60</v>
      </c>
      <c r="L296" s="33">
        <v>60</v>
      </c>
      <c r="M296" s="54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6" s="376"/>
      <c r="O296" s="376"/>
      <c r="P296" s="376"/>
      <c r="Q296" s="319"/>
      <c r="R296" s="35"/>
      <c r="S296" s="35"/>
      <c r="T296" s="36" t="s">
        <v>62</v>
      </c>
      <c r="U296" s="295">
        <v>0</v>
      </c>
      <c r="V296" s="296">
        <f>IFERROR(IF(U296="",0,CEILING((U296/$H296),1)*$H296),"")</f>
        <v>0</v>
      </c>
      <c r="W296" s="37" t="str">
        <f>IFERROR(IF(V296=0,"",ROUNDUP(V296/H296,0)*0.02175),"")</f>
        <v/>
      </c>
      <c r="X296" s="57"/>
      <c r="Y296" s="58"/>
      <c r="AC296" s="224" t="s">
        <v>1</v>
      </c>
    </row>
    <row r="297" spans="1:29" ht="27" customHeight="1" x14ac:dyDescent="0.25">
      <c r="A297" s="55" t="s">
        <v>464</v>
      </c>
      <c r="B297" s="55" t="s">
        <v>465</v>
      </c>
      <c r="C297" s="32">
        <v>4301011312</v>
      </c>
      <c r="D297" s="374">
        <v>4607091384192</v>
      </c>
      <c r="E297" s="319"/>
      <c r="F297" s="294">
        <v>1.8</v>
      </c>
      <c r="G297" s="33">
        <v>6</v>
      </c>
      <c r="H297" s="294">
        <v>10.8</v>
      </c>
      <c r="I297" s="294">
        <v>11.28</v>
      </c>
      <c r="J297" s="33">
        <v>56</v>
      </c>
      <c r="K297" s="34" t="s">
        <v>99</v>
      </c>
      <c r="L297" s="33">
        <v>60</v>
      </c>
      <c r="M297" s="54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7" s="376"/>
      <c r="O297" s="376"/>
      <c r="P297" s="376"/>
      <c r="Q297" s="319"/>
      <c r="R297" s="35"/>
      <c r="S297" s="35"/>
      <c r="T297" s="36" t="s">
        <v>62</v>
      </c>
      <c r="U297" s="295">
        <v>0</v>
      </c>
      <c r="V297" s="296">
        <f>IFERROR(IF(U297="",0,CEILING((U297/$H297),1)*$H297),"")</f>
        <v>0</v>
      </c>
      <c r="W297" s="37" t="str">
        <f>IFERROR(IF(V297=0,"",ROUNDUP(V297/H297,0)*0.02175),"")</f>
        <v/>
      </c>
      <c r="X297" s="57"/>
      <c r="Y297" s="58"/>
      <c r="AC297" s="225" t="s">
        <v>1</v>
      </c>
    </row>
    <row r="298" spans="1:29" ht="27" customHeight="1" x14ac:dyDescent="0.25">
      <c r="A298" s="55" t="s">
        <v>466</v>
      </c>
      <c r="B298" s="55" t="s">
        <v>467</v>
      </c>
      <c r="C298" s="32">
        <v>4301011483</v>
      </c>
      <c r="D298" s="374">
        <v>4680115881907</v>
      </c>
      <c r="E298" s="319"/>
      <c r="F298" s="294">
        <v>1.8</v>
      </c>
      <c r="G298" s="33">
        <v>6</v>
      </c>
      <c r="H298" s="294">
        <v>10.8</v>
      </c>
      <c r="I298" s="294">
        <v>11.28</v>
      </c>
      <c r="J298" s="33">
        <v>56</v>
      </c>
      <c r="K298" s="34" t="s">
        <v>60</v>
      </c>
      <c r="L298" s="33">
        <v>60</v>
      </c>
      <c r="M298" s="546" t="s">
        <v>468</v>
      </c>
      <c r="N298" s="376"/>
      <c r="O298" s="376"/>
      <c r="P298" s="376"/>
      <c r="Q298" s="319"/>
      <c r="R298" s="35"/>
      <c r="S298" s="35"/>
      <c r="T298" s="36" t="s">
        <v>62</v>
      </c>
      <c r="U298" s="295">
        <v>0</v>
      </c>
      <c r="V298" s="296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469</v>
      </c>
      <c r="B299" s="55" t="s">
        <v>470</v>
      </c>
      <c r="C299" s="32">
        <v>4301011303</v>
      </c>
      <c r="D299" s="374">
        <v>4607091384680</v>
      </c>
      <c r="E299" s="319"/>
      <c r="F299" s="294">
        <v>0.4</v>
      </c>
      <c r="G299" s="33">
        <v>10</v>
      </c>
      <c r="H299" s="294">
        <v>4</v>
      </c>
      <c r="I299" s="294">
        <v>4.21</v>
      </c>
      <c r="J299" s="33">
        <v>120</v>
      </c>
      <c r="K299" s="34" t="s">
        <v>60</v>
      </c>
      <c r="L299" s="33">
        <v>60</v>
      </c>
      <c r="M299" s="54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299" s="376"/>
      <c r="O299" s="376"/>
      <c r="P299" s="376"/>
      <c r="Q299" s="319"/>
      <c r="R299" s="35"/>
      <c r="S299" s="35"/>
      <c r="T299" s="36" t="s">
        <v>62</v>
      </c>
      <c r="U299" s="295">
        <v>0</v>
      </c>
      <c r="V299" s="296">
        <f>IFERROR(IF(U299="",0,CEILING((U299/$H299),1)*$H299),"")</f>
        <v>0</v>
      </c>
      <c r="W299" s="37" t="str">
        <f>IFERROR(IF(V299=0,"",ROUNDUP(V299/H299,0)*0.00937),"")</f>
        <v/>
      </c>
      <c r="X299" s="57"/>
      <c r="Y299" s="58"/>
      <c r="AC299" s="227" t="s">
        <v>1</v>
      </c>
    </row>
    <row r="300" spans="1:29" x14ac:dyDescent="0.2">
      <c r="A300" s="378"/>
      <c r="B300" s="303"/>
      <c r="C300" s="303"/>
      <c r="D300" s="303"/>
      <c r="E300" s="303"/>
      <c r="F300" s="303"/>
      <c r="G300" s="303"/>
      <c r="H300" s="303"/>
      <c r="I300" s="303"/>
      <c r="J300" s="303"/>
      <c r="K300" s="303"/>
      <c r="L300" s="379"/>
      <c r="M300" s="377" t="s">
        <v>63</v>
      </c>
      <c r="N300" s="331"/>
      <c r="O300" s="331"/>
      <c r="P300" s="331"/>
      <c r="Q300" s="331"/>
      <c r="R300" s="331"/>
      <c r="S300" s="332"/>
      <c r="T300" s="38" t="s">
        <v>64</v>
      </c>
      <c r="U300" s="297">
        <f>IFERROR(U296/H296,"0")+IFERROR(U297/H297,"0")+IFERROR(U298/H298,"0")+IFERROR(U299/H299,"0")</f>
        <v>0</v>
      </c>
      <c r="V300" s="297">
        <f>IFERROR(V296/H296,"0")+IFERROR(V297/H297,"0")+IFERROR(V298/H298,"0")+IFERROR(V299/H299,"0")</f>
        <v>0</v>
      </c>
      <c r="W300" s="297">
        <f>IFERROR(IF(W296="",0,W296),"0")+IFERROR(IF(W297="",0,W297),"0")+IFERROR(IF(W298="",0,W298),"0")+IFERROR(IF(W299="",0,W299),"0")</f>
        <v>0</v>
      </c>
      <c r="X300" s="298"/>
      <c r="Y300" s="298"/>
    </row>
    <row r="301" spans="1:29" x14ac:dyDescent="0.2">
      <c r="A301" s="303"/>
      <c r="B301" s="303"/>
      <c r="C301" s="303"/>
      <c r="D301" s="303"/>
      <c r="E301" s="303"/>
      <c r="F301" s="303"/>
      <c r="G301" s="303"/>
      <c r="H301" s="303"/>
      <c r="I301" s="303"/>
      <c r="J301" s="303"/>
      <c r="K301" s="303"/>
      <c r="L301" s="379"/>
      <c r="M301" s="377" t="s">
        <v>63</v>
      </c>
      <c r="N301" s="331"/>
      <c r="O301" s="331"/>
      <c r="P301" s="331"/>
      <c r="Q301" s="331"/>
      <c r="R301" s="331"/>
      <c r="S301" s="332"/>
      <c r="T301" s="38" t="s">
        <v>62</v>
      </c>
      <c r="U301" s="297">
        <f>IFERROR(SUM(U296:U299),"0")</f>
        <v>0</v>
      </c>
      <c r="V301" s="297">
        <f>IFERROR(SUM(V296:V299),"0")</f>
        <v>0</v>
      </c>
      <c r="W301" s="38"/>
      <c r="X301" s="298"/>
      <c r="Y301" s="298"/>
    </row>
    <row r="302" spans="1:29" ht="14.25" customHeight="1" x14ac:dyDescent="0.25">
      <c r="A302" s="373" t="s">
        <v>57</v>
      </c>
      <c r="B302" s="303"/>
      <c r="C302" s="303"/>
      <c r="D302" s="303"/>
      <c r="E302" s="303"/>
      <c r="F302" s="303"/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V302" s="303"/>
      <c r="W302" s="303"/>
      <c r="X302" s="290"/>
      <c r="Y302" s="290"/>
    </row>
    <row r="303" spans="1:29" ht="27" customHeight="1" x14ac:dyDescent="0.25">
      <c r="A303" s="55" t="s">
        <v>471</v>
      </c>
      <c r="B303" s="55" t="s">
        <v>472</v>
      </c>
      <c r="C303" s="32">
        <v>4301031139</v>
      </c>
      <c r="D303" s="374">
        <v>4607091384802</v>
      </c>
      <c r="E303" s="319"/>
      <c r="F303" s="294">
        <v>0.73</v>
      </c>
      <c r="G303" s="33">
        <v>6</v>
      </c>
      <c r="H303" s="294">
        <v>4.38</v>
      </c>
      <c r="I303" s="294">
        <v>4.58</v>
      </c>
      <c r="J303" s="33">
        <v>156</v>
      </c>
      <c r="K303" s="34" t="s">
        <v>60</v>
      </c>
      <c r="L303" s="33">
        <v>35</v>
      </c>
      <c r="M303" s="54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3" s="376"/>
      <c r="O303" s="376"/>
      <c r="P303" s="376"/>
      <c r="Q303" s="319"/>
      <c r="R303" s="35"/>
      <c r="S303" s="35"/>
      <c r="T303" s="36" t="s">
        <v>62</v>
      </c>
      <c r="U303" s="295">
        <v>0</v>
      </c>
      <c r="V303" s="296">
        <f>IFERROR(IF(U303="",0,CEILING((U303/$H303),1)*$H303),"")</f>
        <v>0</v>
      </c>
      <c r="W303" s="37" t="str">
        <f>IFERROR(IF(V303=0,"",ROUNDUP(V303/H303,0)*0.00753),"")</f>
        <v/>
      </c>
      <c r="X303" s="57"/>
      <c r="Y303" s="58"/>
      <c r="AC303" s="228" t="s">
        <v>1</v>
      </c>
    </row>
    <row r="304" spans="1:29" ht="27" customHeight="1" x14ac:dyDescent="0.25">
      <c r="A304" s="55" t="s">
        <v>473</v>
      </c>
      <c r="B304" s="55" t="s">
        <v>474</v>
      </c>
      <c r="C304" s="32">
        <v>4301031140</v>
      </c>
      <c r="D304" s="374">
        <v>4607091384826</v>
      </c>
      <c r="E304" s="319"/>
      <c r="F304" s="294">
        <v>0.35</v>
      </c>
      <c r="G304" s="33">
        <v>8</v>
      </c>
      <c r="H304" s="294">
        <v>2.8</v>
      </c>
      <c r="I304" s="294">
        <v>2.9</v>
      </c>
      <c r="J304" s="33">
        <v>234</v>
      </c>
      <c r="K304" s="34" t="s">
        <v>60</v>
      </c>
      <c r="L304" s="33">
        <v>35</v>
      </c>
      <c r="M304" s="54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4" s="376"/>
      <c r="O304" s="376"/>
      <c r="P304" s="376"/>
      <c r="Q304" s="319"/>
      <c r="R304" s="35"/>
      <c r="S304" s="35"/>
      <c r="T304" s="36" t="s">
        <v>62</v>
      </c>
      <c r="U304" s="295">
        <v>0</v>
      </c>
      <c r="V304" s="296">
        <f>IFERROR(IF(U304="",0,CEILING((U304/$H304),1)*$H304),"")</f>
        <v>0</v>
      </c>
      <c r="W304" s="37" t="str">
        <f>IFERROR(IF(V304=0,"",ROUNDUP(V304/H304,0)*0.00502),"")</f>
        <v/>
      </c>
      <c r="X304" s="57"/>
      <c r="Y304" s="58"/>
      <c r="AC304" s="229" t="s">
        <v>1</v>
      </c>
    </row>
    <row r="305" spans="1:29" x14ac:dyDescent="0.2">
      <c r="A305" s="378"/>
      <c r="B305" s="303"/>
      <c r="C305" s="303"/>
      <c r="D305" s="303"/>
      <c r="E305" s="303"/>
      <c r="F305" s="303"/>
      <c r="G305" s="303"/>
      <c r="H305" s="303"/>
      <c r="I305" s="303"/>
      <c r="J305" s="303"/>
      <c r="K305" s="303"/>
      <c r="L305" s="379"/>
      <c r="M305" s="377" t="s">
        <v>63</v>
      </c>
      <c r="N305" s="331"/>
      <c r="O305" s="331"/>
      <c r="P305" s="331"/>
      <c r="Q305" s="331"/>
      <c r="R305" s="331"/>
      <c r="S305" s="332"/>
      <c r="T305" s="38" t="s">
        <v>64</v>
      </c>
      <c r="U305" s="297">
        <f>IFERROR(U303/H303,"0")+IFERROR(U304/H304,"0")</f>
        <v>0</v>
      </c>
      <c r="V305" s="297">
        <f>IFERROR(V303/H303,"0")+IFERROR(V304/H304,"0")</f>
        <v>0</v>
      </c>
      <c r="W305" s="297">
        <f>IFERROR(IF(W303="",0,W303),"0")+IFERROR(IF(W304="",0,W304),"0")</f>
        <v>0</v>
      </c>
      <c r="X305" s="298"/>
      <c r="Y305" s="298"/>
    </row>
    <row r="306" spans="1:29" x14ac:dyDescent="0.2">
      <c r="A306" s="303"/>
      <c r="B306" s="303"/>
      <c r="C306" s="303"/>
      <c r="D306" s="303"/>
      <c r="E306" s="303"/>
      <c r="F306" s="303"/>
      <c r="G306" s="303"/>
      <c r="H306" s="303"/>
      <c r="I306" s="303"/>
      <c r="J306" s="303"/>
      <c r="K306" s="303"/>
      <c r="L306" s="379"/>
      <c r="M306" s="377" t="s">
        <v>63</v>
      </c>
      <c r="N306" s="331"/>
      <c r="O306" s="331"/>
      <c r="P306" s="331"/>
      <c r="Q306" s="331"/>
      <c r="R306" s="331"/>
      <c r="S306" s="332"/>
      <c r="T306" s="38" t="s">
        <v>62</v>
      </c>
      <c r="U306" s="297">
        <f>IFERROR(SUM(U303:U304),"0")</f>
        <v>0</v>
      </c>
      <c r="V306" s="297">
        <f>IFERROR(SUM(V303:V304),"0")</f>
        <v>0</v>
      </c>
      <c r="W306" s="38"/>
      <c r="X306" s="298"/>
      <c r="Y306" s="298"/>
    </row>
    <row r="307" spans="1:29" ht="14.25" customHeight="1" x14ac:dyDescent="0.25">
      <c r="A307" s="373" t="s">
        <v>65</v>
      </c>
      <c r="B307" s="303"/>
      <c r="C307" s="303"/>
      <c r="D307" s="303"/>
      <c r="E307" s="303"/>
      <c r="F307" s="303"/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  <c r="Q307" s="303"/>
      <c r="R307" s="303"/>
      <c r="S307" s="303"/>
      <c r="T307" s="303"/>
      <c r="U307" s="303"/>
      <c r="V307" s="303"/>
      <c r="W307" s="303"/>
      <c r="X307" s="290"/>
      <c r="Y307" s="290"/>
    </row>
    <row r="308" spans="1:29" ht="27" customHeight="1" x14ac:dyDescent="0.25">
      <c r="A308" s="55" t="s">
        <v>475</v>
      </c>
      <c r="B308" s="55" t="s">
        <v>476</v>
      </c>
      <c r="C308" s="32">
        <v>4301051303</v>
      </c>
      <c r="D308" s="374">
        <v>4607091384246</v>
      </c>
      <c r="E308" s="319"/>
      <c r="F308" s="294">
        <v>1.3</v>
      </c>
      <c r="G308" s="33">
        <v>6</v>
      </c>
      <c r="H308" s="294">
        <v>7.8</v>
      </c>
      <c r="I308" s="294">
        <v>8.3640000000000008</v>
      </c>
      <c r="J308" s="33">
        <v>56</v>
      </c>
      <c r="K308" s="34" t="s">
        <v>60</v>
      </c>
      <c r="L308" s="33">
        <v>40</v>
      </c>
      <c r="M308" s="55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8" s="376"/>
      <c r="O308" s="376"/>
      <c r="P308" s="376"/>
      <c r="Q308" s="319"/>
      <c r="R308" s="35"/>
      <c r="S308" s="35"/>
      <c r="T308" s="36" t="s">
        <v>62</v>
      </c>
      <c r="U308" s="295">
        <v>0</v>
      </c>
      <c r="V308" s="296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230" t="s">
        <v>1</v>
      </c>
    </row>
    <row r="309" spans="1:29" ht="27" customHeight="1" x14ac:dyDescent="0.25">
      <c r="A309" s="55" t="s">
        <v>477</v>
      </c>
      <c r="B309" s="55" t="s">
        <v>478</v>
      </c>
      <c r="C309" s="32">
        <v>4301051445</v>
      </c>
      <c r="D309" s="374">
        <v>4680115881976</v>
      </c>
      <c r="E309" s="319"/>
      <c r="F309" s="294">
        <v>1.3</v>
      </c>
      <c r="G309" s="33">
        <v>6</v>
      </c>
      <c r="H309" s="294">
        <v>7.8</v>
      </c>
      <c r="I309" s="294">
        <v>8.2799999999999994</v>
      </c>
      <c r="J309" s="33">
        <v>56</v>
      </c>
      <c r="K309" s="34" t="s">
        <v>60</v>
      </c>
      <c r="L309" s="33">
        <v>40</v>
      </c>
      <c r="M309" s="551" t="s">
        <v>479</v>
      </c>
      <c r="N309" s="376"/>
      <c r="O309" s="376"/>
      <c r="P309" s="376"/>
      <c r="Q309" s="319"/>
      <c r="R309" s="35"/>
      <c r="S309" s="35"/>
      <c r="T309" s="36" t="s">
        <v>62</v>
      </c>
      <c r="U309" s="295">
        <v>0</v>
      </c>
      <c r="V309" s="296">
        <f>IFERROR(IF(U309="",0,CEILING((U309/$H309),1)*$H309),"")</f>
        <v>0</v>
      </c>
      <c r="W309" s="37" t="str">
        <f>IFERROR(IF(V309=0,"",ROUNDUP(V309/H309,0)*0.02175),"")</f>
        <v/>
      </c>
      <c r="X309" s="57"/>
      <c r="Y309" s="58"/>
      <c r="AC309" s="231" t="s">
        <v>1</v>
      </c>
    </row>
    <row r="310" spans="1:29" ht="27" customHeight="1" x14ac:dyDescent="0.25">
      <c r="A310" s="55" t="s">
        <v>480</v>
      </c>
      <c r="B310" s="55" t="s">
        <v>481</v>
      </c>
      <c r="C310" s="32">
        <v>4301051297</v>
      </c>
      <c r="D310" s="374">
        <v>4607091384253</v>
      </c>
      <c r="E310" s="319"/>
      <c r="F310" s="294">
        <v>0.4</v>
      </c>
      <c r="G310" s="33">
        <v>6</v>
      </c>
      <c r="H310" s="294">
        <v>2.4</v>
      </c>
      <c r="I310" s="294">
        <v>2.6840000000000002</v>
      </c>
      <c r="J310" s="33">
        <v>156</v>
      </c>
      <c r="K310" s="34" t="s">
        <v>60</v>
      </c>
      <c r="L310" s="33">
        <v>40</v>
      </c>
      <c r="M310" s="55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0" s="376"/>
      <c r="O310" s="376"/>
      <c r="P310" s="376"/>
      <c r="Q310" s="319"/>
      <c r="R310" s="35"/>
      <c r="S310" s="35"/>
      <c r="T310" s="36" t="s">
        <v>62</v>
      </c>
      <c r="U310" s="295">
        <v>0</v>
      </c>
      <c r="V310" s="296">
        <f>IFERROR(IF(U310="",0,CEILING((U310/$H310),1)*$H310),"")</f>
        <v>0</v>
      </c>
      <c r="W310" s="37" t="str">
        <f>IFERROR(IF(V310=0,"",ROUNDUP(V310/H310,0)*0.00753),"")</f>
        <v/>
      </c>
      <c r="X310" s="57"/>
      <c r="Y310" s="58"/>
      <c r="AC310" s="232" t="s">
        <v>1</v>
      </c>
    </row>
    <row r="311" spans="1:29" ht="27" customHeight="1" x14ac:dyDescent="0.25">
      <c r="A311" s="55" t="s">
        <v>482</v>
      </c>
      <c r="B311" s="55" t="s">
        <v>483</v>
      </c>
      <c r="C311" s="32">
        <v>4301051444</v>
      </c>
      <c r="D311" s="374">
        <v>4680115881969</v>
      </c>
      <c r="E311" s="319"/>
      <c r="F311" s="294">
        <v>0.4</v>
      </c>
      <c r="G311" s="33">
        <v>6</v>
      </c>
      <c r="H311" s="294">
        <v>2.4</v>
      </c>
      <c r="I311" s="294">
        <v>2.6</v>
      </c>
      <c r="J311" s="33">
        <v>156</v>
      </c>
      <c r="K311" s="34" t="s">
        <v>60</v>
      </c>
      <c r="L311" s="33">
        <v>40</v>
      </c>
      <c r="M311" s="553" t="s">
        <v>484</v>
      </c>
      <c r="N311" s="376"/>
      <c r="O311" s="376"/>
      <c r="P311" s="376"/>
      <c r="Q311" s="319"/>
      <c r="R311" s="35"/>
      <c r="S311" s="35"/>
      <c r="T311" s="36" t="s">
        <v>62</v>
      </c>
      <c r="U311" s="295">
        <v>0</v>
      </c>
      <c r="V311" s="296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/>
      <c r="AC311" s="233" t="s">
        <v>1</v>
      </c>
    </row>
    <row r="312" spans="1:29" x14ac:dyDescent="0.2">
      <c r="A312" s="378"/>
      <c r="B312" s="303"/>
      <c r="C312" s="303"/>
      <c r="D312" s="303"/>
      <c r="E312" s="303"/>
      <c r="F312" s="303"/>
      <c r="G312" s="303"/>
      <c r="H312" s="303"/>
      <c r="I312" s="303"/>
      <c r="J312" s="303"/>
      <c r="K312" s="303"/>
      <c r="L312" s="379"/>
      <c r="M312" s="377" t="s">
        <v>63</v>
      </c>
      <c r="N312" s="331"/>
      <c r="O312" s="331"/>
      <c r="P312" s="331"/>
      <c r="Q312" s="331"/>
      <c r="R312" s="331"/>
      <c r="S312" s="332"/>
      <c r="T312" s="38" t="s">
        <v>64</v>
      </c>
      <c r="U312" s="297">
        <f>IFERROR(U308/H308,"0")+IFERROR(U309/H309,"0")+IFERROR(U310/H310,"0")+IFERROR(U311/H311,"0")</f>
        <v>0</v>
      </c>
      <c r="V312" s="297">
        <f>IFERROR(V308/H308,"0")+IFERROR(V309/H309,"0")+IFERROR(V310/H310,"0")+IFERROR(V311/H311,"0")</f>
        <v>0</v>
      </c>
      <c r="W312" s="297">
        <f>IFERROR(IF(W308="",0,W308),"0")+IFERROR(IF(W309="",0,W309),"0")+IFERROR(IF(W310="",0,W310),"0")+IFERROR(IF(W311="",0,W311),"0")</f>
        <v>0</v>
      </c>
      <c r="X312" s="298"/>
      <c r="Y312" s="298"/>
    </row>
    <row r="313" spans="1:29" x14ac:dyDescent="0.2">
      <c r="A313" s="303"/>
      <c r="B313" s="303"/>
      <c r="C313" s="303"/>
      <c r="D313" s="303"/>
      <c r="E313" s="303"/>
      <c r="F313" s="303"/>
      <c r="G313" s="303"/>
      <c r="H313" s="303"/>
      <c r="I313" s="303"/>
      <c r="J313" s="303"/>
      <c r="K313" s="303"/>
      <c r="L313" s="379"/>
      <c r="M313" s="377" t="s">
        <v>63</v>
      </c>
      <c r="N313" s="331"/>
      <c r="O313" s="331"/>
      <c r="P313" s="331"/>
      <c r="Q313" s="331"/>
      <c r="R313" s="331"/>
      <c r="S313" s="332"/>
      <c r="T313" s="38" t="s">
        <v>62</v>
      </c>
      <c r="U313" s="297">
        <f>IFERROR(SUM(U308:U311),"0")</f>
        <v>0</v>
      </c>
      <c r="V313" s="297">
        <f>IFERROR(SUM(V308:V311),"0")</f>
        <v>0</v>
      </c>
      <c r="W313" s="38"/>
      <c r="X313" s="298"/>
      <c r="Y313" s="298"/>
    </row>
    <row r="314" spans="1:29" ht="14.25" customHeight="1" x14ac:dyDescent="0.25">
      <c r="A314" s="373" t="s">
        <v>196</v>
      </c>
      <c r="B314" s="303"/>
      <c r="C314" s="303"/>
      <c r="D314" s="303"/>
      <c r="E314" s="303"/>
      <c r="F314" s="303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V314" s="303"/>
      <c r="W314" s="303"/>
      <c r="X314" s="290"/>
      <c r="Y314" s="290"/>
    </row>
    <row r="315" spans="1:29" ht="27" customHeight="1" x14ac:dyDescent="0.25">
      <c r="A315" s="55" t="s">
        <v>485</v>
      </c>
      <c r="B315" s="55" t="s">
        <v>486</v>
      </c>
      <c r="C315" s="32">
        <v>4301060322</v>
      </c>
      <c r="D315" s="374">
        <v>4607091389357</v>
      </c>
      <c r="E315" s="319"/>
      <c r="F315" s="294">
        <v>1.3</v>
      </c>
      <c r="G315" s="33">
        <v>6</v>
      </c>
      <c r="H315" s="294">
        <v>7.8</v>
      </c>
      <c r="I315" s="294">
        <v>8.2799999999999994</v>
      </c>
      <c r="J315" s="33">
        <v>56</v>
      </c>
      <c r="K315" s="34" t="s">
        <v>60</v>
      </c>
      <c r="L315" s="33">
        <v>40</v>
      </c>
      <c r="M315" s="554" t="s">
        <v>487</v>
      </c>
      <c r="N315" s="376"/>
      <c r="O315" s="376"/>
      <c r="P315" s="376"/>
      <c r="Q315" s="319"/>
      <c r="R315" s="35"/>
      <c r="S315" s="35"/>
      <c r="T315" s="36" t="s">
        <v>62</v>
      </c>
      <c r="U315" s="295">
        <v>0</v>
      </c>
      <c r="V315" s="296">
        <f>IFERROR(IF(U315="",0,CEILING((U315/$H315),1)*$H315),"")</f>
        <v>0</v>
      </c>
      <c r="W315" s="37" t="str">
        <f>IFERROR(IF(V315=0,"",ROUNDUP(V315/H315,0)*0.02175),"")</f>
        <v/>
      </c>
      <c r="X315" s="57"/>
      <c r="Y315" s="58"/>
      <c r="AC315" s="234" t="s">
        <v>1</v>
      </c>
    </row>
    <row r="316" spans="1:29" x14ac:dyDescent="0.2">
      <c r="A316" s="378"/>
      <c r="B316" s="303"/>
      <c r="C316" s="303"/>
      <c r="D316" s="303"/>
      <c r="E316" s="303"/>
      <c r="F316" s="303"/>
      <c r="G316" s="303"/>
      <c r="H316" s="303"/>
      <c r="I316" s="303"/>
      <c r="J316" s="303"/>
      <c r="K316" s="303"/>
      <c r="L316" s="379"/>
      <c r="M316" s="377" t="s">
        <v>63</v>
      </c>
      <c r="N316" s="331"/>
      <c r="O316" s="331"/>
      <c r="P316" s="331"/>
      <c r="Q316" s="331"/>
      <c r="R316" s="331"/>
      <c r="S316" s="332"/>
      <c r="T316" s="38" t="s">
        <v>64</v>
      </c>
      <c r="U316" s="297">
        <f>IFERROR(U315/H315,"0")</f>
        <v>0</v>
      </c>
      <c r="V316" s="297">
        <f>IFERROR(V315/H315,"0")</f>
        <v>0</v>
      </c>
      <c r="W316" s="297">
        <f>IFERROR(IF(W315="",0,W315),"0")</f>
        <v>0</v>
      </c>
      <c r="X316" s="298"/>
      <c r="Y316" s="298"/>
    </row>
    <row r="317" spans="1:29" x14ac:dyDescent="0.2">
      <c r="A317" s="303"/>
      <c r="B317" s="303"/>
      <c r="C317" s="303"/>
      <c r="D317" s="303"/>
      <c r="E317" s="303"/>
      <c r="F317" s="303"/>
      <c r="G317" s="303"/>
      <c r="H317" s="303"/>
      <c r="I317" s="303"/>
      <c r="J317" s="303"/>
      <c r="K317" s="303"/>
      <c r="L317" s="379"/>
      <c r="M317" s="377" t="s">
        <v>63</v>
      </c>
      <c r="N317" s="331"/>
      <c r="O317" s="331"/>
      <c r="P317" s="331"/>
      <c r="Q317" s="331"/>
      <c r="R317" s="331"/>
      <c r="S317" s="332"/>
      <c r="T317" s="38" t="s">
        <v>62</v>
      </c>
      <c r="U317" s="297">
        <f>IFERROR(SUM(U315:U315),"0")</f>
        <v>0</v>
      </c>
      <c r="V317" s="297">
        <f>IFERROR(SUM(V315:V315),"0")</f>
        <v>0</v>
      </c>
      <c r="W317" s="38"/>
      <c r="X317" s="298"/>
      <c r="Y317" s="298"/>
    </row>
    <row r="318" spans="1:29" ht="27.75" customHeight="1" x14ac:dyDescent="0.2">
      <c r="A318" s="370" t="s">
        <v>488</v>
      </c>
      <c r="B318" s="371"/>
      <c r="C318" s="371"/>
      <c r="D318" s="371"/>
      <c r="E318" s="371"/>
      <c r="F318" s="371"/>
      <c r="G318" s="371"/>
      <c r="H318" s="371"/>
      <c r="I318" s="371"/>
      <c r="J318" s="371"/>
      <c r="K318" s="371"/>
      <c r="L318" s="371"/>
      <c r="M318" s="371"/>
      <c r="N318" s="371"/>
      <c r="O318" s="371"/>
      <c r="P318" s="371"/>
      <c r="Q318" s="371"/>
      <c r="R318" s="371"/>
      <c r="S318" s="371"/>
      <c r="T318" s="371"/>
      <c r="U318" s="371"/>
      <c r="V318" s="371"/>
      <c r="W318" s="371"/>
      <c r="X318" s="49"/>
      <c r="Y318" s="49"/>
    </row>
    <row r="319" spans="1:29" ht="16.5" customHeight="1" x14ac:dyDescent="0.25">
      <c r="A319" s="372" t="s">
        <v>489</v>
      </c>
      <c r="B319" s="303"/>
      <c r="C319" s="303"/>
      <c r="D319" s="303"/>
      <c r="E319" s="303"/>
      <c r="F319" s="303"/>
      <c r="G319" s="303"/>
      <c r="H319" s="303"/>
      <c r="I319" s="303"/>
      <c r="J319" s="303"/>
      <c r="K319" s="303"/>
      <c r="L319" s="303"/>
      <c r="M319" s="303"/>
      <c r="N319" s="303"/>
      <c r="O319" s="303"/>
      <c r="P319" s="303"/>
      <c r="Q319" s="303"/>
      <c r="R319" s="303"/>
      <c r="S319" s="303"/>
      <c r="T319" s="303"/>
      <c r="U319" s="303"/>
      <c r="V319" s="303"/>
      <c r="W319" s="303"/>
      <c r="X319" s="291"/>
      <c r="Y319" s="291"/>
    </row>
    <row r="320" spans="1:29" ht="14.25" customHeight="1" x14ac:dyDescent="0.25">
      <c r="A320" s="373" t="s">
        <v>103</v>
      </c>
      <c r="B320" s="303"/>
      <c r="C320" s="303"/>
      <c r="D320" s="303"/>
      <c r="E320" s="303"/>
      <c r="F320" s="303"/>
      <c r="G320" s="303"/>
      <c r="H320" s="303"/>
      <c r="I320" s="303"/>
      <c r="J320" s="303"/>
      <c r="K320" s="303"/>
      <c r="L320" s="303"/>
      <c r="M320" s="303"/>
      <c r="N320" s="303"/>
      <c r="O320" s="303"/>
      <c r="P320" s="303"/>
      <c r="Q320" s="303"/>
      <c r="R320" s="303"/>
      <c r="S320" s="303"/>
      <c r="T320" s="303"/>
      <c r="U320" s="303"/>
      <c r="V320" s="303"/>
      <c r="W320" s="303"/>
      <c r="X320" s="290"/>
      <c r="Y320" s="290"/>
    </row>
    <row r="321" spans="1:29" ht="27" customHeight="1" x14ac:dyDescent="0.25">
      <c r="A321" s="55" t="s">
        <v>490</v>
      </c>
      <c r="B321" s="55" t="s">
        <v>491</v>
      </c>
      <c r="C321" s="32">
        <v>4301011428</v>
      </c>
      <c r="D321" s="374">
        <v>4607091389708</v>
      </c>
      <c r="E321" s="319"/>
      <c r="F321" s="294">
        <v>0.45</v>
      </c>
      <c r="G321" s="33">
        <v>6</v>
      </c>
      <c r="H321" s="294">
        <v>2.7</v>
      </c>
      <c r="I321" s="294">
        <v>2.9</v>
      </c>
      <c r="J321" s="33">
        <v>156</v>
      </c>
      <c r="K321" s="34" t="s">
        <v>99</v>
      </c>
      <c r="L321" s="33">
        <v>50</v>
      </c>
      <c r="M321" s="55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1" s="376"/>
      <c r="O321" s="376"/>
      <c r="P321" s="376"/>
      <c r="Q321" s="319"/>
      <c r="R321" s="35"/>
      <c r="S321" s="35"/>
      <c r="T321" s="36" t="s">
        <v>62</v>
      </c>
      <c r="U321" s="295">
        <v>0</v>
      </c>
      <c r="V321" s="296">
        <f>IFERROR(IF(U321="",0,CEILING((U321/$H321),1)*$H321),"")</f>
        <v>0</v>
      </c>
      <c r="W321" s="37" t="str">
        <f>IFERROR(IF(V321=0,"",ROUNDUP(V321/H321,0)*0.00753),"")</f>
        <v/>
      </c>
      <c r="X321" s="57"/>
      <c r="Y321" s="58"/>
      <c r="AC321" s="235" t="s">
        <v>1</v>
      </c>
    </row>
    <row r="322" spans="1:29" ht="27" customHeight="1" x14ac:dyDescent="0.25">
      <c r="A322" s="55" t="s">
        <v>492</v>
      </c>
      <c r="B322" s="55" t="s">
        <v>493</v>
      </c>
      <c r="C322" s="32">
        <v>4301011427</v>
      </c>
      <c r="D322" s="374">
        <v>4607091389692</v>
      </c>
      <c r="E322" s="319"/>
      <c r="F322" s="294">
        <v>0.45</v>
      </c>
      <c r="G322" s="33">
        <v>6</v>
      </c>
      <c r="H322" s="294">
        <v>2.7</v>
      </c>
      <c r="I322" s="294">
        <v>2.9</v>
      </c>
      <c r="J322" s="33">
        <v>156</v>
      </c>
      <c r="K322" s="34" t="s">
        <v>99</v>
      </c>
      <c r="L322" s="33">
        <v>50</v>
      </c>
      <c r="M322" s="556" t="s">
        <v>494</v>
      </c>
      <c r="N322" s="376"/>
      <c r="O322" s="376"/>
      <c r="P322" s="376"/>
      <c r="Q322" s="319"/>
      <c r="R322" s="35"/>
      <c r="S322" s="35"/>
      <c r="T322" s="36" t="s">
        <v>62</v>
      </c>
      <c r="U322" s="295">
        <v>0</v>
      </c>
      <c r="V322" s="296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x14ac:dyDescent="0.2">
      <c r="A323" s="378"/>
      <c r="B323" s="303"/>
      <c r="C323" s="303"/>
      <c r="D323" s="303"/>
      <c r="E323" s="303"/>
      <c r="F323" s="303"/>
      <c r="G323" s="303"/>
      <c r="H323" s="303"/>
      <c r="I323" s="303"/>
      <c r="J323" s="303"/>
      <c r="K323" s="303"/>
      <c r="L323" s="379"/>
      <c r="M323" s="377" t="s">
        <v>63</v>
      </c>
      <c r="N323" s="331"/>
      <c r="O323" s="331"/>
      <c r="P323" s="331"/>
      <c r="Q323" s="331"/>
      <c r="R323" s="331"/>
      <c r="S323" s="332"/>
      <c r="T323" s="38" t="s">
        <v>64</v>
      </c>
      <c r="U323" s="297">
        <f>IFERROR(U321/H321,"0")+IFERROR(U322/H322,"0")</f>
        <v>0</v>
      </c>
      <c r="V323" s="297">
        <f>IFERROR(V321/H321,"0")+IFERROR(V322/H322,"0")</f>
        <v>0</v>
      </c>
      <c r="W323" s="297">
        <f>IFERROR(IF(W321="",0,W321),"0")+IFERROR(IF(W322="",0,W322),"0")</f>
        <v>0</v>
      </c>
      <c r="X323" s="298"/>
      <c r="Y323" s="298"/>
    </row>
    <row r="324" spans="1:29" x14ac:dyDescent="0.2">
      <c r="A324" s="303"/>
      <c r="B324" s="303"/>
      <c r="C324" s="303"/>
      <c r="D324" s="303"/>
      <c r="E324" s="303"/>
      <c r="F324" s="303"/>
      <c r="G324" s="303"/>
      <c r="H324" s="303"/>
      <c r="I324" s="303"/>
      <c r="J324" s="303"/>
      <c r="K324" s="303"/>
      <c r="L324" s="379"/>
      <c r="M324" s="377" t="s">
        <v>63</v>
      </c>
      <c r="N324" s="331"/>
      <c r="O324" s="331"/>
      <c r="P324" s="331"/>
      <c r="Q324" s="331"/>
      <c r="R324" s="331"/>
      <c r="S324" s="332"/>
      <c r="T324" s="38" t="s">
        <v>62</v>
      </c>
      <c r="U324" s="297">
        <f>IFERROR(SUM(U321:U322),"0")</f>
        <v>0</v>
      </c>
      <c r="V324" s="297">
        <f>IFERROR(SUM(V321:V322),"0")</f>
        <v>0</v>
      </c>
      <c r="W324" s="38"/>
      <c r="X324" s="298"/>
      <c r="Y324" s="298"/>
    </row>
    <row r="325" spans="1:29" ht="14.25" customHeight="1" x14ac:dyDescent="0.25">
      <c r="A325" s="373" t="s">
        <v>57</v>
      </c>
      <c r="B325" s="303"/>
      <c r="C325" s="303"/>
      <c r="D325" s="303"/>
      <c r="E325" s="303"/>
      <c r="F325" s="303"/>
      <c r="G325" s="303"/>
      <c r="H325" s="303"/>
      <c r="I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V325" s="303"/>
      <c r="W325" s="303"/>
      <c r="X325" s="290"/>
      <c r="Y325" s="290"/>
    </row>
    <row r="326" spans="1:29" ht="27" customHeight="1" x14ac:dyDescent="0.25">
      <c r="A326" s="55" t="s">
        <v>495</v>
      </c>
      <c r="B326" s="55" t="s">
        <v>496</v>
      </c>
      <c r="C326" s="32">
        <v>4301031257</v>
      </c>
      <c r="D326" s="374">
        <v>4680115883147</v>
      </c>
      <c r="E326" s="319"/>
      <c r="F326" s="294">
        <v>0.28000000000000003</v>
      </c>
      <c r="G326" s="33">
        <v>6</v>
      </c>
      <c r="H326" s="294">
        <v>1.68</v>
      </c>
      <c r="I326" s="294">
        <v>1.81</v>
      </c>
      <c r="J326" s="33">
        <v>234</v>
      </c>
      <c r="K326" s="34" t="s">
        <v>60</v>
      </c>
      <c r="L326" s="33">
        <v>45</v>
      </c>
      <c r="M326" s="557" t="s">
        <v>497</v>
      </c>
      <c r="N326" s="376"/>
      <c r="O326" s="376"/>
      <c r="P326" s="376"/>
      <c r="Q326" s="319"/>
      <c r="R326" s="35" t="s">
        <v>498</v>
      </c>
      <c r="S326" s="35"/>
      <c r="T326" s="36" t="s">
        <v>62</v>
      </c>
      <c r="U326" s="295">
        <v>0</v>
      </c>
      <c r="V326" s="296">
        <f t="shared" ref="V326:V336" si="14">IFERROR(IF(U326="",0,CEILING((U326/$H326),1)*$H326),"")</f>
        <v>0</v>
      </c>
      <c r="W326" s="37" t="str">
        <f>IFERROR(IF(V326=0,"",ROUNDUP(V326/H326,0)*0.00502),"")</f>
        <v/>
      </c>
      <c r="X326" s="57"/>
      <c r="Y326" s="58" t="s">
        <v>228</v>
      </c>
      <c r="AC326" s="237" t="s">
        <v>1</v>
      </c>
    </row>
    <row r="327" spans="1:29" ht="37.5" customHeight="1" x14ac:dyDescent="0.25">
      <c r="A327" s="55" t="s">
        <v>499</v>
      </c>
      <c r="B327" s="55" t="s">
        <v>500</v>
      </c>
      <c r="C327" s="32">
        <v>4301031254</v>
      </c>
      <c r="D327" s="374">
        <v>4680115883154</v>
      </c>
      <c r="E327" s="319"/>
      <c r="F327" s="294">
        <v>0.28000000000000003</v>
      </c>
      <c r="G327" s="33">
        <v>6</v>
      </c>
      <c r="H327" s="294">
        <v>1.68</v>
      </c>
      <c r="I327" s="294">
        <v>1.81</v>
      </c>
      <c r="J327" s="33">
        <v>234</v>
      </c>
      <c r="K327" s="34" t="s">
        <v>60</v>
      </c>
      <c r="L327" s="33">
        <v>45</v>
      </c>
      <c r="M327" s="558" t="s">
        <v>501</v>
      </c>
      <c r="N327" s="376"/>
      <c r="O327" s="376"/>
      <c r="P327" s="376"/>
      <c r="Q327" s="319"/>
      <c r="R327" s="35" t="s">
        <v>498</v>
      </c>
      <c r="S327" s="35"/>
      <c r="T327" s="36" t="s">
        <v>62</v>
      </c>
      <c r="U327" s="295">
        <v>0</v>
      </c>
      <c r="V327" s="296">
        <f t="shared" si="14"/>
        <v>0</v>
      </c>
      <c r="W327" s="37" t="str">
        <f>IFERROR(IF(V327=0,"",ROUNDUP(V327/H327,0)*0.00502),"")</f>
        <v/>
      </c>
      <c r="X327" s="57"/>
      <c r="Y327" s="58" t="s">
        <v>228</v>
      </c>
      <c r="AC327" s="238" t="s">
        <v>1</v>
      </c>
    </row>
    <row r="328" spans="1:29" ht="27" customHeight="1" x14ac:dyDescent="0.25">
      <c r="A328" s="55" t="s">
        <v>502</v>
      </c>
      <c r="B328" s="55" t="s">
        <v>503</v>
      </c>
      <c r="C328" s="32">
        <v>4301031258</v>
      </c>
      <c r="D328" s="374">
        <v>4680115883161</v>
      </c>
      <c r="E328" s="319"/>
      <c r="F328" s="294">
        <v>0.28000000000000003</v>
      </c>
      <c r="G328" s="33">
        <v>6</v>
      </c>
      <c r="H328" s="294">
        <v>1.68</v>
      </c>
      <c r="I328" s="294">
        <v>1.81</v>
      </c>
      <c r="J328" s="33">
        <v>234</v>
      </c>
      <c r="K328" s="34" t="s">
        <v>60</v>
      </c>
      <c r="L328" s="33">
        <v>45</v>
      </c>
      <c r="M328" s="559" t="s">
        <v>504</v>
      </c>
      <c r="N328" s="376"/>
      <c r="O328" s="376"/>
      <c r="P328" s="376"/>
      <c r="Q328" s="319"/>
      <c r="R328" s="35"/>
      <c r="S328" s="35"/>
      <c r="T328" s="36" t="s">
        <v>62</v>
      </c>
      <c r="U328" s="295">
        <v>0</v>
      </c>
      <c r="V328" s="296">
        <f t="shared" si="14"/>
        <v>0</v>
      </c>
      <c r="W328" s="37" t="str">
        <f>IFERROR(IF(V328=0,"",ROUNDUP(V328/H328,0)*0.00502),"")</f>
        <v/>
      </c>
      <c r="X328" s="57"/>
      <c r="Y328" s="58" t="s">
        <v>228</v>
      </c>
      <c r="AC328" s="239" t="s">
        <v>1</v>
      </c>
    </row>
    <row r="329" spans="1:29" ht="27" customHeight="1" x14ac:dyDescent="0.25">
      <c r="A329" s="55" t="s">
        <v>505</v>
      </c>
      <c r="B329" s="55" t="s">
        <v>506</v>
      </c>
      <c r="C329" s="32">
        <v>4301031255</v>
      </c>
      <c r="D329" s="374">
        <v>4680115883185</v>
      </c>
      <c r="E329" s="319"/>
      <c r="F329" s="294">
        <v>0.28000000000000003</v>
      </c>
      <c r="G329" s="33">
        <v>6</v>
      </c>
      <c r="H329" s="294">
        <v>1.68</v>
      </c>
      <c r="I329" s="294">
        <v>1.81</v>
      </c>
      <c r="J329" s="33">
        <v>234</v>
      </c>
      <c r="K329" s="34" t="s">
        <v>60</v>
      </c>
      <c r="L329" s="33">
        <v>45</v>
      </c>
      <c r="M329" s="560" t="s">
        <v>507</v>
      </c>
      <c r="N329" s="376"/>
      <c r="O329" s="376"/>
      <c r="P329" s="376"/>
      <c r="Q329" s="319"/>
      <c r="R329" s="35" t="s">
        <v>498</v>
      </c>
      <c r="S329" s="35"/>
      <c r="T329" s="36" t="s">
        <v>62</v>
      </c>
      <c r="U329" s="295">
        <v>0</v>
      </c>
      <c r="V329" s="296">
        <f t="shared" si="14"/>
        <v>0</v>
      </c>
      <c r="W329" s="37" t="str">
        <f>IFERROR(IF(V329=0,"",ROUNDUP(V329/H329,0)*0.00502),"")</f>
        <v/>
      </c>
      <c r="X329" s="57"/>
      <c r="Y329" s="58" t="s">
        <v>228</v>
      </c>
      <c r="AC329" s="240" t="s">
        <v>1</v>
      </c>
    </row>
    <row r="330" spans="1:29" ht="27" customHeight="1" x14ac:dyDescent="0.25">
      <c r="A330" s="55" t="s">
        <v>508</v>
      </c>
      <c r="B330" s="55" t="s">
        <v>509</v>
      </c>
      <c r="C330" s="32">
        <v>4301031177</v>
      </c>
      <c r="D330" s="374">
        <v>4607091389753</v>
      </c>
      <c r="E330" s="319"/>
      <c r="F330" s="294">
        <v>0.7</v>
      </c>
      <c r="G330" s="33">
        <v>6</v>
      </c>
      <c r="H330" s="294">
        <v>4.2</v>
      </c>
      <c r="I330" s="294">
        <v>4.43</v>
      </c>
      <c r="J330" s="33">
        <v>156</v>
      </c>
      <c r="K330" s="34" t="s">
        <v>60</v>
      </c>
      <c r="L330" s="33">
        <v>45</v>
      </c>
      <c r="M330" s="56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0" s="376"/>
      <c r="O330" s="376"/>
      <c r="P330" s="376"/>
      <c r="Q330" s="319"/>
      <c r="R330" s="35"/>
      <c r="S330" s="35"/>
      <c r="T330" s="36" t="s">
        <v>62</v>
      </c>
      <c r="U330" s="295">
        <v>0</v>
      </c>
      <c r="V330" s="296">
        <f t="shared" si="14"/>
        <v>0</v>
      </c>
      <c r="W330" s="37" t="str">
        <f>IFERROR(IF(V330=0,"",ROUNDUP(V330/H330,0)*0.00753),"")</f>
        <v/>
      </c>
      <c r="X330" s="57"/>
      <c r="Y330" s="58"/>
      <c r="AC330" s="241" t="s">
        <v>1</v>
      </c>
    </row>
    <row r="331" spans="1:29" ht="27" customHeight="1" x14ac:dyDescent="0.25">
      <c r="A331" s="55" t="s">
        <v>510</v>
      </c>
      <c r="B331" s="55" t="s">
        <v>511</v>
      </c>
      <c r="C331" s="32">
        <v>4301031174</v>
      </c>
      <c r="D331" s="374">
        <v>4607091389760</v>
      </c>
      <c r="E331" s="319"/>
      <c r="F331" s="294">
        <v>0.7</v>
      </c>
      <c r="G331" s="33">
        <v>6</v>
      </c>
      <c r="H331" s="294">
        <v>4.2</v>
      </c>
      <c r="I331" s="294">
        <v>4.43</v>
      </c>
      <c r="J331" s="33">
        <v>156</v>
      </c>
      <c r="K331" s="34" t="s">
        <v>60</v>
      </c>
      <c r="L331" s="33">
        <v>45</v>
      </c>
      <c r="M331" s="56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1" s="376"/>
      <c r="O331" s="376"/>
      <c r="P331" s="376"/>
      <c r="Q331" s="319"/>
      <c r="R331" s="35"/>
      <c r="S331" s="35"/>
      <c r="T331" s="36" t="s">
        <v>62</v>
      </c>
      <c r="U331" s="295">
        <v>0</v>
      </c>
      <c r="V331" s="296">
        <f t="shared" si="14"/>
        <v>0</v>
      </c>
      <c r="W331" s="37" t="str">
        <f>IFERROR(IF(V331=0,"",ROUNDUP(V331/H331,0)*0.00753),"")</f>
        <v/>
      </c>
      <c r="X331" s="57"/>
      <c r="Y331" s="58"/>
      <c r="AC331" s="242" t="s">
        <v>1</v>
      </c>
    </row>
    <row r="332" spans="1:29" ht="27" customHeight="1" x14ac:dyDescent="0.25">
      <c r="A332" s="55" t="s">
        <v>512</v>
      </c>
      <c r="B332" s="55" t="s">
        <v>513</v>
      </c>
      <c r="C332" s="32">
        <v>4301031175</v>
      </c>
      <c r="D332" s="374">
        <v>4607091389746</v>
      </c>
      <c r="E332" s="319"/>
      <c r="F332" s="294">
        <v>0.7</v>
      </c>
      <c r="G332" s="33">
        <v>6</v>
      </c>
      <c r="H332" s="294">
        <v>4.2</v>
      </c>
      <c r="I332" s="294">
        <v>4.43</v>
      </c>
      <c r="J332" s="33">
        <v>156</v>
      </c>
      <c r="K332" s="34" t="s">
        <v>60</v>
      </c>
      <c r="L332" s="33">
        <v>45</v>
      </c>
      <c r="M332" s="56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2" s="376"/>
      <c r="O332" s="376"/>
      <c r="P332" s="376"/>
      <c r="Q332" s="319"/>
      <c r="R332" s="35"/>
      <c r="S332" s="35"/>
      <c r="T332" s="36" t="s">
        <v>62</v>
      </c>
      <c r="U332" s="295">
        <v>50</v>
      </c>
      <c r="V332" s="296">
        <f t="shared" si="14"/>
        <v>50.400000000000006</v>
      </c>
      <c r="W332" s="37">
        <f>IFERROR(IF(V332=0,"",ROUNDUP(V332/H332,0)*0.00753),"")</f>
        <v>9.0359999999999996E-2</v>
      </c>
      <c r="X332" s="57"/>
      <c r="Y332" s="58"/>
      <c r="AC332" s="243" t="s">
        <v>1</v>
      </c>
    </row>
    <row r="333" spans="1:29" ht="27" customHeight="1" x14ac:dyDescent="0.25">
      <c r="A333" s="55" t="s">
        <v>514</v>
      </c>
      <c r="B333" s="55" t="s">
        <v>515</v>
      </c>
      <c r="C333" s="32">
        <v>4301031178</v>
      </c>
      <c r="D333" s="374">
        <v>4607091384338</v>
      </c>
      <c r="E333" s="319"/>
      <c r="F333" s="294">
        <v>0.35</v>
      </c>
      <c r="G333" s="33">
        <v>6</v>
      </c>
      <c r="H333" s="294">
        <v>2.1</v>
      </c>
      <c r="I333" s="294">
        <v>2.23</v>
      </c>
      <c r="J333" s="33">
        <v>234</v>
      </c>
      <c r="K333" s="34" t="s">
        <v>60</v>
      </c>
      <c r="L333" s="33">
        <v>45</v>
      </c>
      <c r="M333" s="5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76"/>
      <c r="O333" s="376"/>
      <c r="P333" s="376"/>
      <c r="Q333" s="319"/>
      <c r="R333" s="35"/>
      <c r="S333" s="35"/>
      <c r="T333" s="36" t="s">
        <v>62</v>
      </c>
      <c r="U333" s="295">
        <v>0</v>
      </c>
      <c r="V333" s="296">
        <f t="shared" si="14"/>
        <v>0</v>
      </c>
      <c r="W333" s="37" t="str">
        <f>IFERROR(IF(V333=0,"",ROUNDUP(V333/H333,0)*0.00502),"")</f>
        <v/>
      </c>
      <c r="X333" s="57"/>
      <c r="Y333" s="58"/>
      <c r="AC333" s="244" t="s">
        <v>1</v>
      </c>
    </row>
    <row r="334" spans="1:29" ht="37.5" customHeight="1" x14ac:dyDescent="0.25">
      <c r="A334" s="55" t="s">
        <v>516</v>
      </c>
      <c r="B334" s="55" t="s">
        <v>517</v>
      </c>
      <c r="C334" s="32">
        <v>4301031171</v>
      </c>
      <c r="D334" s="374">
        <v>4607091389524</v>
      </c>
      <c r="E334" s="319"/>
      <c r="F334" s="294">
        <v>0.35</v>
      </c>
      <c r="G334" s="33">
        <v>6</v>
      </c>
      <c r="H334" s="294">
        <v>2.1</v>
      </c>
      <c r="I334" s="294">
        <v>2.23</v>
      </c>
      <c r="J334" s="33">
        <v>234</v>
      </c>
      <c r="K334" s="34" t="s">
        <v>60</v>
      </c>
      <c r="L334" s="33">
        <v>45</v>
      </c>
      <c r="M334" s="56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4" s="376"/>
      <c r="O334" s="376"/>
      <c r="P334" s="376"/>
      <c r="Q334" s="319"/>
      <c r="R334" s="35"/>
      <c r="S334" s="35"/>
      <c r="T334" s="36" t="s">
        <v>62</v>
      </c>
      <c r="U334" s="295">
        <v>0</v>
      </c>
      <c r="V334" s="296">
        <f t="shared" si="14"/>
        <v>0</v>
      </c>
      <c r="W334" s="37" t="str">
        <f>IFERROR(IF(V334=0,"",ROUNDUP(V334/H334,0)*0.00502),"")</f>
        <v/>
      </c>
      <c r="X334" s="57"/>
      <c r="Y334" s="58"/>
      <c r="AC334" s="245" t="s">
        <v>1</v>
      </c>
    </row>
    <row r="335" spans="1:29" ht="27" customHeight="1" x14ac:dyDescent="0.25">
      <c r="A335" s="55" t="s">
        <v>518</v>
      </c>
      <c r="B335" s="55" t="s">
        <v>519</v>
      </c>
      <c r="C335" s="32">
        <v>4301031170</v>
      </c>
      <c r="D335" s="374">
        <v>4607091384345</v>
      </c>
      <c r="E335" s="319"/>
      <c r="F335" s="294">
        <v>0.35</v>
      </c>
      <c r="G335" s="33">
        <v>6</v>
      </c>
      <c r="H335" s="294">
        <v>2.1</v>
      </c>
      <c r="I335" s="294">
        <v>2.23</v>
      </c>
      <c r="J335" s="33">
        <v>234</v>
      </c>
      <c r="K335" s="34" t="s">
        <v>60</v>
      </c>
      <c r="L335" s="33">
        <v>45</v>
      </c>
      <c r="M335" s="56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5" s="376"/>
      <c r="O335" s="376"/>
      <c r="P335" s="376"/>
      <c r="Q335" s="319"/>
      <c r="R335" s="35"/>
      <c r="S335" s="35"/>
      <c r="T335" s="36" t="s">
        <v>62</v>
      </c>
      <c r="U335" s="295">
        <v>0</v>
      </c>
      <c r="V335" s="296">
        <f t="shared" si="14"/>
        <v>0</v>
      </c>
      <c r="W335" s="37" t="str">
        <f>IFERROR(IF(V335=0,"",ROUNDUP(V335/H335,0)*0.00502),"")</f>
        <v/>
      </c>
      <c r="X335" s="57"/>
      <c r="Y335" s="58"/>
      <c r="AC335" s="246" t="s">
        <v>1</v>
      </c>
    </row>
    <row r="336" spans="1:29" ht="27" customHeight="1" x14ac:dyDescent="0.25">
      <c r="A336" s="55" t="s">
        <v>520</v>
      </c>
      <c r="B336" s="55" t="s">
        <v>521</v>
      </c>
      <c r="C336" s="32">
        <v>4301031172</v>
      </c>
      <c r="D336" s="374">
        <v>4607091389531</v>
      </c>
      <c r="E336" s="319"/>
      <c r="F336" s="294">
        <v>0.35</v>
      </c>
      <c r="G336" s="33">
        <v>6</v>
      </c>
      <c r="H336" s="294">
        <v>2.1</v>
      </c>
      <c r="I336" s="294">
        <v>2.23</v>
      </c>
      <c r="J336" s="33">
        <v>234</v>
      </c>
      <c r="K336" s="34" t="s">
        <v>60</v>
      </c>
      <c r="L336" s="33">
        <v>45</v>
      </c>
      <c r="M336" s="56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6" s="376"/>
      <c r="O336" s="376"/>
      <c r="P336" s="376"/>
      <c r="Q336" s="319"/>
      <c r="R336" s="35"/>
      <c r="S336" s="35"/>
      <c r="T336" s="36" t="s">
        <v>62</v>
      </c>
      <c r="U336" s="295">
        <v>0</v>
      </c>
      <c r="V336" s="296">
        <f t="shared" si="14"/>
        <v>0</v>
      </c>
      <c r="W336" s="37" t="str">
        <f>IFERROR(IF(V336=0,"",ROUNDUP(V336/H336,0)*0.00502),"")</f>
        <v/>
      </c>
      <c r="X336" s="57"/>
      <c r="Y336" s="58"/>
      <c r="AC336" s="247" t="s">
        <v>1</v>
      </c>
    </row>
    <row r="337" spans="1:29" x14ac:dyDescent="0.2">
      <c r="A337" s="378"/>
      <c r="B337" s="303"/>
      <c r="C337" s="303"/>
      <c r="D337" s="303"/>
      <c r="E337" s="303"/>
      <c r="F337" s="303"/>
      <c r="G337" s="303"/>
      <c r="H337" s="303"/>
      <c r="I337" s="303"/>
      <c r="J337" s="303"/>
      <c r="K337" s="303"/>
      <c r="L337" s="379"/>
      <c r="M337" s="377" t="s">
        <v>63</v>
      </c>
      <c r="N337" s="331"/>
      <c r="O337" s="331"/>
      <c r="P337" s="331"/>
      <c r="Q337" s="331"/>
      <c r="R337" s="331"/>
      <c r="S337" s="332"/>
      <c r="T337" s="38" t="s">
        <v>64</v>
      </c>
      <c r="U337" s="297">
        <f>IFERROR(U326/H326,"0")+IFERROR(U327/H327,"0")+IFERROR(U328/H328,"0")+IFERROR(U329/H329,"0")+IFERROR(U330/H330,"0")+IFERROR(U331/H331,"0")+IFERROR(U332/H332,"0")+IFERROR(U333/H333,"0")+IFERROR(U334/H334,"0")+IFERROR(U335/H335,"0")+IFERROR(U336/H336,"0")</f>
        <v>11.904761904761905</v>
      </c>
      <c r="V337" s="297">
        <f>IFERROR(V326/H326,"0")+IFERROR(V327/H327,"0")+IFERROR(V328/H328,"0")+IFERROR(V329/H329,"0")+IFERROR(V330/H330,"0")+IFERROR(V331/H331,"0")+IFERROR(V332/H332,"0")+IFERROR(V333/H333,"0")+IFERROR(V334/H334,"0")+IFERROR(V335/H335,"0")+IFERROR(V336/H336,"0")</f>
        <v>12</v>
      </c>
      <c r="W337" s="297">
        <f>IFERROR(IF(W326="",0,W326),"0")+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</f>
        <v>9.0359999999999996E-2</v>
      </c>
      <c r="X337" s="298"/>
      <c r="Y337" s="298"/>
    </row>
    <row r="338" spans="1:29" x14ac:dyDescent="0.2">
      <c r="A338" s="303"/>
      <c r="B338" s="303"/>
      <c r="C338" s="303"/>
      <c r="D338" s="303"/>
      <c r="E338" s="303"/>
      <c r="F338" s="303"/>
      <c r="G338" s="303"/>
      <c r="H338" s="303"/>
      <c r="I338" s="303"/>
      <c r="J338" s="303"/>
      <c r="K338" s="303"/>
      <c r="L338" s="379"/>
      <c r="M338" s="377" t="s">
        <v>63</v>
      </c>
      <c r="N338" s="331"/>
      <c r="O338" s="331"/>
      <c r="P338" s="331"/>
      <c r="Q338" s="331"/>
      <c r="R338" s="331"/>
      <c r="S338" s="332"/>
      <c r="T338" s="38" t="s">
        <v>62</v>
      </c>
      <c r="U338" s="297">
        <f>IFERROR(SUM(U326:U336),"0")</f>
        <v>50</v>
      </c>
      <c r="V338" s="297">
        <f>IFERROR(SUM(V326:V336),"0")</f>
        <v>50.400000000000006</v>
      </c>
      <c r="W338" s="38"/>
      <c r="X338" s="298"/>
      <c r="Y338" s="298"/>
    </row>
    <row r="339" spans="1:29" ht="14.25" customHeight="1" x14ac:dyDescent="0.25">
      <c r="A339" s="373" t="s">
        <v>65</v>
      </c>
      <c r="B339" s="303"/>
      <c r="C339" s="303"/>
      <c r="D339" s="303"/>
      <c r="E339" s="303"/>
      <c r="F339" s="303"/>
      <c r="G339" s="303"/>
      <c r="H339" s="303"/>
      <c r="I339" s="303"/>
      <c r="J339" s="303"/>
      <c r="K339" s="303"/>
      <c r="L339" s="303"/>
      <c r="M339" s="303"/>
      <c r="N339" s="303"/>
      <c r="O339" s="303"/>
      <c r="P339" s="303"/>
      <c r="Q339" s="303"/>
      <c r="R339" s="303"/>
      <c r="S339" s="303"/>
      <c r="T339" s="303"/>
      <c r="U339" s="303"/>
      <c r="V339" s="303"/>
      <c r="W339" s="303"/>
      <c r="X339" s="290"/>
      <c r="Y339" s="290"/>
    </row>
    <row r="340" spans="1:29" ht="27" customHeight="1" x14ac:dyDescent="0.25">
      <c r="A340" s="55" t="s">
        <v>522</v>
      </c>
      <c r="B340" s="55" t="s">
        <v>523</v>
      </c>
      <c r="C340" s="32">
        <v>4301051258</v>
      </c>
      <c r="D340" s="374">
        <v>4607091389685</v>
      </c>
      <c r="E340" s="319"/>
      <c r="F340" s="294">
        <v>1.3</v>
      </c>
      <c r="G340" s="33">
        <v>6</v>
      </c>
      <c r="H340" s="294">
        <v>7.8</v>
      </c>
      <c r="I340" s="294">
        <v>8.3460000000000001</v>
      </c>
      <c r="J340" s="33">
        <v>56</v>
      </c>
      <c r="K340" s="34" t="s">
        <v>127</v>
      </c>
      <c r="L340" s="33">
        <v>45</v>
      </c>
      <c r="M340" s="56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0" s="376"/>
      <c r="O340" s="376"/>
      <c r="P340" s="376"/>
      <c r="Q340" s="319"/>
      <c r="R340" s="35"/>
      <c r="S340" s="35"/>
      <c r="T340" s="36" t="s">
        <v>62</v>
      </c>
      <c r="U340" s="295">
        <v>0</v>
      </c>
      <c r="V340" s="296">
        <f>IFERROR(IF(U340="",0,CEILING((U340/$H340),1)*$H340),"")</f>
        <v>0</v>
      </c>
      <c r="W340" s="37" t="str">
        <f>IFERROR(IF(V340=0,"",ROUNDUP(V340/H340,0)*0.02175),"")</f>
        <v/>
      </c>
      <c r="X340" s="57"/>
      <c r="Y340" s="58"/>
      <c r="AC340" s="248" t="s">
        <v>1</v>
      </c>
    </row>
    <row r="341" spans="1:29" ht="27" customHeight="1" x14ac:dyDescent="0.25">
      <c r="A341" s="55" t="s">
        <v>524</v>
      </c>
      <c r="B341" s="55" t="s">
        <v>525</v>
      </c>
      <c r="C341" s="32">
        <v>4301051431</v>
      </c>
      <c r="D341" s="374">
        <v>4607091389654</v>
      </c>
      <c r="E341" s="319"/>
      <c r="F341" s="294">
        <v>0.33</v>
      </c>
      <c r="G341" s="33">
        <v>6</v>
      </c>
      <c r="H341" s="294">
        <v>1.98</v>
      </c>
      <c r="I341" s="294">
        <v>2.258</v>
      </c>
      <c r="J341" s="33">
        <v>156</v>
      </c>
      <c r="K341" s="34" t="s">
        <v>127</v>
      </c>
      <c r="L341" s="33">
        <v>45</v>
      </c>
      <c r="M341" s="569" t="s">
        <v>526</v>
      </c>
      <c r="N341" s="376"/>
      <c r="O341" s="376"/>
      <c r="P341" s="376"/>
      <c r="Q341" s="319"/>
      <c r="R341" s="35"/>
      <c r="S341" s="35"/>
      <c r="T341" s="36" t="s">
        <v>62</v>
      </c>
      <c r="U341" s="295">
        <v>0</v>
      </c>
      <c r="V341" s="296">
        <f>IFERROR(IF(U341="",0,CEILING((U341/$H341),1)*$H341),"")</f>
        <v>0</v>
      </c>
      <c r="W341" s="37" t="str">
        <f>IFERROR(IF(V341=0,"",ROUNDUP(V341/H341,0)*0.00753),"")</f>
        <v/>
      </c>
      <c r="X341" s="57"/>
      <c r="Y341" s="58"/>
      <c r="AC341" s="249" t="s">
        <v>1</v>
      </c>
    </row>
    <row r="342" spans="1:29" ht="27" customHeight="1" x14ac:dyDescent="0.25">
      <c r="A342" s="55" t="s">
        <v>527</v>
      </c>
      <c r="B342" s="55" t="s">
        <v>528</v>
      </c>
      <c r="C342" s="32">
        <v>4301051284</v>
      </c>
      <c r="D342" s="374">
        <v>4607091384352</v>
      </c>
      <c r="E342" s="319"/>
      <c r="F342" s="294">
        <v>0.6</v>
      </c>
      <c r="G342" s="33">
        <v>4</v>
      </c>
      <c r="H342" s="294">
        <v>2.4</v>
      </c>
      <c r="I342" s="294">
        <v>2.6459999999999999</v>
      </c>
      <c r="J342" s="33">
        <v>120</v>
      </c>
      <c r="K342" s="34" t="s">
        <v>127</v>
      </c>
      <c r="L342" s="33">
        <v>45</v>
      </c>
      <c r="M342" s="57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2" s="376"/>
      <c r="O342" s="376"/>
      <c r="P342" s="376"/>
      <c r="Q342" s="319"/>
      <c r="R342" s="35"/>
      <c r="S342" s="35"/>
      <c r="T342" s="36" t="s">
        <v>62</v>
      </c>
      <c r="U342" s="295">
        <v>0</v>
      </c>
      <c r="V342" s="296">
        <f>IFERROR(IF(U342="",0,CEILING((U342/$H342),1)*$H342),"")</f>
        <v>0</v>
      </c>
      <c r="W342" s="37" t="str">
        <f>IFERROR(IF(V342=0,"",ROUNDUP(V342/H342,0)*0.00937),"")</f>
        <v/>
      </c>
      <c r="X342" s="57"/>
      <c r="Y342" s="58"/>
      <c r="AC342" s="250" t="s">
        <v>1</v>
      </c>
    </row>
    <row r="343" spans="1:29" ht="27" customHeight="1" x14ac:dyDescent="0.25">
      <c r="A343" s="55" t="s">
        <v>529</v>
      </c>
      <c r="B343" s="55" t="s">
        <v>530</v>
      </c>
      <c r="C343" s="32">
        <v>4301051257</v>
      </c>
      <c r="D343" s="374">
        <v>4607091389661</v>
      </c>
      <c r="E343" s="319"/>
      <c r="F343" s="294">
        <v>0.55000000000000004</v>
      </c>
      <c r="G343" s="33">
        <v>4</v>
      </c>
      <c r="H343" s="294">
        <v>2.2000000000000002</v>
      </c>
      <c r="I343" s="294">
        <v>2.492</v>
      </c>
      <c r="J343" s="33">
        <v>120</v>
      </c>
      <c r="K343" s="34" t="s">
        <v>127</v>
      </c>
      <c r="L343" s="33">
        <v>45</v>
      </c>
      <c r="M343" s="57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3" s="376"/>
      <c r="O343" s="376"/>
      <c r="P343" s="376"/>
      <c r="Q343" s="319"/>
      <c r="R343" s="35"/>
      <c r="S343" s="35"/>
      <c r="T343" s="36" t="s">
        <v>62</v>
      </c>
      <c r="U343" s="295">
        <v>0</v>
      </c>
      <c r="V343" s="296">
        <f>IFERROR(IF(U343="",0,CEILING((U343/$H343),1)*$H343),"")</f>
        <v>0</v>
      </c>
      <c r="W343" s="37" t="str">
        <f>IFERROR(IF(V343=0,"",ROUNDUP(V343/H343,0)*0.00937),"")</f>
        <v/>
      </c>
      <c r="X343" s="57"/>
      <c r="Y343" s="58"/>
      <c r="AC343" s="251" t="s">
        <v>1</v>
      </c>
    </row>
    <row r="344" spans="1:29" x14ac:dyDescent="0.2">
      <c r="A344" s="378"/>
      <c r="B344" s="303"/>
      <c r="C344" s="303"/>
      <c r="D344" s="303"/>
      <c r="E344" s="303"/>
      <c r="F344" s="303"/>
      <c r="G344" s="303"/>
      <c r="H344" s="303"/>
      <c r="I344" s="303"/>
      <c r="J344" s="303"/>
      <c r="K344" s="303"/>
      <c r="L344" s="379"/>
      <c r="M344" s="377" t="s">
        <v>63</v>
      </c>
      <c r="N344" s="331"/>
      <c r="O344" s="331"/>
      <c r="P344" s="331"/>
      <c r="Q344" s="331"/>
      <c r="R344" s="331"/>
      <c r="S344" s="332"/>
      <c r="T344" s="38" t="s">
        <v>64</v>
      </c>
      <c r="U344" s="297">
        <f>IFERROR(U340/H340,"0")+IFERROR(U341/H341,"0")+IFERROR(U342/H342,"0")+IFERROR(U343/H343,"0")</f>
        <v>0</v>
      </c>
      <c r="V344" s="297">
        <f>IFERROR(V340/H340,"0")+IFERROR(V341/H341,"0")+IFERROR(V342/H342,"0")+IFERROR(V343/H343,"0")</f>
        <v>0</v>
      </c>
      <c r="W344" s="297">
        <f>IFERROR(IF(W340="",0,W340),"0")+IFERROR(IF(W341="",0,W341),"0")+IFERROR(IF(W342="",0,W342),"0")+IFERROR(IF(W343="",0,W343),"0")</f>
        <v>0</v>
      </c>
      <c r="X344" s="298"/>
      <c r="Y344" s="298"/>
    </row>
    <row r="345" spans="1:29" x14ac:dyDescent="0.2">
      <c r="A345" s="303"/>
      <c r="B345" s="303"/>
      <c r="C345" s="303"/>
      <c r="D345" s="303"/>
      <c r="E345" s="303"/>
      <c r="F345" s="303"/>
      <c r="G345" s="303"/>
      <c r="H345" s="303"/>
      <c r="I345" s="303"/>
      <c r="J345" s="303"/>
      <c r="K345" s="303"/>
      <c r="L345" s="379"/>
      <c r="M345" s="377" t="s">
        <v>63</v>
      </c>
      <c r="N345" s="331"/>
      <c r="O345" s="331"/>
      <c r="P345" s="331"/>
      <c r="Q345" s="331"/>
      <c r="R345" s="331"/>
      <c r="S345" s="332"/>
      <c r="T345" s="38" t="s">
        <v>62</v>
      </c>
      <c r="U345" s="297">
        <f>IFERROR(SUM(U340:U343),"0")</f>
        <v>0</v>
      </c>
      <c r="V345" s="297">
        <f>IFERROR(SUM(V340:V343),"0")</f>
        <v>0</v>
      </c>
      <c r="W345" s="38"/>
      <c r="X345" s="298"/>
      <c r="Y345" s="298"/>
    </row>
    <row r="346" spans="1:29" ht="14.25" customHeight="1" x14ac:dyDescent="0.25">
      <c r="A346" s="373" t="s">
        <v>196</v>
      </c>
      <c r="B346" s="303"/>
      <c r="C346" s="303"/>
      <c r="D346" s="303"/>
      <c r="E346" s="303"/>
      <c r="F346" s="303"/>
      <c r="G346" s="303"/>
      <c r="H346" s="303"/>
      <c r="I346" s="303"/>
      <c r="J346" s="303"/>
      <c r="K346" s="303"/>
      <c r="L346" s="303"/>
      <c r="M346" s="303"/>
      <c r="N346" s="303"/>
      <c r="O346" s="303"/>
      <c r="P346" s="303"/>
      <c r="Q346" s="303"/>
      <c r="R346" s="303"/>
      <c r="S346" s="303"/>
      <c r="T346" s="303"/>
      <c r="U346" s="303"/>
      <c r="V346" s="303"/>
      <c r="W346" s="303"/>
      <c r="X346" s="290"/>
      <c r="Y346" s="290"/>
    </row>
    <row r="347" spans="1:29" ht="27" customHeight="1" x14ac:dyDescent="0.25">
      <c r="A347" s="55" t="s">
        <v>531</v>
      </c>
      <c r="B347" s="55" t="s">
        <v>532</v>
      </c>
      <c r="C347" s="32">
        <v>4301060352</v>
      </c>
      <c r="D347" s="374">
        <v>4680115881648</v>
      </c>
      <c r="E347" s="319"/>
      <c r="F347" s="294">
        <v>1</v>
      </c>
      <c r="G347" s="33">
        <v>4</v>
      </c>
      <c r="H347" s="294">
        <v>4</v>
      </c>
      <c r="I347" s="294">
        <v>4.4039999999999999</v>
      </c>
      <c r="J347" s="33">
        <v>104</v>
      </c>
      <c r="K347" s="34" t="s">
        <v>60</v>
      </c>
      <c r="L347" s="33">
        <v>35</v>
      </c>
      <c r="M347" s="572" t="s">
        <v>533</v>
      </c>
      <c r="N347" s="376"/>
      <c r="O347" s="376"/>
      <c r="P347" s="376"/>
      <c r="Q347" s="319"/>
      <c r="R347" s="35"/>
      <c r="S347" s="35"/>
      <c r="T347" s="36" t="s">
        <v>62</v>
      </c>
      <c r="U347" s="295">
        <v>0</v>
      </c>
      <c r="V347" s="296">
        <f>IFERROR(IF(U347="",0,CEILING((U347/$H347),1)*$H347),"")</f>
        <v>0</v>
      </c>
      <c r="W347" s="37" t="str">
        <f>IFERROR(IF(V347=0,"",ROUNDUP(V347/H347,0)*0.01196),"")</f>
        <v/>
      </c>
      <c r="X347" s="57"/>
      <c r="Y347" s="58"/>
      <c r="AC347" s="252" t="s">
        <v>1</v>
      </c>
    </row>
    <row r="348" spans="1:29" x14ac:dyDescent="0.2">
      <c r="A348" s="378"/>
      <c r="B348" s="303"/>
      <c r="C348" s="303"/>
      <c r="D348" s="303"/>
      <c r="E348" s="303"/>
      <c r="F348" s="303"/>
      <c r="G348" s="303"/>
      <c r="H348" s="303"/>
      <c r="I348" s="303"/>
      <c r="J348" s="303"/>
      <c r="K348" s="303"/>
      <c r="L348" s="379"/>
      <c r="M348" s="377" t="s">
        <v>63</v>
      </c>
      <c r="N348" s="331"/>
      <c r="O348" s="331"/>
      <c r="P348" s="331"/>
      <c r="Q348" s="331"/>
      <c r="R348" s="331"/>
      <c r="S348" s="332"/>
      <c r="T348" s="38" t="s">
        <v>64</v>
      </c>
      <c r="U348" s="297">
        <f>IFERROR(U347/H347,"0")</f>
        <v>0</v>
      </c>
      <c r="V348" s="297">
        <f>IFERROR(V347/H347,"0")</f>
        <v>0</v>
      </c>
      <c r="W348" s="297">
        <f>IFERROR(IF(W347="",0,W347),"0")</f>
        <v>0</v>
      </c>
      <c r="X348" s="298"/>
      <c r="Y348" s="298"/>
    </row>
    <row r="349" spans="1:29" x14ac:dyDescent="0.2">
      <c r="A349" s="303"/>
      <c r="B349" s="303"/>
      <c r="C349" s="303"/>
      <c r="D349" s="303"/>
      <c r="E349" s="303"/>
      <c r="F349" s="303"/>
      <c r="G349" s="303"/>
      <c r="H349" s="303"/>
      <c r="I349" s="303"/>
      <c r="J349" s="303"/>
      <c r="K349" s="303"/>
      <c r="L349" s="379"/>
      <c r="M349" s="377" t="s">
        <v>63</v>
      </c>
      <c r="N349" s="331"/>
      <c r="O349" s="331"/>
      <c r="P349" s="331"/>
      <c r="Q349" s="331"/>
      <c r="R349" s="331"/>
      <c r="S349" s="332"/>
      <c r="T349" s="38" t="s">
        <v>62</v>
      </c>
      <c r="U349" s="297">
        <f>IFERROR(SUM(U347:U347),"0")</f>
        <v>0</v>
      </c>
      <c r="V349" s="297">
        <f>IFERROR(SUM(V347:V347),"0")</f>
        <v>0</v>
      </c>
      <c r="W349" s="38"/>
      <c r="X349" s="298"/>
      <c r="Y349" s="298"/>
    </row>
    <row r="350" spans="1:29" ht="16.5" customHeight="1" x14ac:dyDescent="0.25">
      <c r="A350" s="372" t="s">
        <v>534</v>
      </c>
      <c r="B350" s="303"/>
      <c r="C350" s="303"/>
      <c r="D350" s="303"/>
      <c r="E350" s="303"/>
      <c r="F350" s="303"/>
      <c r="G350" s="303"/>
      <c r="H350" s="303"/>
      <c r="I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V350" s="303"/>
      <c r="W350" s="303"/>
      <c r="X350" s="291"/>
      <c r="Y350" s="291"/>
    </row>
    <row r="351" spans="1:29" ht="14.25" customHeight="1" x14ac:dyDescent="0.25">
      <c r="A351" s="373" t="s">
        <v>96</v>
      </c>
      <c r="B351" s="303"/>
      <c r="C351" s="303"/>
      <c r="D351" s="303"/>
      <c r="E351" s="303"/>
      <c r="F351" s="303"/>
      <c r="G351" s="303"/>
      <c r="H351" s="303"/>
      <c r="I351" s="303"/>
      <c r="J351" s="303"/>
      <c r="K351" s="303"/>
      <c r="L351" s="303"/>
      <c r="M351" s="303"/>
      <c r="N351" s="303"/>
      <c r="O351" s="303"/>
      <c r="P351" s="303"/>
      <c r="Q351" s="303"/>
      <c r="R351" s="303"/>
      <c r="S351" s="303"/>
      <c r="T351" s="303"/>
      <c r="U351" s="303"/>
      <c r="V351" s="303"/>
      <c r="W351" s="303"/>
      <c r="X351" s="290"/>
      <c r="Y351" s="290"/>
    </row>
    <row r="352" spans="1:29" ht="27" customHeight="1" x14ac:dyDescent="0.25">
      <c r="A352" s="55" t="s">
        <v>535</v>
      </c>
      <c r="B352" s="55" t="s">
        <v>536</v>
      </c>
      <c r="C352" s="32">
        <v>4301020196</v>
      </c>
      <c r="D352" s="374">
        <v>4607091389388</v>
      </c>
      <c r="E352" s="319"/>
      <c r="F352" s="294">
        <v>1.3</v>
      </c>
      <c r="G352" s="33">
        <v>4</v>
      </c>
      <c r="H352" s="294">
        <v>5.2</v>
      </c>
      <c r="I352" s="294">
        <v>5.6079999999999997</v>
      </c>
      <c r="J352" s="33">
        <v>104</v>
      </c>
      <c r="K352" s="34" t="s">
        <v>127</v>
      </c>
      <c r="L352" s="33">
        <v>35</v>
      </c>
      <c r="M352" s="57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52" s="376"/>
      <c r="O352" s="376"/>
      <c r="P352" s="376"/>
      <c r="Q352" s="319"/>
      <c r="R352" s="35"/>
      <c r="S352" s="35"/>
      <c r="T352" s="36" t="s">
        <v>62</v>
      </c>
      <c r="U352" s="295">
        <v>0</v>
      </c>
      <c r="V352" s="296">
        <f>IFERROR(IF(U352="",0,CEILING((U352/$H352),1)*$H352),"")</f>
        <v>0</v>
      </c>
      <c r="W352" s="37" t="str">
        <f>IFERROR(IF(V352=0,"",ROUNDUP(V352/H352,0)*0.01196),"")</f>
        <v/>
      </c>
      <c r="X352" s="57"/>
      <c r="Y352" s="58"/>
      <c r="AC352" s="253" t="s">
        <v>1</v>
      </c>
    </row>
    <row r="353" spans="1:29" ht="27" customHeight="1" x14ac:dyDescent="0.25">
      <c r="A353" s="55" t="s">
        <v>537</v>
      </c>
      <c r="B353" s="55" t="s">
        <v>538</v>
      </c>
      <c r="C353" s="32">
        <v>4301020185</v>
      </c>
      <c r="D353" s="374">
        <v>4607091389364</v>
      </c>
      <c r="E353" s="319"/>
      <c r="F353" s="294">
        <v>0.42</v>
      </c>
      <c r="G353" s="33">
        <v>6</v>
      </c>
      <c r="H353" s="294">
        <v>2.52</v>
      </c>
      <c r="I353" s="294">
        <v>2.75</v>
      </c>
      <c r="J353" s="33">
        <v>156</v>
      </c>
      <c r="K353" s="34" t="s">
        <v>127</v>
      </c>
      <c r="L353" s="33">
        <v>35</v>
      </c>
      <c r="M353" s="57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53" s="376"/>
      <c r="O353" s="376"/>
      <c r="P353" s="376"/>
      <c r="Q353" s="319"/>
      <c r="R353" s="35"/>
      <c r="S353" s="35"/>
      <c r="T353" s="36" t="s">
        <v>62</v>
      </c>
      <c r="U353" s="295">
        <v>0</v>
      </c>
      <c r="V353" s="296">
        <f>IFERROR(IF(U353="",0,CEILING((U353/$H353),1)*$H353),"")</f>
        <v>0</v>
      </c>
      <c r="W353" s="37" t="str">
        <f>IFERROR(IF(V353=0,"",ROUNDUP(V353/H353,0)*0.00753),"")</f>
        <v/>
      </c>
      <c r="X353" s="57"/>
      <c r="Y353" s="58"/>
      <c r="AC353" s="254" t="s">
        <v>1</v>
      </c>
    </row>
    <row r="354" spans="1:29" x14ac:dyDescent="0.2">
      <c r="A354" s="378"/>
      <c r="B354" s="303"/>
      <c r="C354" s="303"/>
      <c r="D354" s="303"/>
      <c r="E354" s="303"/>
      <c r="F354" s="303"/>
      <c r="G354" s="303"/>
      <c r="H354" s="303"/>
      <c r="I354" s="303"/>
      <c r="J354" s="303"/>
      <c r="K354" s="303"/>
      <c r="L354" s="379"/>
      <c r="M354" s="377" t="s">
        <v>63</v>
      </c>
      <c r="N354" s="331"/>
      <c r="O354" s="331"/>
      <c r="P354" s="331"/>
      <c r="Q354" s="331"/>
      <c r="R354" s="331"/>
      <c r="S354" s="332"/>
      <c r="T354" s="38" t="s">
        <v>64</v>
      </c>
      <c r="U354" s="297">
        <f>IFERROR(U352/H352,"0")+IFERROR(U353/H353,"0")</f>
        <v>0</v>
      </c>
      <c r="V354" s="297">
        <f>IFERROR(V352/H352,"0")+IFERROR(V353/H353,"0")</f>
        <v>0</v>
      </c>
      <c r="W354" s="297">
        <f>IFERROR(IF(W352="",0,W352),"0")+IFERROR(IF(W353="",0,W353),"0")</f>
        <v>0</v>
      </c>
      <c r="X354" s="298"/>
      <c r="Y354" s="298"/>
    </row>
    <row r="355" spans="1:29" x14ac:dyDescent="0.2">
      <c r="A355" s="303"/>
      <c r="B355" s="303"/>
      <c r="C355" s="303"/>
      <c r="D355" s="303"/>
      <c r="E355" s="303"/>
      <c r="F355" s="303"/>
      <c r="G355" s="303"/>
      <c r="H355" s="303"/>
      <c r="I355" s="303"/>
      <c r="J355" s="303"/>
      <c r="K355" s="303"/>
      <c r="L355" s="379"/>
      <c r="M355" s="377" t="s">
        <v>63</v>
      </c>
      <c r="N355" s="331"/>
      <c r="O355" s="331"/>
      <c r="P355" s="331"/>
      <c r="Q355" s="331"/>
      <c r="R355" s="331"/>
      <c r="S355" s="332"/>
      <c r="T355" s="38" t="s">
        <v>62</v>
      </c>
      <c r="U355" s="297">
        <f>IFERROR(SUM(U352:U353),"0")</f>
        <v>0</v>
      </c>
      <c r="V355" s="297">
        <f>IFERROR(SUM(V352:V353),"0")</f>
        <v>0</v>
      </c>
      <c r="W355" s="38"/>
      <c r="X355" s="298"/>
      <c r="Y355" s="298"/>
    </row>
    <row r="356" spans="1:29" ht="14.25" customHeight="1" x14ac:dyDescent="0.25">
      <c r="A356" s="373" t="s">
        <v>57</v>
      </c>
      <c r="B356" s="303"/>
      <c r="C356" s="303"/>
      <c r="D356" s="303"/>
      <c r="E356" s="303"/>
      <c r="F356" s="303"/>
      <c r="G356" s="303"/>
      <c r="H356" s="303"/>
      <c r="I356" s="303"/>
      <c r="J356" s="303"/>
      <c r="K356" s="303"/>
      <c r="L356" s="303"/>
      <c r="M356" s="303"/>
      <c r="N356" s="303"/>
      <c r="O356" s="303"/>
      <c r="P356" s="303"/>
      <c r="Q356" s="303"/>
      <c r="R356" s="303"/>
      <c r="S356" s="303"/>
      <c r="T356" s="303"/>
      <c r="U356" s="303"/>
      <c r="V356" s="303"/>
      <c r="W356" s="303"/>
      <c r="X356" s="290"/>
      <c r="Y356" s="290"/>
    </row>
    <row r="357" spans="1:29" ht="27" customHeight="1" x14ac:dyDescent="0.25">
      <c r="A357" s="55" t="s">
        <v>539</v>
      </c>
      <c r="B357" s="55" t="s">
        <v>540</v>
      </c>
      <c r="C357" s="32">
        <v>4301031179</v>
      </c>
      <c r="D357" s="374">
        <v>4607091389739</v>
      </c>
      <c r="E357" s="319"/>
      <c r="F357" s="294">
        <v>0.7</v>
      </c>
      <c r="G357" s="33">
        <v>6</v>
      </c>
      <c r="H357" s="294">
        <v>4.2</v>
      </c>
      <c r="I357" s="294">
        <v>4.43</v>
      </c>
      <c r="J357" s="33">
        <v>156</v>
      </c>
      <c r="K357" s="34" t="s">
        <v>60</v>
      </c>
      <c r="L357" s="33">
        <v>45</v>
      </c>
      <c r="M357" s="575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57" s="376"/>
      <c r="O357" s="376"/>
      <c r="P357" s="376"/>
      <c r="Q357" s="319"/>
      <c r="R357" s="35"/>
      <c r="S357" s="35"/>
      <c r="T357" s="36" t="s">
        <v>62</v>
      </c>
      <c r="U357" s="295">
        <v>180</v>
      </c>
      <c r="V357" s="296">
        <f>IFERROR(IF(U357="",0,CEILING((U357/$H357),1)*$H357),"")</f>
        <v>180.6</v>
      </c>
      <c r="W357" s="37">
        <f>IFERROR(IF(V357=0,"",ROUNDUP(V357/H357,0)*0.00753),"")</f>
        <v>0.32379000000000002</v>
      </c>
      <c r="X357" s="57"/>
      <c r="Y357" s="58"/>
      <c r="AC357" s="255" t="s">
        <v>1</v>
      </c>
    </row>
    <row r="358" spans="1:29" ht="27" customHeight="1" x14ac:dyDescent="0.25">
      <c r="A358" s="55" t="s">
        <v>541</v>
      </c>
      <c r="B358" s="55" t="s">
        <v>542</v>
      </c>
      <c r="C358" s="32">
        <v>4301031176</v>
      </c>
      <c r="D358" s="374">
        <v>4607091389425</v>
      </c>
      <c r="E358" s="319"/>
      <c r="F358" s="294">
        <v>0.35</v>
      </c>
      <c r="G358" s="33">
        <v>6</v>
      </c>
      <c r="H358" s="294">
        <v>2.1</v>
      </c>
      <c r="I358" s="294">
        <v>2.23</v>
      </c>
      <c r="J358" s="33">
        <v>234</v>
      </c>
      <c r="K358" s="34" t="s">
        <v>60</v>
      </c>
      <c r="L358" s="33">
        <v>45</v>
      </c>
      <c r="M358" s="57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58" s="376"/>
      <c r="O358" s="376"/>
      <c r="P358" s="376"/>
      <c r="Q358" s="319"/>
      <c r="R358" s="35"/>
      <c r="S358" s="35"/>
      <c r="T358" s="36" t="s">
        <v>62</v>
      </c>
      <c r="U358" s="295">
        <v>0</v>
      </c>
      <c r="V358" s="296">
        <f>IFERROR(IF(U358="",0,CEILING((U358/$H358),1)*$H358),"")</f>
        <v>0</v>
      </c>
      <c r="W358" s="37" t="str">
        <f>IFERROR(IF(V358=0,"",ROUNDUP(V358/H358,0)*0.00502),"")</f>
        <v/>
      </c>
      <c r="X358" s="57"/>
      <c r="Y358" s="58"/>
      <c r="AC358" s="256" t="s">
        <v>1</v>
      </c>
    </row>
    <row r="359" spans="1:29" ht="27" customHeight="1" x14ac:dyDescent="0.25">
      <c r="A359" s="55" t="s">
        <v>543</v>
      </c>
      <c r="B359" s="55" t="s">
        <v>544</v>
      </c>
      <c r="C359" s="32">
        <v>4301031167</v>
      </c>
      <c r="D359" s="374">
        <v>4680115880771</v>
      </c>
      <c r="E359" s="319"/>
      <c r="F359" s="294">
        <v>0.28000000000000003</v>
      </c>
      <c r="G359" s="33">
        <v>6</v>
      </c>
      <c r="H359" s="294">
        <v>1.68</v>
      </c>
      <c r="I359" s="294">
        <v>1.81</v>
      </c>
      <c r="J359" s="33">
        <v>234</v>
      </c>
      <c r="K359" s="34" t="s">
        <v>60</v>
      </c>
      <c r="L359" s="33">
        <v>45</v>
      </c>
      <c r="M359" s="57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59" s="376"/>
      <c r="O359" s="376"/>
      <c r="P359" s="376"/>
      <c r="Q359" s="319"/>
      <c r="R359" s="35"/>
      <c r="S359" s="35"/>
      <c r="T359" s="36" t="s">
        <v>62</v>
      </c>
      <c r="U359" s="295">
        <v>0</v>
      </c>
      <c r="V359" s="296">
        <f>IFERROR(IF(U359="",0,CEILING((U359/$H359),1)*$H359),"")</f>
        <v>0</v>
      </c>
      <c r="W359" s="37" t="str">
        <f>IFERROR(IF(V359=0,"",ROUNDUP(V359/H359,0)*0.00502),"")</f>
        <v/>
      </c>
      <c r="X359" s="57"/>
      <c r="Y359" s="58"/>
      <c r="AC359" s="257" t="s">
        <v>1</v>
      </c>
    </row>
    <row r="360" spans="1:29" ht="27" customHeight="1" x14ac:dyDescent="0.25">
      <c r="A360" s="55" t="s">
        <v>545</v>
      </c>
      <c r="B360" s="55" t="s">
        <v>546</v>
      </c>
      <c r="C360" s="32">
        <v>4301031173</v>
      </c>
      <c r="D360" s="374">
        <v>4607091389500</v>
      </c>
      <c r="E360" s="319"/>
      <c r="F360" s="294">
        <v>0.35</v>
      </c>
      <c r="G360" s="33">
        <v>6</v>
      </c>
      <c r="H360" s="294">
        <v>2.1</v>
      </c>
      <c r="I360" s="294">
        <v>2.23</v>
      </c>
      <c r="J360" s="33">
        <v>234</v>
      </c>
      <c r="K360" s="34" t="s">
        <v>60</v>
      </c>
      <c r="L360" s="33">
        <v>45</v>
      </c>
      <c r="M360" s="57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60" s="376"/>
      <c r="O360" s="376"/>
      <c r="P360" s="376"/>
      <c r="Q360" s="319"/>
      <c r="R360" s="35"/>
      <c r="S360" s="35"/>
      <c r="T360" s="36" t="s">
        <v>62</v>
      </c>
      <c r="U360" s="295">
        <v>0</v>
      </c>
      <c r="V360" s="296">
        <f>IFERROR(IF(U360="",0,CEILING((U360/$H360),1)*$H360),"")</f>
        <v>0</v>
      </c>
      <c r="W360" s="37" t="str">
        <f>IFERROR(IF(V360=0,"",ROUNDUP(V360/H360,0)*0.00502),"")</f>
        <v/>
      </c>
      <c r="X360" s="57"/>
      <c r="Y360" s="58"/>
      <c r="AC360" s="258" t="s">
        <v>1</v>
      </c>
    </row>
    <row r="361" spans="1:29" ht="27" customHeight="1" x14ac:dyDescent="0.25">
      <c r="A361" s="55" t="s">
        <v>547</v>
      </c>
      <c r="B361" s="55" t="s">
        <v>548</v>
      </c>
      <c r="C361" s="32">
        <v>4301031103</v>
      </c>
      <c r="D361" s="374">
        <v>4680115881983</v>
      </c>
      <c r="E361" s="319"/>
      <c r="F361" s="294">
        <v>0.28000000000000003</v>
      </c>
      <c r="G361" s="33">
        <v>4</v>
      </c>
      <c r="H361" s="294">
        <v>1.1200000000000001</v>
      </c>
      <c r="I361" s="294">
        <v>1.252</v>
      </c>
      <c r="J361" s="33">
        <v>234</v>
      </c>
      <c r="K361" s="34" t="s">
        <v>60</v>
      </c>
      <c r="L361" s="33">
        <v>40</v>
      </c>
      <c r="M361" s="579" t="s">
        <v>549</v>
      </c>
      <c r="N361" s="376"/>
      <c r="O361" s="376"/>
      <c r="P361" s="376"/>
      <c r="Q361" s="319"/>
      <c r="R361" s="35"/>
      <c r="S361" s="35"/>
      <c r="T361" s="36" t="s">
        <v>62</v>
      </c>
      <c r="U361" s="295">
        <v>0</v>
      </c>
      <c r="V361" s="296">
        <f>IFERROR(IF(U361="",0,CEILING((U361/$H361),1)*$H361),"")</f>
        <v>0</v>
      </c>
      <c r="W361" s="37" t="str">
        <f>IFERROR(IF(V361=0,"",ROUNDUP(V361/H361,0)*0.00502),"")</f>
        <v/>
      </c>
      <c r="X361" s="57"/>
      <c r="Y361" s="58"/>
      <c r="AC361" s="259" t="s">
        <v>1</v>
      </c>
    </row>
    <row r="362" spans="1:29" x14ac:dyDescent="0.2">
      <c r="A362" s="378"/>
      <c r="B362" s="303"/>
      <c r="C362" s="303"/>
      <c r="D362" s="303"/>
      <c r="E362" s="303"/>
      <c r="F362" s="303"/>
      <c r="G362" s="303"/>
      <c r="H362" s="303"/>
      <c r="I362" s="303"/>
      <c r="J362" s="303"/>
      <c r="K362" s="303"/>
      <c r="L362" s="379"/>
      <c r="M362" s="377" t="s">
        <v>63</v>
      </c>
      <c r="N362" s="331"/>
      <c r="O362" s="331"/>
      <c r="P362" s="331"/>
      <c r="Q362" s="331"/>
      <c r="R362" s="331"/>
      <c r="S362" s="332"/>
      <c r="T362" s="38" t="s">
        <v>64</v>
      </c>
      <c r="U362" s="297">
        <f>IFERROR(U357/H357,"0")+IFERROR(U358/H358,"0")+IFERROR(U359/H359,"0")+IFERROR(U360/H360,"0")+IFERROR(U361/H361,"0")</f>
        <v>42.857142857142854</v>
      </c>
      <c r="V362" s="297">
        <f>IFERROR(V357/H357,"0")+IFERROR(V358/H358,"0")+IFERROR(V359/H359,"0")+IFERROR(V360/H360,"0")+IFERROR(V361/H361,"0")</f>
        <v>43</v>
      </c>
      <c r="W362" s="297">
        <f>IFERROR(IF(W357="",0,W357),"0")+IFERROR(IF(W358="",0,W358),"0")+IFERROR(IF(W359="",0,W359),"0")+IFERROR(IF(W360="",0,W360),"0")+IFERROR(IF(W361="",0,W361),"0")</f>
        <v>0.32379000000000002</v>
      </c>
      <c r="X362" s="298"/>
      <c r="Y362" s="298"/>
    </row>
    <row r="363" spans="1:29" x14ac:dyDescent="0.2">
      <c r="A363" s="303"/>
      <c r="B363" s="303"/>
      <c r="C363" s="303"/>
      <c r="D363" s="303"/>
      <c r="E363" s="303"/>
      <c r="F363" s="303"/>
      <c r="G363" s="303"/>
      <c r="H363" s="303"/>
      <c r="I363" s="303"/>
      <c r="J363" s="303"/>
      <c r="K363" s="303"/>
      <c r="L363" s="379"/>
      <c r="M363" s="377" t="s">
        <v>63</v>
      </c>
      <c r="N363" s="331"/>
      <c r="O363" s="331"/>
      <c r="P363" s="331"/>
      <c r="Q363" s="331"/>
      <c r="R363" s="331"/>
      <c r="S363" s="332"/>
      <c r="T363" s="38" t="s">
        <v>62</v>
      </c>
      <c r="U363" s="297">
        <f>IFERROR(SUM(U357:U361),"0")</f>
        <v>180</v>
      </c>
      <c r="V363" s="297">
        <f>IFERROR(SUM(V357:V361),"0")</f>
        <v>180.6</v>
      </c>
      <c r="W363" s="38"/>
      <c r="X363" s="298"/>
      <c r="Y363" s="298"/>
    </row>
    <row r="364" spans="1:29" ht="27.75" customHeight="1" x14ac:dyDescent="0.2">
      <c r="A364" s="370" t="s">
        <v>550</v>
      </c>
      <c r="B364" s="371"/>
      <c r="C364" s="371"/>
      <c r="D364" s="371"/>
      <c r="E364" s="371"/>
      <c r="F364" s="371"/>
      <c r="G364" s="371"/>
      <c r="H364" s="371"/>
      <c r="I364" s="371"/>
      <c r="J364" s="371"/>
      <c r="K364" s="371"/>
      <c r="L364" s="371"/>
      <c r="M364" s="371"/>
      <c r="N364" s="371"/>
      <c r="O364" s="371"/>
      <c r="P364" s="371"/>
      <c r="Q364" s="371"/>
      <c r="R364" s="371"/>
      <c r="S364" s="371"/>
      <c r="T364" s="371"/>
      <c r="U364" s="371"/>
      <c r="V364" s="371"/>
      <c r="W364" s="371"/>
      <c r="X364" s="49"/>
      <c r="Y364" s="49"/>
    </row>
    <row r="365" spans="1:29" ht="16.5" customHeight="1" x14ac:dyDescent="0.25">
      <c r="A365" s="372" t="s">
        <v>550</v>
      </c>
      <c r="B365" s="303"/>
      <c r="C365" s="303"/>
      <c r="D365" s="303"/>
      <c r="E365" s="303"/>
      <c r="F365" s="303"/>
      <c r="G365" s="303"/>
      <c r="H365" s="303"/>
      <c r="I365" s="303"/>
      <c r="J365" s="303"/>
      <c r="K365" s="303"/>
      <c r="L365" s="303"/>
      <c r="M365" s="303"/>
      <c r="N365" s="303"/>
      <c r="O365" s="303"/>
      <c r="P365" s="303"/>
      <c r="Q365" s="303"/>
      <c r="R365" s="303"/>
      <c r="S365" s="303"/>
      <c r="T365" s="303"/>
      <c r="U365" s="303"/>
      <c r="V365" s="303"/>
      <c r="W365" s="303"/>
      <c r="X365" s="291"/>
      <c r="Y365" s="291"/>
    </row>
    <row r="366" spans="1:29" ht="14.25" customHeight="1" x14ac:dyDescent="0.25">
      <c r="A366" s="373" t="s">
        <v>103</v>
      </c>
      <c r="B366" s="303"/>
      <c r="C366" s="303"/>
      <c r="D366" s="303"/>
      <c r="E366" s="303"/>
      <c r="F366" s="303"/>
      <c r="G366" s="303"/>
      <c r="H366" s="303"/>
      <c r="I366" s="303"/>
      <c r="J366" s="303"/>
      <c r="K366" s="303"/>
      <c r="L366" s="303"/>
      <c r="M366" s="303"/>
      <c r="N366" s="303"/>
      <c r="O366" s="303"/>
      <c r="P366" s="303"/>
      <c r="Q366" s="303"/>
      <c r="R366" s="303"/>
      <c r="S366" s="303"/>
      <c r="T366" s="303"/>
      <c r="U366" s="303"/>
      <c r="V366" s="303"/>
      <c r="W366" s="303"/>
      <c r="X366" s="290"/>
      <c r="Y366" s="290"/>
    </row>
    <row r="367" spans="1:29" ht="27" customHeight="1" x14ac:dyDescent="0.25">
      <c r="A367" s="55" t="s">
        <v>551</v>
      </c>
      <c r="B367" s="55" t="s">
        <v>552</v>
      </c>
      <c r="C367" s="32">
        <v>4301011371</v>
      </c>
      <c r="D367" s="374">
        <v>4607091389067</v>
      </c>
      <c r="E367" s="319"/>
      <c r="F367" s="294">
        <v>0.88</v>
      </c>
      <c r="G367" s="33">
        <v>6</v>
      </c>
      <c r="H367" s="294">
        <v>5.28</v>
      </c>
      <c r="I367" s="294">
        <v>5.64</v>
      </c>
      <c r="J367" s="33">
        <v>104</v>
      </c>
      <c r="K367" s="34" t="s">
        <v>127</v>
      </c>
      <c r="L367" s="33">
        <v>55</v>
      </c>
      <c r="M367" s="580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67" s="376"/>
      <c r="O367" s="376"/>
      <c r="P367" s="376"/>
      <c r="Q367" s="319"/>
      <c r="R367" s="35"/>
      <c r="S367" s="35"/>
      <c r="T367" s="36" t="s">
        <v>62</v>
      </c>
      <c r="U367" s="295">
        <v>0</v>
      </c>
      <c r="V367" s="296">
        <f t="shared" ref="V367:V376" si="15">IFERROR(IF(U367="",0,CEILING((U367/$H367),1)*$H367),"")</f>
        <v>0</v>
      </c>
      <c r="W367" s="37" t="str">
        <f>IFERROR(IF(V367=0,"",ROUNDUP(V367/H367,0)*0.01196),"")</f>
        <v/>
      </c>
      <c r="X367" s="57"/>
      <c r="Y367" s="58"/>
      <c r="AC367" s="260" t="s">
        <v>1</v>
      </c>
    </row>
    <row r="368" spans="1:29" ht="27" customHeight="1" x14ac:dyDescent="0.25">
      <c r="A368" s="55" t="s">
        <v>553</v>
      </c>
      <c r="B368" s="55" t="s">
        <v>554</v>
      </c>
      <c r="C368" s="32">
        <v>4301011363</v>
      </c>
      <c r="D368" s="374">
        <v>4607091383522</v>
      </c>
      <c r="E368" s="319"/>
      <c r="F368" s="294">
        <v>0.88</v>
      </c>
      <c r="G368" s="33">
        <v>6</v>
      </c>
      <c r="H368" s="294">
        <v>5.28</v>
      </c>
      <c r="I368" s="294">
        <v>5.64</v>
      </c>
      <c r="J368" s="33">
        <v>104</v>
      </c>
      <c r="K368" s="34" t="s">
        <v>99</v>
      </c>
      <c r="L368" s="33">
        <v>55</v>
      </c>
      <c r="M368" s="58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8" s="376"/>
      <c r="O368" s="376"/>
      <c r="P368" s="376"/>
      <c r="Q368" s="319"/>
      <c r="R368" s="35"/>
      <c r="S368" s="35"/>
      <c r="T368" s="36" t="s">
        <v>62</v>
      </c>
      <c r="U368" s="295">
        <v>150</v>
      </c>
      <c r="V368" s="296">
        <f t="shared" si="15"/>
        <v>153.12</v>
      </c>
      <c r="W368" s="37">
        <f>IFERROR(IF(V368=0,"",ROUNDUP(V368/H368,0)*0.01196),"")</f>
        <v>0.34683999999999998</v>
      </c>
      <c r="X368" s="57"/>
      <c r="Y368" s="58"/>
      <c r="AC368" s="261" t="s">
        <v>1</v>
      </c>
    </row>
    <row r="369" spans="1:29" ht="27" customHeight="1" x14ac:dyDescent="0.25">
      <c r="A369" s="55" t="s">
        <v>555</v>
      </c>
      <c r="B369" s="55" t="s">
        <v>556</v>
      </c>
      <c r="C369" s="32">
        <v>4301011431</v>
      </c>
      <c r="D369" s="374">
        <v>4607091384437</v>
      </c>
      <c r="E369" s="319"/>
      <c r="F369" s="294">
        <v>0.88</v>
      </c>
      <c r="G369" s="33">
        <v>6</v>
      </c>
      <c r="H369" s="294">
        <v>5.28</v>
      </c>
      <c r="I369" s="294">
        <v>5.64</v>
      </c>
      <c r="J369" s="33">
        <v>104</v>
      </c>
      <c r="K369" s="34" t="s">
        <v>99</v>
      </c>
      <c r="L369" s="33">
        <v>50</v>
      </c>
      <c r="M369" s="582" t="s">
        <v>557</v>
      </c>
      <c r="N369" s="376"/>
      <c r="O369" s="376"/>
      <c r="P369" s="376"/>
      <c r="Q369" s="319"/>
      <c r="R369" s="35"/>
      <c r="S369" s="35"/>
      <c r="T369" s="36" t="s">
        <v>62</v>
      </c>
      <c r="U369" s="295">
        <v>0</v>
      </c>
      <c r="V369" s="296">
        <f t="shared" si="15"/>
        <v>0</v>
      </c>
      <c r="W369" s="37" t="str">
        <f>IFERROR(IF(V369=0,"",ROUNDUP(V369/H369,0)*0.01196),"")</f>
        <v/>
      </c>
      <c r="X369" s="57"/>
      <c r="Y369" s="58"/>
      <c r="AC369" s="262" t="s">
        <v>1</v>
      </c>
    </row>
    <row r="370" spans="1:29" ht="27" customHeight="1" x14ac:dyDescent="0.25">
      <c r="A370" s="55" t="s">
        <v>558</v>
      </c>
      <c r="B370" s="55" t="s">
        <v>559</v>
      </c>
      <c r="C370" s="32">
        <v>4301011365</v>
      </c>
      <c r="D370" s="374">
        <v>4607091389104</v>
      </c>
      <c r="E370" s="319"/>
      <c r="F370" s="294">
        <v>0.88</v>
      </c>
      <c r="G370" s="33">
        <v>6</v>
      </c>
      <c r="H370" s="294">
        <v>5.28</v>
      </c>
      <c r="I370" s="294">
        <v>5.64</v>
      </c>
      <c r="J370" s="33">
        <v>104</v>
      </c>
      <c r="K370" s="34" t="s">
        <v>99</v>
      </c>
      <c r="L370" s="33">
        <v>55</v>
      </c>
      <c r="M370" s="583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70" s="376"/>
      <c r="O370" s="376"/>
      <c r="P370" s="376"/>
      <c r="Q370" s="319"/>
      <c r="R370" s="35"/>
      <c r="S370" s="35"/>
      <c r="T370" s="36" t="s">
        <v>62</v>
      </c>
      <c r="U370" s="295">
        <v>110</v>
      </c>
      <c r="V370" s="296">
        <f t="shared" si="15"/>
        <v>110.88000000000001</v>
      </c>
      <c r="W370" s="37">
        <f>IFERROR(IF(V370=0,"",ROUNDUP(V370/H370,0)*0.01196),"")</f>
        <v>0.25115999999999999</v>
      </c>
      <c r="X370" s="57"/>
      <c r="Y370" s="58"/>
      <c r="AC370" s="263" t="s">
        <v>1</v>
      </c>
    </row>
    <row r="371" spans="1:29" ht="27" customHeight="1" x14ac:dyDescent="0.25">
      <c r="A371" s="55" t="s">
        <v>560</v>
      </c>
      <c r="B371" s="55" t="s">
        <v>561</v>
      </c>
      <c r="C371" s="32">
        <v>4301011142</v>
      </c>
      <c r="D371" s="374">
        <v>4607091389036</v>
      </c>
      <c r="E371" s="319"/>
      <c r="F371" s="294">
        <v>0.4</v>
      </c>
      <c r="G371" s="33">
        <v>6</v>
      </c>
      <c r="H371" s="294">
        <v>2.4</v>
      </c>
      <c r="I371" s="294">
        <v>2.6</v>
      </c>
      <c r="J371" s="33">
        <v>156</v>
      </c>
      <c r="K371" s="34" t="s">
        <v>127</v>
      </c>
      <c r="L371" s="33">
        <v>50</v>
      </c>
      <c r="M371" s="584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71" s="376"/>
      <c r="O371" s="376"/>
      <c r="P371" s="376"/>
      <c r="Q371" s="319"/>
      <c r="R371" s="35"/>
      <c r="S371" s="35"/>
      <c r="T371" s="36" t="s">
        <v>62</v>
      </c>
      <c r="U371" s="295">
        <v>0</v>
      </c>
      <c r="V371" s="296">
        <f t="shared" si="15"/>
        <v>0</v>
      </c>
      <c r="W371" s="37" t="str">
        <f>IFERROR(IF(V371=0,"",ROUNDUP(V371/H371,0)*0.00753),"")</f>
        <v/>
      </c>
      <c r="X371" s="57"/>
      <c r="Y371" s="58"/>
      <c r="AC371" s="264" t="s">
        <v>1</v>
      </c>
    </row>
    <row r="372" spans="1:29" ht="27" customHeight="1" x14ac:dyDescent="0.25">
      <c r="A372" s="55" t="s">
        <v>562</v>
      </c>
      <c r="B372" s="55" t="s">
        <v>563</v>
      </c>
      <c r="C372" s="32">
        <v>4301011367</v>
      </c>
      <c r="D372" s="374">
        <v>4680115880603</v>
      </c>
      <c r="E372" s="319"/>
      <c r="F372" s="294">
        <v>0.6</v>
      </c>
      <c r="G372" s="33">
        <v>6</v>
      </c>
      <c r="H372" s="294">
        <v>3.6</v>
      </c>
      <c r="I372" s="294">
        <v>3.84</v>
      </c>
      <c r="J372" s="33">
        <v>120</v>
      </c>
      <c r="K372" s="34" t="s">
        <v>99</v>
      </c>
      <c r="L372" s="33">
        <v>55</v>
      </c>
      <c r="M372" s="585" t="s">
        <v>564</v>
      </c>
      <c r="N372" s="376"/>
      <c r="O372" s="376"/>
      <c r="P372" s="376"/>
      <c r="Q372" s="319"/>
      <c r="R372" s="35"/>
      <c r="S372" s="35"/>
      <c r="T372" s="36" t="s">
        <v>62</v>
      </c>
      <c r="U372" s="295">
        <v>0</v>
      </c>
      <c r="V372" s="296">
        <f t="shared" si="15"/>
        <v>0</v>
      </c>
      <c r="W372" s="37" t="str">
        <f>IFERROR(IF(V372=0,"",ROUNDUP(V372/H372,0)*0.00937),"")</f>
        <v/>
      </c>
      <c r="X372" s="57"/>
      <c r="Y372" s="58"/>
      <c r="AC372" s="265" t="s">
        <v>1</v>
      </c>
    </row>
    <row r="373" spans="1:29" ht="27" customHeight="1" x14ac:dyDescent="0.25">
      <c r="A373" s="55" t="s">
        <v>565</v>
      </c>
      <c r="B373" s="55" t="s">
        <v>566</v>
      </c>
      <c r="C373" s="32">
        <v>4301011168</v>
      </c>
      <c r="D373" s="374">
        <v>4607091389999</v>
      </c>
      <c r="E373" s="319"/>
      <c r="F373" s="294">
        <v>0.6</v>
      </c>
      <c r="G373" s="33">
        <v>6</v>
      </c>
      <c r="H373" s="294">
        <v>3.6</v>
      </c>
      <c r="I373" s="294">
        <v>3.84</v>
      </c>
      <c r="J373" s="33">
        <v>120</v>
      </c>
      <c r="K373" s="34" t="s">
        <v>99</v>
      </c>
      <c r="L373" s="33">
        <v>55</v>
      </c>
      <c r="M373" s="586" t="s">
        <v>567</v>
      </c>
      <c r="N373" s="376"/>
      <c r="O373" s="376"/>
      <c r="P373" s="376"/>
      <c r="Q373" s="319"/>
      <c r="R373" s="35"/>
      <c r="S373" s="35"/>
      <c r="T373" s="36" t="s">
        <v>62</v>
      </c>
      <c r="U373" s="295">
        <v>0</v>
      </c>
      <c r="V373" s="296">
        <f t="shared" si="15"/>
        <v>0</v>
      </c>
      <c r="W373" s="37" t="str">
        <f>IFERROR(IF(V373=0,"",ROUNDUP(V373/H373,0)*0.00937),"")</f>
        <v/>
      </c>
      <c r="X373" s="57"/>
      <c r="Y373" s="58"/>
      <c r="AC373" s="266" t="s">
        <v>1</v>
      </c>
    </row>
    <row r="374" spans="1:29" ht="27" customHeight="1" x14ac:dyDescent="0.25">
      <c r="A374" s="55" t="s">
        <v>568</v>
      </c>
      <c r="B374" s="55" t="s">
        <v>569</v>
      </c>
      <c r="C374" s="32">
        <v>4301011372</v>
      </c>
      <c r="D374" s="374">
        <v>4680115882782</v>
      </c>
      <c r="E374" s="319"/>
      <c r="F374" s="294">
        <v>0.6</v>
      </c>
      <c r="G374" s="33">
        <v>6</v>
      </c>
      <c r="H374" s="294">
        <v>3.6</v>
      </c>
      <c r="I374" s="294">
        <v>3.84</v>
      </c>
      <c r="J374" s="33">
        <v>120</v>
      </c>
      <c r="K374" s="34" t="s">
        <v>99</v>
      </c>
      <c r="L374" s="33">
        <v>50</v>
      </c>
      <c r="M374" s="587" t="s">
        <v>570</v>
      </c>
      <c r="N374" s="376"/>
      <c r="O374" s="376"/>
      <c r="P374" s="376"/>
      <c r="Q374" s="319"/>
      <c r="R374" s="35"/>
      <c r="S374" s="35"/>
      <c r="T374" s="36" t="s">
        <v>62</v>
      </c>
      <c r="U374" s="295">
        <v>0</v>
      </c>
      <c r="V374" s="296">
        <f t="shared" si="15"/>
        <v>0</v>
      </c>
      <c r="W374" s="37" t="str">
        <f>IFERROR(IF(V374=0,"",ROUNDUP(V374/H374,0)*0.00937),"")</f>
        <v/>
      </c>
      <c r="X374" s="57"/>
      <c r="Y374" s="58"/>
      <c r="AC374" s="267" t="s">
        <v>1</v>
      </c>
    </row>
    <row r="375" spans="1:29" ht="27" customHeight="1" x14ac:dyDescent="0.25">
      <c r="A375" s="55" t="s">
        <v>571</v>
      </c>
      <c r="B375" s="55" t="s">
        <v>572</v>
      </c>
      <c r="C375" s="32">
        <v>4301011190</v>
      </c>
      <c r="D375" s="374">
        <v>4607091389098</v>
      </c>
      <c r="E375" s="319"/>
      <c r="F375" s="294">
        <v>0.4</v>
      </c>
      <c r="G375" s="33">
        <v>6</v>
      </c>
      <c r="H375" s="294">
        <v>2.4</v>
      </c>
      <c r="I375" s="294">
        <v>2.6</v>
      </c>
      <c r="J375" s="33">
        <v>156</v>
      </c>
      <c r="K375" s="34" t="s">
        <v>127</v>
      </c>
      <c r="L375" s="33">
        <v>50</v>
      </c>
      <c r="M375" s="58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75" s="376"/>
      <c r="O375" s="376"/>
      <c r="P375" s="376"/>
      <c r="Q375" s="319"/>
      <c r="R375" s="35"/>
      <c r="S375" s="35"/>
      <c r="T375" s="36" t="s">
        <v>62</v>
      </c>
      <c r="U375" s="295">
        <v>0</v>
      </c>
      <c r="V375" s="296">
        <f t="shared" si="15"/>
        <v>0</v>
      </c>
      <c r="W375" s="37" t="str">
        <f>IFERROR(IF(V375=0,"",ROUNDUP(V375/H375,0)*0.00753),"")</f>
        <v/>
      </c>
      <c r="X375" s="57"/>
      <c r="Y375" s="58"/>
      <c r="AC375" s="268" t="s">
        <v>1</v>
      </c>
    </row>
    <row r="376" spans="1:29" ht="27" customHeight="1" x14ac:dyDescent="0.25">
      <c r="A376" s="55" t="s">
        <v>573</v>
      </c>
      <c r="B376" s="55" t="s">
        <v>574</v>
      </c>
      <c r="C376" s="32">
        <v>4301011366</v>
      </c>
      <c r="D376" s="374">
        <v>4607091389982</v>
      </c>
      <c r="E376" s="319"/>
      <c r="F376" s="294">
        <v>0.6</v>
      </c>
      <c r="G376" s="33">
        <v>6</v>
      </c>
      <c r="H376" s="294">
        <v>3.6</v>
      </c>
      <c r="I376" s="294">
        <v>3.84</v>
      </c>
      <c r="J376" s="33">
        <v>120</v>
      </c>
      <c r="K376" s="34" t="s">
        <v>99</v>
      </c>
      <c r="L376" s="33">
        <v>55</v>
      </c>
      <c r="M376" s="589" t="s">
        <v>575</v>
      </c>
      <c r="N376" s="376"/>
      <c r="O376" s="376"/>
      <c r="P376" s="376"/>
      <c r="Q376" s="319"/>
      <c r="R376" s="35"/>
      <c r="S376" s="35"/>
      <c r="T376" s="36" t="s">
        <v>62</v>
      </c>
      <c r="U376" s="295">
        <v>0</v>
      </c>
      <c r="V376" s="296">
        <f t="shared" si="15"/>
        <v>0</v>
      </c>
      <c r="W376" s="37" t="str">
        <f>IFERROR(IF(V376=0,"",ROUNDUP(V376/H376,0)*0.00937),"")</f>
        <v/>
      </c>
      <c r="X376" s="57"/>
      <c r="Y376" s="58"/>
      <c r="AC376" s="269" t="s">
        <v>1</v>
      </c>
    </row>
    <row r="377" spans="1:29" x14ac:dyDescent="0.2">
      <c r="A377" s="378"/>
      <c r="B377" s="303"/>
      <c r="C377" s="303"/>
      <c r="D377" s="303"/>
      <c r="E377" s="303"/>
      <c r="F377" s="303"/>
      <c r="G377" s="303"/>
      <c r="H377" s="303"/>
      <c r="I377" s="303"/>
      <c r="J377" s="303"/>
      <c r="K377" s="303"/>
      <c r="L377" s="379"/>
      <c r="M377" s="377" t="s">
        <v>63</v>
      </c>
      <c r="N377" s="331"/>
      <c r="O377" s="331"/>
      <c r="P377" s="331"/>
      <c r="Q377" s="331"/>
      <c r="R377" s="331"/>
      <c r="S377" s="332"/>
      <c r="T377" s="38" t="s">
        <v>64</v>
      </c>
      <c r="U377" s="297">
        <f>IFERROR(U367/H367,"0")+IFERROR(U368/H368,"0")+IFERROR(U369/H369,"0")+IFERROR(U370/H370,"0")+IFERROR(U371/H371,"0")+IFERROR(U372/H372,"0")+IFERROR(U373/H373,"0")+IFERROR(U374/H374,"0")+IFERROR(U375/H375,"0")+IFERROR(U376/H376,"0")</f>
        <v>49.242424242424235</v>
      </c>
      <c r="V377" s="297">
        <f>IFERROR(V367/H367,"0")+IFERROR(V368/H368,"0")+IFERROR(V369/H369,"0")+IFERROR(V370/H370,"0")+IFERROR(V371/H371,"0")+IFERROR(V372/H372,"0")+IFERROR(V373/H373,"0")+IFERROR(V374/H374,"0")+IFERROR(V375/H375,"0")+IFERROR(V376/H376,"0")</f>
        <v>50</v>
      </c>
      <c r="W377" s="297">
        <f>IFERROR(IF(W367="",0,W367),"0")+IFERROR(IF(W368="",0,W368),"0")+IFERROR(IF(W369="",0,W369),"0")+IFERROR(IF(W370="",0,W370),"0")+IFERROR(IF(W371="",0,W371),"0")+IFERROR(IF(W372="",0,W372),"0")+IFERROR(IF(W373="",0,W373),"0")+IFERROR(IF(W374="",0,W374),"0")+IFERROR(IF(W375="",0,W375),"0")+IFERROR(IF(W376="",0,W376),"0")</f>
        <v>0.59799999999999998</v>
      </c>
      <c r="X377" s="298"/>
      <c r="Y377" s="298"/>
    </row>
    <row r="378" spans="1:29" x14ac:dyDescent="0.2">
      <c r="A378" s="303"/>
      <c r="B378" s="303"/>
      <c r="C378" s="303"/>
      <c r="D378" s="303"/>
      <c r="E378" s="303"/>
      <c r="F378" s="303"/>
      <c r="G378" s="303"/>
      <c r="H378" s="303"/>
      <c r="I378" s="303"/>
      <c r="J378" s="303"/>
      <c r="K378" s="303"/>
      <c r="L378" s="379"/>
      <c r="M378" s="377" t="s">
        <v>63</v>
      </c>
      <c r="N378" s="331"/>
      <c r="O378" s="331"/>
      <c r="P378" s="331"/>
      <c r="Q378" s="331"/>
      <c r="R378" s="331"/>
      <c r="S378" s="332"/>
      <c r="T378" s="38" t="s">
        <v>62</v>
      </c>
      <c r="U378" s="297">
        <f>IFERROR(SUM(U367:U376),"0")</f>
        <v>260</v>
      </c>
      <c r="V378" s="297">
        <f>IFERROR(SUM(V367:V376),"0")</f>
        <v>264</v>
      </c>
      <c r="W378" s="38"/>
      <c r="X378" s="298"/>
      <c r="Y378" s="298"/>
    </row>
    <row r="379" spans="1:29" ht="14.25" customHeight="1" x14ac:dyDescent="0.25">
      <c r="A379" s="373" t="s">
        <v>96</v>
      </c>
      <c r="B379" s="303"/>
      <c r="C379" s="303"/>
      <c r="D379" s="303"/>
      <c r="E379" s="303"/>
      <c r="F379" s="303"/>
      <c r="G379" s="303"/>
      <c r="H379" s="303"/>
      <c r="I379" s="303"/>
      <c r="J379" s="303"/>
      <c r="K379" s="303"/>
      <c r="L379" s="303"/>
      <c r="M379" s="303"/>
      <c r="N379" s="303"/>
      <c r="O379" s="303"/>
      <c r="P379" s="303"/>
      <c r="Q379" s="303"/>
      <c r="R379" s="303"/>
      <c r="S379" s="303"/>
      <c r="T379" s="303"/>
      <c r="U379" s="303"/>
      <c r="V379" s="303"/>
      <c r="W379" s="303"/>
      <c r="X379" s="290"/>
      <c r="Y379" s="290"/>
    </row>
    <row r="380" spans="1:29" ht="16.5" customHeight="1" x14ac:dyDescent="0.25">
      <c r="A380" s="55" t="s">
        <v>576</v>
      </c>
      <c r="B380" s="55" t="s">
        <v>577</v>
      </c>
      <c r="C380" s="32">
        <v>4301020222</v>
      </c>
      <c r="D380" s="374">
        <v>4607091388930</v>
      </c>
      <c r="E380" s="319"/>
      <c r="F380" s="294">
        <v>0.88</v>
      </c>
      <c r="G380" s="33">
        <v>6</v>
      </c>
      <c r="H380" s="294">
        <v>5.28</v>
      </c>
      <c r="I380" s="294">
        <v>5.64</v>
      </c>
      <c r="J380" s="33">
        <v>104</v>
      </c>
      <c r="K380" s="34" t="s">
        <v>99</v>
      </c>
      <c r="L380" s="33">
        <v>55</v>
      </c>
      <c r="M380" s="59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80" s="376"/>
      <c r="O380" s="376"/>
      <c r="P380" s="376"/>
      <c r="Q380" s="319"/>
      <c r="R380" s="35"/>
      <c r="S380" s="35"/>
      <c r="T380" s="36" t="s">
        <v>62</v>
      </c>
      <c r="U380" s="295">
        <v>0</v>
      </c>
      <c r="V380" s="296">
        <f>IFERROR(IF(U380="",0,CEILING((U380/$H380),1)*$H380),"")</f>
        <v>0</v>
      </c>
      <c r="W380" s="37" t="str">
        <f>IFERROR(IF(V380=0,"",ROUNDUP(V380/H380,0)*0.01196),"")</f>
        <v/>
      </c>
      <c r="X380" s="57"/>
      <c r="Y380" s="58"/>
      <c r="AC380" s="270" t="s">
        <v>1</v>
      </c>
    </row>
    <row r="381" spans="1:29" ht="16.5" customHeight="1" x14ac:dyDescent="0.25">
      <c r="A381" s="55" t="s">
        <v>578</v>
      </c>
      <c r="B381" s="55" t="s">
        <v>579</v>
      </c>
      <c r="C381" s="32">
        <v>4301020206</v>
      </c>
      <c r="D381" s="374">
        <v>4680115880054</v>
      </c>
      <c r="E381" s="319"/>
      <c r="F381" s="294">
        <v>0.6</v>
      </c>
      <c r="G381" s="33">
        <v>6</v>
      </c>
      <c r="H381" s="294">
        <v>3.6</v>
      </c>
      <c r="I381" s="294">
        <v>3.84</v>
      </c>
      <c r="J381" s="33">
        <v>120</v>
      </c>
      <c r="K381" s="34" t="s">
        <v>99</v>
      </c>
      <c r="L381" s="33">
        <v>55</v>
      </c>
      <c r="M381" s="591" t="s">
        <v>580</v>
      </c>
      <c r="N381" s="376"/>
      <c r="O381" s="376"/>
      <c r="P381" s="376"/>
      <c r="Q381" s="319"/>
      <c r="R381" s="35"/>
      <c r="S381" s="35"/>
      <c r="T381" s="36" t="s">
        <v>62</v>
      </c>
      <c r="U381" s="295">
        <v>0</v>
      </c>
      <c r="V381" s="296">
        <f>IFERROR(IF(U381="",0,CEILING((U381/$H381),1)*$H381),"")</f>
        <v>0</v>
      </c>
      <c r="W381" s="37" t="str">
        <f>IFERROR(IF(V381=0,"",ROUNDUP(V381/H381,0)*0.00937),"")</f>
        <v/>
      </c>
      <c r="X381" s="57"/>
      <c r="Y381" s="58"/>
      <c r="AC381" s="271" t="s">
        <v>1</v>
      </c>
    </row>
    <row r="382" spans="1:29" x14ac:dyDescent="0.2">
      <c r="A382" s="378"/>
      <c r="B382" s="303"/>
      <c r="C382" s="303"/>
      <c r="D382" s="303"/>
      <c r="E382" s="303"/>
      <c r="F382" s="303"/>
      <c r="G382" s="303"/>
      <c r="H382" s="303"/>
      <c r="I382" s="303"/>
      <c r="J382" s="303"/>
      <c r="K382" s="303"/>
      <c r="L382" s="379"/>
      <c r="M382" s="377" t="s">
        <v>63</v>
      </c>
      <c r="N382" s="331"/>
      <c r="O382" s="331"/>
      <c r="P382" s="331"/>
      <c r="Q382" s="331"/>
      <c r="R382" s="331"/>
      <c r="S382" s="332"/>
      <c r="T382" s="38" t="s">
        <v>64</v>
      </c>
      <c r="U382" s="297">
        <f>IFERROR(U380/H380,"0")+IFERROR(U381/H381,"0")</f>
        <v>0</v>
      </c>
      <c r="V382" s="297">
        <f>IFERROR(V380/H380,"0")+IFERROR(V381/H381,"0")</f>
        <v>0</v>
      </c>
      <c r="W382" s="297">
        <f>IFERROR(IF(W380="",0,W380),"0")+IFERROR(IF(W381="",0,W381),"0")</f>
        <v>0</v>
      </c>
      <c r="X382" s="298"/>
      <c r="Y382" s="298"/>
    </row>
    <row r="383" spans="1:29" x14ac:dyDescent="0.2">
      <c r="A383" s="303"/>
      <c r="B383" s="303"/>
      <c r="C383" s="303"/>
      <c r="D383" s="303"/>
      <c r="E383" s="303"/>
      <c r="F383" s="303"/>
      <c r="G383" s="303"/>
      <c r="H383" s="303"/>
      <c r="I383" s="303"/>
      <c r="J383" s="303"/>
      <c r="K383" s="303"/>
      <c r="L383" s="379"/>
      <c r="M383" s="377" t="s">
        <v>63</v>
      </c>
      <c r="N383" s="331"/>
      <c r="O383" s="331"/>
      <c r="P383" s="331"/>
      <c r="Q383" s="331"/>
      <c r="R383" s="331"/>
      <c r="S383" s="332"/>
      <c r="T383" s="38" t="s">
        <v>62</v>
      </c>
      <c r="U383" s="297">
        <f>IFERROR(SUM(U380:U381),"0")</f>
        <v>0</v>
      </c>
      <c r="V383" s="297">
        <f>IFERROR(SUM(V380:V381),"0")</f>
        <v>0</v>
      </c>
      <c r="W383" s="38"/>
      <c r="X383" s="298"/>
      <c r="Y383" s="298"/>
    </row>
    <row r="384" spans="1:29" ht="14.25" customHeight="1" x14ac:dyDescent="0.25">
      <c r="A384" s="373" t="s">
        <v>57</v>
      </c>
      <c r="B384" s="303"/>
      <c r="C384" s="303"/>
      <c r="D384" s="303"/>
      <c r="E384" s="303"/>
      <c r="F384" s="303"/>
      <c r="G384" s="303"/>
      <c r="H384" s="303"/>
      <c r="I384" s="303"/>
      <c r="J384" s="303"/>
      <c r="K384" s="303"/>
      <c r="L384" s="303"/>
      <c r="M384" s="303"/>
      <c r="N384" s="303"/>
      <c r="O384" s="303"/>
      <c r="P384" s="303"/>
      <c r="Q384" s="303"/>
      <c r="R384" s="303"/>
      <c r="S384" s="303"/>
      <c r="T384" s="303"/>
      <c r="U384" s="303"/>
      <c r="V384" s="303"/>
      <c r="W384" s="303"/>
      <c r="X384" s="290"/>
      <c r="Y384" s="290"/>
    </row>
    <row r="385" spans="1:29" ht="27" customHeight="1" x14ac:dyDescent="0.25">
      <c r="A385" s="55" t="s">
        <v>581</v>
      </c>
      <c r="B385" s="55" t="s">
        <v>582</v>
      </c>
      <c r="C385" s="32">
        <v>4301031198</v>
      </c>
      <c r="D385" s="374">
        <v>4607091383348</v>
      </c>
      <c r="E385" s="319"/>
      <c r="F385" s="294">
        <v>0.88</v>
      </c>
      <c r="G385" s="33">
        <v>6</v>
      </c>
      <c r="H385" s="294">
        <v>5.28</v>
      </c>
      <c r="I385" s="294">
        <v>5.64</v>
      </c>
      <c r="J385" s="33">
        <v>104</v>
      </c>
      <c r="K385" s="34" t="s">
        <v>99</v>
      </c>
      <c r="L385" s="33">
        <v>55</v>
      </c>
      <c r="M385" s="592" t="str">
        <f>HYPERLINK("https://abi.ru/products/Охлажденные/Дугушка/Дугушка/Копченые колбасы/P003249/","В/к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5" s="376"/>
      <c r="O385" s="376"/>
      <c r="P385" s="376"/>
      <c r="Q385" s="319"/>
      <c r="R385" s="35"/>
      <c r="S385" s="35"/>
      <c r="T385" s="36" t="s">
        <v>62</v>
      </c>
      <c r="U385" s="295">
        <v>330</v>
      </c>
      <c r="V385" s="296">
        <f t="shared" ref="V385:V390" si="16">IFERROR(IF(U385="",0,CEILING((U385/$H385),1)*$H385),"")</f>
        <v>332.64000000000004</v>
      </c>
      <c r="W385" s="37">
        <f>IFERROR(IF(V385=0,"",ROUNDUP(V385/H385,0)*0.01196),"")</f>
        <v>0.75348000000000004</v>
      </c>
      <c r="X385" s="57"/>
      <c r="Y385" s="58"/>
      <c r="AC385" s="272" t="s">
        <v>1</v>
      </c>
    </row>
    <row r="386" spans="1:29" ht="27" customHeight="1" x14ac:dyDescent="0.25">
      <c r="A386" s="55" t="s">
        <v>583</v>
      </c>
      <c r="B386" s="55" t="s">
        <v>584</v>
      </c>
      <c r="C386" s="32">
        <v>4301031188</v>
      </c>
      <c r="D386" s="374">
        <v>4607091383386</v>
      </c>
      <c r="E386" s="319"/>
      <c r="F386" s="294">
        <v>0.88</v>
      </c>
      <c r="G386" s="33">
        <v>6</v>
      </c>
      <c r="H386" s="294">
        <v>5.28</v>
      </c>
      <c r="I386" s="294">
        <v>5.64</v>
      </c>
      <c r="J386" s="33">
        <v>104</v>
      </c>
      <c r="K386" s="34" t="s">
        <v>60</v>
      </c>
      <c r="L386" s="33">
        <v>55</v>
      </c>
      <c r="M386" s="593" t="str">
        <f>HYPERLINK("https://abi.ru/products/Охлажденные/Дугушка/Дугушка/Копченые колбасы/P003152/","В/к колбасы Салями Запеченая Дугушка Весовые Вектор Дугушка")</f>
        <v>В/к колбасы Салями Запеченая Дугушка Весовые Вектор Дугушка</v>
      </c>
      <c r="N386" s="376"/>
      <c r="O386" s="376"/>
      <c r="P386" s="376"/>
      <c r="Q386" s="319"/>
      <c r="R386" s="35"/>
      <c r="S386" s="35"/>
      <c r="T386" s="36" t="s">
        <v>62</v>
      </c>
      <c r="U386" s="295">
        <v>0</v>
      </c>
      <c r="V386" s="296">
        <f t="shared" si="16"/>
        <v>0</v>
      </c>
      <c r="W386" s="37" t="str">
        <f>IFERROR(IF(V386=0,"",ROUNDUP(V386/H386,0)*0.01196),"")</f>
        <v/>
      </c>
      <c r="X386" s="57"/>
      <c r="Y386" s="58"/>
      <c r="AC386" s="273" t="s">
        <v>1</v>
      </c>
    </row>
    <row r="387" spans="1:29" ht="27" customHeight="1" x14ac:dyDescent="0.25">
      <c r="A387" s="55" t="s">
        <v>585</v>
      </c>
      <c r="B387" s="55" t="s">
        <v>586</v>
      </c>
      <c r="C387" s="32">
        <v>4301031189</v>
      </c>
      <c r="D387" s="374">
        <v>4607091383355</v>
      </c>
      <c r="E387" s="319"/>
      <c r="F387" s="294">
        <v>0.88</v>
      </c>
      <c r="G387" s="33">
        <v>6</v>
      </c>
      <c r="H387" s="294">
        <v>5.28</v>
      </c>
      <c r="I387" s="294">
        <v>5.64</v>
      </c>
      <c r="J387" s="33">
        <v>104</v>
      </c>
      <c r="K387" s="34" t="s">
        <v>60</v>
      </c>
      <c r="L387" s="33">
        <v>55</v>
      </c>
      <c r="M387" s="594" t="str">
        <f>HYPERLINK("https://abi.ru/products/Охлажденные/Дугушка/Дугушка/Копченые колбасы/P003153/","В/к колбасы Сервелат Запеченный Дугушка Вес Вектор Дугушка")</f>
        <v>В/к колбасы Сервелат Запеченный Дугушка Вес Вектор Дугушка</v>
      </c>
      <c r="N387" s="376"/>
      <c r="O387" s="376"/>
      <c r="P387" s="376"/>
      <c r="Q387" s="319"/>
      <c r="R387" s="35"/>
      <c r="S387" s="35"/>
      <c r="T387" s="36" t="s">
        <v>62</v>
      </c>
      <c r="U387" s="295">
        <v>0</v>
      </c>
      <c r="V387" s="296">
        <f t="shared" si="16"/>
        <v>0</v>
      </c>
      <c r="W387" s="37" t="str">
        <f>IFERROR(IF(V387=0,"",ROUNDUP(V387/H387,0)*0.01196),"")</f>
        <v/>
      </c>
      <c r="X387" s="57"/>
      <c r="Y387" s="58"/>
      <c r="AC387" s="274" t="s">
        <v>1</v>
      </c>
    </row>
    <row r="388" spans="1:29" ht="27" customHeight="1" x14ac:dyDescent="0.25">
      <c r="A388" s="55" t="s">
        <v>587</v>
      </c>
      <c r="B388" s="55" t="s">
        <v>588</v>
      </c>
      <c r="C388" s="32">
        <v>4301031214</v>
      </c>
      <c r="D388" s="374">
        <v>4680115882072</v>
      </c>
      <c r="E388" s="319"/>
      <c r="F388" s="294">
        <v>0.6</v>
      </c>
      <c r="G388" s="33">
        <v>6</v>
      </c>
      <c r="H388" s="294">
        <v>3.6</v>
      </c>
      <c r="I388" s="294">
        <v>3.84</v>
      </c>
      <c r="J388" s="33">
        <v>120</v>
      </c>
      <c r="K388" s="34" t="s">
        <v>99</v>
      </c>
      <c r="L388" s="33">
        <v>55</v>
      </c>
      <c r="M388" s="595" t="s">
        <v>589</v>
      </c>
      <c r="N388" s="376"/>
      <c r="O388" s="376"/>
      <c r="P388" s="376"/>
      <c r="Q388" s="319"/>
      <c r="R388" s="35"/>
      <c r="S388" s="35"/>
      <c r="T388" s="36" t="s">
        <v>62</v>
      </c>
      <c r="U388" s="295">
        <v>0</v>
      </c>
      <c r="V388" s="296">
        <f t="shared" si="16"/>
        <v>0</v>
      </c>
      <c r="W388" s="37" t="str">
        <f>IFERROR(IF(V388=0,"",ROUNDUP(V388/H388,0)*0.00937),"")</f>
        <v/>
      </c>
      <c r="X388" s="57"/>
      <c r="Y388" s="58"/>
      <c r="AC388" s="275" t="s">
        <v>1</v>
      </c>
    </row>
    <row r="389" spans="1:29" ht="27" customHeight="1" x14ac:dyDescent="0.25">
      <c r="A389" s="55" t="s">
        <v>590</v>
      </c>
      <c r="B389" s="55" t="s">
        <v>591</v>
      </c>
      <c r="C389" s="32">
        <v>4301031217</v>
      </c>
      <c r="D389" s="374">
        <v>4680115882102</v>
      </c>
      <c r="E389" s="319"/>
      <c r="F389" s="294">
        <v>0.6</v>
      </c>
      <c r="G389" s="33">
        <v>6</v>
      </c>
      <c r="H389" s="294">
        <v>3.6</v>
      </c>
      <c r="I389" s="294">
        <v>3.81</v>
      </c>
      <c r="J389" s="33">
        <v>120</v>
      </c>
      <c r="K389" s="34" t="s">
        <v>60</v>
      </c>
      <c r="L389" s="33">
        <v>55</v>
      </c>
      <c r="M389" s="596" t="s">
        <v>592</v>
      </c>
      <c r="N389" s="376"/>
      <c r="O389" s="376"/>
      <c r="P389" s="376"/>
      <c r="Q389" s="319"/>
      <c r="R389" s="35"/>
      <c r="S389" s="35"/>
      <c r="T389" s="36" t="s">
        <v>62</v>
      </c>
      <c r="U389" s="295">
        <v>0</v>
      </c>
      <c r="V389" s="296">
        <f t="shared" si="16"/>
        <v>0</v>
      </c>
      <c r="W389" s="37" t="str">
        <f>IFERROR(IF(V389=0,"",ROUNDUP(V389/H389,0)*0.00937),"")</f>
        <v/>
      </c>
      <c r="X389" s="57"/>
      <c r="Y389" s="58"/>
      <c r="AC389" s="276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4301031216</v>
      </c>
      <c r="D390" s="374">
        <v>4680115882096</v>
      </c>
      <c r="E390" s="319"/>
      <c r="F390" s="294">
        <v>0.6</v>
      </c>
      <c r="G390" s="33">
        <v>6</v>
      </c>
      <c r="H390" s="294">
        <v>3.6</v>
      </c>
      <c r="I390" s="294">
        <v>3.81</v>
      </c>
      <c r="J390" s="33">
        <v>120</v>
      </c>
      <c r="K390" s="34" t="s">
        <v>60</v>
      </c>
      <c r="L390" s="33">
        <v>55</v>
      </c>
      <c r="M390" s="597" t="s">
        <v>595</v>
      </c>
      <c r="N390" s="376"/>
      <c r="O390" s="376"/>
      <c r="P390" s="376"/>
      <c r="Q390" s="319"/>
      <c r="R390" s="35"/>
      <c r="S390" s="35"/>
      <c r="T390" s="36" t="s">
        <v>62</v>
      </c>
      <c r="U390" s="295">
        <v>0</v>
      </c>
      <c r="V390" s="296">
        <f t="shared" si="16"/>
        <v>0</v>
      </c>
      <c r="W390" s="37" t="str">
        <f>IFERROR(IF(V390=0,"",ROUNDUP(V390/H390,0)*0.00937),"")</f>
        <v/>
      </c>
      <c r="X390" s="57"/>
      <c r="Y390" s="58"/>
      <c r="AC390" s="277" t="s">
        <v>1</v>
      </c>
    </row>
    <row r="391" spans="1:29" x14ac:dyDescent="0.2">
      <c r="A391" s="378"/>
      <c r="B391" s="303"/>
      <c r="C391" s="303"/>
      <c r="D391" s="303"/>
      <c r="E391" s="303"/>
      <c r="F391" s="303"/>
      <c r="G391" s="303"/>
      <c r="H391" s="303"/>
      <c r="I391" s="303"/>
      <c r="J391" s="303"/>
      <c r="K391" s="303"/>
      <c r="L391" s="379"/>
      <c r="M391" s="377" t="s">
        <v>63</v>
      </c>
      <c r="N391" s="331"/>
      <c r="O391" s="331"/>
      <c r="P391" s="331"/>
      <c r="Q391" s="331"/>
      <c r="R391" s="331"/>
      <c r="S391" s="332"/>
      <c r="T391" s="38" t="s">
        <v>64</v>
      </c>
      <c r="U391" s="297">
        <f>IFERROR(U385/H385,"0")+IFERROR(U386/H386,"0")+IFERROR(U387/H387,"0")+IFERROR(U388/H388,"0")+IFERROR(U389/H389,"0")+IFERROR(U390/H390,"0")</f>
        <v>62.5</v>
      </c>
      <c r="V391" s="297">
        <f>IFERROR(V385/H385,"0")+IFERROR(V386/H386,"0")+IFERROR(V387/H387,"0")+IFERROR(V388/H388,"0")+IFERROR(V389/H389,"0")+IFERROR(V390/H390,"0")</f>
        <v>63.000000000000007</v>
      </c>
      <c r="W391" s="297">
        <f>IFERROR(IF(W385="",0,W385),"0")+IFERROR(IF(W386="",0,W386),"0")+IFERROR(IF(W387="",0,W387),"0")+IFERROR(IF(W388="",0,W388),"0")+IFERROR(IF(W389="",0,W389),"0")+IFERROR(IF(W390="",0,W390),"0")</f>
        <v>0.75348000000000004</v>
      </c>
      <c r="X391" s="298"/>
      <c r="Y391" s="298"/>
    </row>
    <row r="392" spans="1:29" x14ac:dyDescent="0.2">
      <c r="A392" s="303"/>
      <c r="B392" s="303"/>
      <c r="C392" s="303"/>
      <c r="D392" s="303"/>
      <c r="E392" s="303"/>
      <c r="F392" s="303"/>
      <c r="G392" s="303"/>
      <c r="H392" s="303"/>
      <c r="I392" s="303"/>
      <c r="J392" s="303"/>
      <c r="K392" s="303"/>
      <c r="L392" s="379"/>
      <c r="M392" s="377" t="s">
        <v>63</v>
      </c>
      <c r="N392" s="331"/>
      <c r="O392" s="331"/>
      <c r="P392" s="331"/>
      <c r="Q392" s="331"/>
      <c r="R392" s="331"/>
      <c r="S392" s="332"/>
      <c r="T392" s="38" t="s">
        <v>62</v>
      </c>
      <c r="U392" s="297">
        <f>IFERROR(SUM(U385:U390),"0")</f>
        <v>330</v>
      </c>
      <c r="V392" s="297">
        <f>IFERROR(SUM(V385:V390),"0")</f>
        <v>332.64000000000004</v>
      </c>
      <c r="W392" s="38"/>
      <c r="X392" s="298"/>
      <c r="Y392" s="298"/>
    </row>
    <row r="393" spans="1:29" ht="14.25" customHeight="1" x14ac:dyDescent="0.25">
      <c r="A393" s="373" t="s">
        <v>65</v>
      </c>
      <c r="B393" s="303"/>
      <c r="C393" s="303"/>
      <c r="D393" s="303"/>
      <c r="E393" s="303"/>
      <c r="F393" s="303"/>
      <c r="G393" s="303"/>
      <c r="H393" s="303"/>
      <c r="I393" s="303"/>
      <c r="J393" s="303"/>
      <c r="K393" s="303"/>
      <c r="L393" s="303"/>
      <c r="M393" s="303"/>
      <c r="N393" s="303"/>
      <c r="O393" s="303"/>
      <c r="P393" s="303"/>
      <c r="Q393" s="303"/>
      <c r="R393" s="303"/>
      <c r="S393" s="303"/>
      <c r="T393" s="303"/>
      <c r="U393" s="303"/>
      <c r="V393" s="303"/>
      <c r="W393" s="303"/>
      <c r="X393" s="290"/>
      <c r="Y393" s="290"/>
    </row>
    <row r="394" spans="1:29" ht="16.5" customHeight="1" x14ac:dyDescent="0.25">
      <c r="A394" s="55" t="s">
        <v>596</v>
      </c>
      <c r="B394" s="55" t="s">
        <v>597</v>
      </c>
      <c r="C394" s="32">
        <v>4301051230</v>
      </c>
      <c r="D394" s="374">
        <v>4607091383409</v>
      </c>
      <c r="E394" s="319"/>
      <c r="F394" s="294">
        <v>1.3</v>
      </c>
      <c r="G394" s="33">
        <v>6</v>
      </c>
      <c r="H394" s="294">
        <v>7.8</v>
      </c>
      <c r="I394" s="294">
        <v>8.3460000000000001</v>
      </c>
      <c r="J394" s="33">
        <v>56</v>
      </c>
      <c r="K394" s="34" t="s">
        <v>60</v>
      </c>
      <c r="L394" s="33">
        <v>45</v>
      </c>
      <c r="M394" s="59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394" s="376"/>
      <c r="O394" s="376"/>
      <c r="P394" s="376"/>
      <c r="Q394" s="319"/>
      <c r="R394" s="35"/>
      <c r="S394" s="35"/>
      <c r="T394" s="36" t="s">
        <v>62</v>
      </c>
      <c r="U394" s="295">
        <v>0</v>
      </c>
      <c r="V394" s="296">
        <f>IFERROR(IF(U394="",0,CEILING((U394/$H394),1)*$H394),"")</f>
        <v>0</v>
      </c>
      <c r="W394" s="37" t="str">
        <f>IFERROR(IF(V394=0,"",ROUNDUP(V394/H394,0)*0.02175),"")</f>
        <v/>
      </c>
      <c r="X394" s="57"/>
      <c r="Y394" s="58"/>
      <c r="AC394" s="278" t="s">
        <v>1</v>
      </c>
    </row>
    <row r="395" spans="1:29" ht="16.5" customHeight="1" x14ac:dyDescent="0.25">
      <c r="A395" s="55" t="s">
        <v>598</v>
      </c>
      <c r="B395" s="55" t="s">
        <v>599</v>
      </c>
      <c r="C395" s="32">
        <v>4301051231</v>
      </c>
      <c r="D395" s="374">
        <v>4607091383416</v>
      </c>
      <c r="E395" s="319"/>
      <c r="F395" s="294">
        <v>1.3</v>
      </c>
      <c r="G395" s="33">
        <v>6</v>
      </c>
      <c r="H395" s="294">
        <v>7.8</v>
      </c>
      <c r="I395" s="294">
        <v>8.3460000000000001</v>
      </c>
      <c r="J395" s="33">
        <v>56</v>
      </c>
      <c r="K395" s="34" t="s">
        <v>60</v>
      </c>
      <c r="L395" s="33">
        <v>45</v>
      </c>
      <c r="M395" s="59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395" s="376"/>
      <c r="O395" s="376"/>
      <c r="P395" s="376"/>
      <c r="Q395" s="319"/>
      <c r="R395" s="35"/>
      <c r="S395" s="35"/>
      <c r="T395" s="36" t="s">
        <v>62</v>
      </c>
      <c r="U395" s="295">
        <v>0</v>
      </c>
      <c r="V395" s="296">
        <f>IFERROR(IF(U395="",0,CEILING((U395/$H395),1)*$H395),"")</f>
        <v>0</v>
      </c>
      <c r="W395" s="37" t="str">
        <f>IFERROR(IF(V395=0,"",ROUNDUP(V395/H395,0)*0.02175),"")</f>
        <v/>
      </c>
      <c r="X395" s="57"/>
      <c r="Y395" s="58"/>
      <c r="AC395" s="279" t="s">
        <v>1</v>
      </c>
    </row>
    <row r="396" spans="1:29" x14ac:dyDescent="0.2">
      <c r="A396" s="378"/>
      <c r="B396" s="303"/>
      <c r="C396" s="303"/>
      <c r="D396" s="303"/>
      <c r="E396" s="303"/>
      <c r="F396" s="303"/>
      <c r="G396" s="303"/>
      <c r="H396" s="303"/>
      <c r="I396" s="303"/>
      <c r="J396" s="303"/>
      <c r="K396" s="303"/>
      <c r="L396" s="379"/>
      <c r="M396" s="377" t="s">
        <v>63</v>
      </c>
      <c r="N396" s="331"/>
      <c r="O396" s="331"/>
      <c r="P396" s="331"/>
      <c r="Q396" s="331"/>
      <c r="R396" s="331"/>
      <c r="S396" s="332"/>
      <c r="T396" s="38" t="s">
        <v>64</v>
      </c>
      <c r="U396" s="297">
        <f>IFERROR(U394/H394,"0")+IFERROR(U395/H395,"0")</f>
        <v>0</v>
      </c>
      <c r="V396" s="297">
        <f>IFERROR(V394/H394,"0")+IFERROR(V395/H395,"0")</f>
        <v>0</v>
      </c>
      <c r="W396" s="297">
        <f>IFERROR(IF(W394="",0,W394),"0")+IFERROR(IF(W395="",0,W395),"0")</f>
        <v>0</v>
      </c>
      <c r="X396" s="298"/>
      <c r="Y396" s="298"/>
    </row>
    <row r="397" spans="1:29" x14ac:dyDescent="0.2">
      <c r="A397" s="303"/>
      <c r="B397" s="303"/>
      <c r="C397" s="303"/>
      <c r="D397" s="303"/>
      <c r="E397" s="303"/>
      <c r="F397" s="303"/>
      <c r="G397" s="303"/>
      <c r="H397" s="303"/>
      <c r="I397" s="303"/>
      <c r="J397" s="303"/>
      <c r="K397" s="303"/>
      <c r="L397" s="379"/>
      <c r="M397" s="377" t="s">
        <v>63</v>
      </c>
      <c r="N397" s="331"/>
      <c r="O397" s="331"/>
      <c r="P397" s="331"/>
      <c r="Q397" s="331"/>
      <c r="R397" s="331"/>
      <c r="S397" s="332"/>
      <c r="T397" s="38" t="s">
        <v>62</v>
      </c>
      <c r="U397" s="297">
        <f>IFERROR(SUM(U394:U395),"0")</f>
        <v>0</v>
      </c>
      <c r="V397" s="297">
        <f>IFERROR(SUM(V394:V395),"0")</f>
        <v>0</v>
      </c>
      <c r="W397" s="38"/>
      <c r="X397" s="298"/>
      <c r="Y397" s="298"/>
    </row>
    <row r="398" spans="1:29" ht="27.75" customHeight="1" x14ac:dyDescent="0.2">
      <c r="A398" s="370" t="s">
        <v>600</v>
      </c>
      <c r="B398" s="371"/>
      <c r="C398" s="371"/>
      <c r="D398" s="371"/>
      <c r="E398" s="371"/>
      <c r="F398" s="371"/>
      <c r="G398" s="371"/>
      <c r="H398" s="371"/>
      <c r="I398" s="371"/>
      <c r="J398" s="371"/>
      <c r="K398" s="371"/>
      <c r="L398" s="371"/>
      <c r="M398" s="371"/>
      <c r="N398" s="371"/>
      <c r="O398" s="371"/>
      <c r="P398" s="371"/>
      <c r="Q398" s="371"/>
      <c r="R398" s="371"/>
      <c r="S398" s="371"/>
      <c r="T398" s="371"/>
      <c r="U398" s="371"/>
      <c r="V398" s="371"/>
      <c r="W398" s="371"/>
      <c r="X398" s="49"/>
      <c r="Y398" s="49"/>
    </row>
    <row r="399" spans="1:29" ht="16.5" customHeight="1" x14ac:dyDescent="0.25">
      <c r="A399" s="372" t="s">
        <v>601</v>
      </c>
      <c r="B399" s="303"/>
      <c r="C399" s="303"/>
      <c r="D399" s="303"/>
      <c r="E399" s="303"/>
      <c r="F399" s="303"/>
      <c r="G399" s="303"/>
      <c r="H399" s="303"/>
      <c r="I399" s="303"/>
      <c r="J399" s="303"/>
      <c r="K399" s="303"/>
      <c r="L399" s="303"/>
      <c r="M399" s="303"/>
      <c r="N399" s="303"/>
      <c r="O399" s="303"/>
      <c r="P399" s="303"/>
      <c r="Q399" s="303"/>
      <c r="R399" s="303"/>
      <c r="S399" s="303"/>
      <c r="T399" s="303"/>
      <c r="U399" s="303"/>
      <c r="V399" s="303"/>
      <c r="W399" s="303"/>
      <c r="X399" s="291"/>
      <c r="Y399" s="291"/>
    </row>
    <row r="400" spans="1:29" ht="14.25" customHeight="1" x14ac:dyDescent="0.25">
      <c r="A400" s="373" t="s">
        <v>103</v>
      </c>
      <c r="B400" s="303"/>
      <c r="C400" s="303"/>
      <c r="D400" s="303"/>
      <c r="E400" s="303"/>
      <c r="F400" s="303"/>
      <c r="G400" s="303"/>
      <c r="H400" s="303"/>
      <c r="I400" s="303"/>
      <c r="J400" s="303"/>
      <c r="K400" s="303"/>
      <c r="L400" s="303"/>
      <c r="M400" s="303"/>
      <c r="N400" s="303"/>
      <c r="O400" s="303"/>
      <c r="P400" s="303"/>
      <c r="Q400" s="303"/>
      <c r="R400" s="303"/>
      <c r="S400" s="303"/>
      <c r="T400" s="303"/>
      <c r="U400" s="303"/>
      <c r="V400" s="303"/>
      <c r="W400" s="303"/>
      <c r="X400" s="290"/>
      <c r="Y400" s="290"/>
    </row>
    <row r="401" spans="1:29" ht="27" customHeight="1" x14ac:dyDescent="0.25">
      <c r="A401" s="55" t="s">
        <v>602</v>
      </c>
      <c r="B401" s="55" t="s">
        <v>603</v>
      </c>
      <c r="C401" s="32">
        <v>4301011434</v>
      </c>
      <c r="D401" s="374">
        <v>4680115881099</v>
      </c>
      <c r="E401" s="319"/>
      <c r="F401" s="294">
        <v>1.5</v>
      </c>
      <c r="G401" s="33">
        <v>8</v>
      </c>
      <c r="H401" s="294">
        <v>12</v>
      </c>
      <c r="I401" s="294">
        <v>12.48</v>
      </c>
      <c r="J401" s="33">
        <v>56</v>
      </c>
      <c r="K401" s="34" t="s">
        <v>99</v>
      </c>
      <c r="L401" s="33">
        <v>50</v>
      </c>
      <c r="M401" s="600" t="s">
        <v>604</v>
      </c>
      <c r="N401" s="376"/>
      <c r="O401" s="376"/>
      <c r="P401" s="376"/>
      <c r="Q401" s="319"/>
      <c r="R401" s="35"/>
      <c r="S401" s="35"/>
      <c r="T401" s="36" t="s">
        <v>62</v>
      </c>
      <c r="U401" s="295">
        <v>0</v>
      </c>
      <c r="V401" s="296">
        <f>IFERROR(IF(U401="",0,CEILING((U401/$H401),1)*$H401),"")</f>
        <v>0</v>
      </c>
      <c r="W401" s="37" t="str">
        <f>IFERROR(IF(V401=0,"",ROUNDUP(V401/H401,0)*0.02175),"")</f>
        <v/>
      </c>
      <c r="X401" s="57"/>
      <c r="Y401" s="58"/>
      <c r="AC401" s="280" t="s">
        <v>1</v>
      </c>
    </row>
    <row r="402" spans="1:29" ht="27" customHeight="1" x14ac:dyDescent="0.25">
      <c r="A402" s="55" t="s">
        <v>605</v>
      </c>
      <c r="B402" s="55" t="s">
        <v>606</v>
      </c>
      <c r="C402" s="32">
        <v>4301011435</v>
      </c>
      <c r="D402" s="374">
        <v>4680115881150</v>
      </c>
      <c r="E402" s="319"/>
      <c r="F402" s="294">
        <v>1.5</v>
      </c>
      <c r="G402" s="33">
        <v>8</v>
      </c>
      <c r="H402" s="294">
        <v>12</v>
      </c>
      <c r="I402" s="294">
        <v>12.48</v>
      </c>
      <c r="J402" s="33">
        <v>56</v>
      </c>
      <c r="K402" s="34" t="s">
        <v>99</v>
      </c>
      <c r="L402" s="33">
        <v>50</v>
      </c>
      <c r="M402" s="601" t="s">
        <v>607</v>
      </c>
      <c r="N402" s="376"/>
      <c r="O402" s="376"/>
      <c r="P402" s="376"/>
      <c r="Q402" s="319"/>
      <c r="R402" s="35"/>
      <c r="S402" s="35"/>
      <c r="T402" s="36" t="s">
        <v>62</v>
      </c>
      <c r="U402" s="295">
        <v>0</v>
      </c>
      <c r="V402" s="296">
        <f>IFERROR(IF(U402="",0,CEILING((U402/$H402),1)*$H402),"")</f>
        <v>0</v>
      </c>
      <c r="W402" s="37" t="str">
        <f>IFERROR(IF(V402=0,"",ROUNDUP(V402/H402,0)*0.02175),"")</f>
        <v/>
      </c>
      <c r="X402" s="57"/>
      <c r="Y402" s="58"/>
      <c r="AC402" s="281" t="s">
        <v>1</v>
      </c>
    </row>
    <row r="403" spans="1:29" x14ac:dyDescent="0.2">
      <c r="A403" s="378"/>
      <c r="B403" s="303"/>
      <c r="C403" s="303"/>
      <c r="D403" s="303"/>
      <c r="E403" s="303"/>
      <c r="F403" s="303"/>
      <c r="G403" s="303"/>
      <c r="H403" s="303"/>
      <c r="I403" s="303"/>
      <c r="J403" s="303"/>
      <c r="K403" s="303"/>
      <c r="L403" s="379"/>
      <c r="M403" s="377" t="s">
        <v>63</v>
      </c>
      <c r="N403" s="331"/>
      <c r="O403" s="331"/>
      <c r="P403" s="331"/>
      <c r="Q403" s="331"/>
      <c r="R403" s="331"/>
      <c r="S403" s="332"/>
      <c r="T403" s="38" t="s">
        <v>64</v>
      </c>
      <c r="U403" s="297">
        <f>IFERROR(U401/H401,"0")+IFERROR(U402/H402,"0")</f>
        <v>0</v>
      </c>
      <c r="V403" s="297">
        <f>IFERROR(V401/H401,"0")+IFERROR(V402/H402,"0")</f>
        <v>0</v>
      </c>
      <c r="W403" s="297">
        <f>IFERROR(IF(W401="",0,W401),"0")+IFERROR(IF(W402="",0,W402),"0")</f>
        <v>0</v>
      </c>
      <c r="X403" s="298"/>
      <c r="Y403" s="298"/>
    </row>
    <row r="404" spans="1:29" x14ac:dyDescent="0.2">
      <c r="A404" s="303"/>
      <c r="B404" s="303"/>
      <c r="C404" s="303"/>
      <c r="D404" s="303"/>
      <c r="E404" s="303"/>
      <c r="F404" s="303"/>
      <c r="G404" s="303"/>
      <c r="H404" s="303"/>
      <c r="I404" s="303"/>
      <c r="J404" s="303"/>
      <c r="K404" s="303"/>
      <c r="L404" s="379"/>
      <c r="M404" s="377" t="s">
        <v>63</v>
      </c>
      <c r="N404" s="331"/>
      <c r="O404" s="331"/>
      <c r="P404" s="331"/>
      <c r="Q404" s="331"/>
      <c r="R404" s="331"/>
      <c r="S404" s="332"/>
      <c r="T404" s="38" t="s">
        <v>62</v>
      </c>
      <c r="U404" s="297">
        <f>IFERROR(SUM(U401:U402),"0")</f>
        <v>0</v>
      </c>
      <c r="V404" s="297">
        <f>IFERROR(SUM(V401:V402),"0")</f>
        <v>0</v>
      </c>
      <c r="W404" s="38"/>
      <c r="X404" s="298"/>
      <c r="Y404" s="298"/>
    </row>
    <row r="405" spans="1:29" ht="14.25" customHeight="1" x14ac:dyDescent="0.25">
      <c r="A405" s="373" t="s">
        <v>96</v>
      </c>
      <c r="B405" s="303"/>
      <c r="C405" s="303"/>
      <c r="D405" s="303"/>
      <c r="E405" s="303"/>
      <c r="F405" s="303"/>
      <c r="G405" s="303"/>
      <c r="H405" s="303"/>
      <c r="I405" s="303"/>
      <c r="J405" s="303"/>
      <c r="K405" s="303"/>
      <c r="L405" s="303"/>
      <c r="M405" s="303"/>
      <c r="N405" s="303"/>
      <c r="O405" s="303"/>
      <c r="P405" s="303"/>
      <c r="Q405" s="303"/>
      <c r="R405" s="303"/>
      <c r="S405" s="303"/>
      <c r="T405" s="303"/>
      <c r="U405" s="303"/>
      <c r="V405" s="303"/>
      <c r="W405" s="303"/>
      <c r="X405" s="290"/>
      <c r="Y405" s="290"/>
    </row>
    <row r="406" spans="1:29" ht="16.5" customHeight="1" x14ac:dyDescent="0.25">
      <c r="A406" s="55" t="s">
        <v>608</v>
      </c>
      <c r="B406" s="55" t="s">
        <v>609</v>
      </c>
      <c r="C406" s="32">
        <v>4301020230</v>
      </c>
      <c r="D406" s="374">
        <v>4680115881112</v>
      </c>
      <c r="E406" s="319"/>
      <c r="F406" s="294">
        <v>1.35</v>
      </c>
      <c r="G406" s="33">
        <v>8</v>
      </c>
      <c r="H406" s="294">
        <v>10.8</v>
      </c>
      <c r="I406" s="294">
        <v>11.28</v>
      </c>
      <c r="J406" s="33">
        <v>56</v>
      </c>
      <c r="K406" s="34" t="s">
        <v>99</v>
      </c>
      <c r="L406" s="33">
        <v>50</v>
      </c>
      <c r="M406" s="602" t="s">
        <v>610</v>
      </c>
      <c r="N406" s="376"/>
      <c r="O406" s="376"/>
      <c r="P406" s="376"/>
      <c r="Q406" s="319"/>
      <c r="R406" s="35"/>
      <c r="S406" s="35"/>
      <c r="T406" s="36" t="s">
        <v>62</v>
      </c>
      <c r="U406" s="295">
        <v>0</v>
      </c>
      <c r="V406" s="296">
        <f>IFERROR(IF(U406="",0,CEILING((U406/$H406),1)*$H406),"")</f>
        <v>0</v>
      </c>
      <c r="W406" s="37" t="str">
        <f>IFERROR(IF(V406=0,"",ROUNDUP(V406/H406,0)*0.02175),"")</f>
        <v/>
      </c>
      <c r="X406" s="57"/>
      <c r="Y406" s="58"/>
      <c r="AC406" s="282" t="s">
        <v>1</v>
      </c>
    </row>
    <row r="407" spans="1:29" ht="27" customHeight="1" x14ac:dyDescent="0.25">
      <c r="A407" s="55" t="s">
        <v>611</v>
      </c>
      <c r="B407" s="55" t="s">
        <v>612</v>
      </c>
      <c r="C407" s="32">
        <v>4301020231</v>
      </c>
      <c r="D407" s="374">
        <v>4680115881129</v>
      </c>
      <c r="E407" s="319"/>
      <c r="F407" s="294">
        <v>1.8</v>
      </c>
      <c r="G407" s="33">
        <v>6</v>
      </c>
      <c r="H407" s="294">
        <v>10.8</v>
      </c>
      <c r="I407" s="294">
        <v>11.28</v>
      </c>
      <c r="J407" s="33">
        <v>56</v>
      </c>
      <c r="K407" s="34" t="s">
        <v>99</v>
      </c>
      <c r="L407" s="33">
        <v>50</v>
      </c>
      <c r="M407" s="603" t="s">
        <v>613</v>
      </c>
      <c r="N407" s="376"/>
      <c r="O407" s="376"/>
      <c r="P407" s="376"/>
      <c r="Q407" s="319"/>
      <c r="R407" s="35"/>
      <c r="S407" s="35"/>
      <c r="T407" s="36" t="s">
        <v>62</v>
      </c>
      <c r="U407" s="295">
        <v>0</v>
      </c>
      <c r="V407" s="296">
        <f>IFERROR(IF(U407="",0,CEILING((U407/$H407),1)*$H407),"")</f>
        <v>0</v>
      </c>
      <c r="W407" s="37" t="str">
        <f>IFERROR(IF(V407=0,"",ROUNDUP(V407/H407,0)*0.02175),"")</f>
        <v/>
      </c>
      <c r="X407" s="57"/>
      <c r="Y407" s="58"/>
      <c r="AC407" s="283" t="s">
        <v>1</v>
      </c>
    </row>
    <row r="408" spans="1:29" x14ac:dyDescent="0.2">
      <c r="A408" s="378"/>
      <c r="B408" s="303"/>
      <c r="C408" s="303"/>
      <c r="D408" s="303"/>
      <c r="E408" s="303"/>
      <c r="F408" s="303"/>
      <c r="G408" s="303"/>
      <c r="H408" s="303"/>
      <c r="I408" s="303"/>
      <c r="J408" s="303"/>
      <c r="K408" s="303"/>
      <c r="L408" s="379"/>
      <c r="M408" s="377" t="s">
        <v>63</v>
      </c>
      <c r="N408" s="331"/>
      <c r="O408" s="331"/>
      <c r="P408" s="331"/>
      <c r="Q408" s="331"/>
      <c r="R408" s="331"/>
      <c r="S408" s="332"/>
      <c r="T408" s="38" t="s">
        <v>64</v>
      </c>
      <c r="U408" s="297">
        <f>IFERROR(U406/H406,"0")+IFERROR(U407/H407,"0")</f>
        <v>0</v>
      </c>
      <c r="V408" s="297">
        <f>IFERROR(V406/H406,"0")+IFERROR(V407/H407,"0")</f>
        <v>0</v>
      </c>
      <c r="W408" s="297">
        <f>IFERROR(IF(W406="",0,W406),"0")+IFERROR(IF(W407="",0,W407),"0")</f>
        <v>0</v>
      </c>
      <c r="X408" s="298"/>
      <c r="Y408" s="298"/>
    </row>
    <row r="409" spans="1:29" x14ac:dyDescent="0.2">
      <c r="A409" s="303"/>
      <c r="B409" s="303"/>
      <c r="C409" s="303"/>
      <c r="D409" s="303"/>
      <c r="E409" s="303"/>
      <c r="F409" s="303"/>
      <c r="G409" s="303"/>
      <c r="H409" s="303"/>
      <c r="I409" s="303"/>
      <c r="J409" s="303"/>
      <c r="K409" s="303"/>
      <c r="L409" s="379"/>
      <c r="M409" s="377" t="s">
        <v>63</v>
      </c>
      <c r="N409" s="331"/>
      <c r="O409" s="331"/>
      <c r="P409" s="331"/>
      <c r="Q409" s="331"/>
      <c r="R409" s="331"/>
      <c r="S409" s="332"/>
      <c r="T409" s="38" t="s">
        <v>62</v>
      </c>
      <c r="U409" s="297">
        <f>IFERROR(SUM(U406:U407),"0")</f>
        <v>0</v>
      </c>
      <c r="V409" s="297">
        <f>IFERROR(SUM(V406:V407),"0")</f>
        <v>0</v>
      </c>
      <c r="W409" s="38"/>
      <c r="X409" s="298"/>
      <c r="Y409" s="298"/>
    </row>
    <row r="410" spans="1:29" ht="14.25" customHeight="1" x14ac:dyDescent="0.25">
      <c r="A410" s="373" t="s">
        <v>57</v>
      </c>
      <c r="B410" s="303"/>
      <c r="C410" s="303"/>
      <c r="D410" s="303"/>
      <c r="E410" s="303"/>
      <c r="F410" s="303"/>
      <c r="G410" s="303"/>
      <c r="H410" s="303"/>
      <c r="I410" s="303"/>
      <c r="J410" s="303"/>
      <c r="K410" s="303"/>
      <c r="L410" s="303"/>
      <c r="M410" s="303"/>
      <c r="N410" s="303"/>
      <c r="O410" s="303"/>
      <c r="P410" s="303"/>
      <c r="Q410" s="303"/>
      <c r="R410" s="303"/>
      <c r="S410" s="303"/>
      <c r="T410" s="303"/>
      <c r="U410" s="303"/>
      <c r="V410" s="303"/>
      <c r="W410" s="303"/>
      <c r="X410" s="290"/>
      <c r="Y410" s="290"/>
    </row>
    <row r="411" spans="1:29" ht="27" customHeight="1" x14ac:dyDescent="0.25">
      <c r="A411" s="55" t="s">
        <v>614</v>
      </c>
      <c r="B411" s="55" t="s">
        <v>615</v>
      </c>
      <c r="C411" s="32">
        <v>4301031192</v>
      </c>
      <c r="D411" s="374">
        <v>4680115881167</v>
      </c>
      <c r="E411" s="319"/>
      <c r="F411" s="294">
        <v>0.63</v>
      </c>
      <c r="G411" s="33">
        <v>6</v>
      </c>
      <c r="H411" s="294">
        <v>3.78</v>
      </c>
      <c r="I411" s="294">
        <v>4.04</v>
      </c>
      <c r="J411" s="33">
        <v>156</v>
      </c>
      <c r="K411" s="34" t="s">
        <v>60</v>
      </c>
      <c r="L411" s="33">
        <v>40</v>
      </c>
      <c r="M411" s="604" t="s">
        <v>616</v>
      </c>
      <c r="N411" s="376"/>
      <c r="O411" s="376"/>
      <c r="P411" s="376"/>
      <c r="Q411" s="319"/>
      <c r="R411" s="35"/>
      <c r="S411" s="35"/>
      <c r="T411" s="36" t="s">
        <v>62</v>
      </c>
      <c r="U411" s="295">
        <v>0</v>
      </c>
      <c r="V411" s="296">
        <f>IFERROR(IF(U411="",0,CEILING((U411/$H411),1)*$H411),"")</f>
        <v>0</v>
      </c>
      <c r="W411" s="37" t="str">
        <f>IFERROR(IF(V411=0,"",ROUNDUP(V411/H411,0)*0.00753),"")</f>
        <v/>
      </c>
      <c r="X411" s="57"/>
      <c r="Y411" s="58"/>
      <c r="AC411" s="284" t="s">
        <v>1</v>
      </c>
    </row>
    <row r="412" spans="1:29" ht="16.5" customHeight="1" x14ac:dyDescent="0.25">
      <c r="A412" s="55" t="s">
        <v>617</v>
      </c>
      <c r="B412" s="55" t="s">
        <v>618</v>
      </c>
      <c r="C412" s="32">
        <v>4301031193</v>
      </c>
      <c r="D412" s="374">
        <v>4680115881136</v>
      </c>
      <c r="E412" s="319"/>
      <c r="F412" s="294">
        <v>0.63</v>
      </c>
      <c r="G412" s="33">
        <v>6</v>
      </c>
      <c r="H412" s="294">
        <v>3.78</v>
      </c>
      <c r="I412" s="294">
        <v>4.04</v>
      </c>
      <c r="J412" s="33">
        <v>156</v>
      </c>
      <c r="K412" s="34" t="s">
        <v>60</v>
      </c>
      <c r="L412" s="33">
        <v>40</v>
      </c>
      <c r="M412" s="605" t="s">
        <v>619</v>
      </c>
      <c r="N412" s="376"/>
      <c r="O412" s="376"/>
      <c r="P412" s="376"/>
      <c r="Q412" s="319"/>
      <c r="R412" s="35"/>
      <c r="S412" s="35"/>
      <c r="T412" s="36" t="s">
        <v>62</v>
      </c>
      <c r="U412" s="295">
        <v>0</v>
      </c>
      <c r="V412" s="296">
        <f>IFERROR(IF(U412="",0,CEILING((U412/$H412),1)*$H412),"")</f>
        <v>0</v>
      </c>
      <c r="W412" s="37" t="str">
        <f>IFERROR(IF(V412=0,"",ROUNDUP(V412/H412,0)*0.00753),"")</f>
        <v/>
      </c>
      <c r="X412" s="57"/>
      <c r="Y412" s="58"/>
      <c r="AC412" s="285" t="s">
        <v>1</v>
      </c>
    </row>
    <row r="413" spans="1:29" x14ac:dyDescent="0.2">
      <c r="A413" s="378"/>
      <c r="B413" s="303"/>
      <c r="C413" s="303"/>
      <c r="D413" s="303"/>
      <c r="E413" s="303"/>
      <c r="F413" s="303"/>
      <c r="G413" s="303"/>
      <c r="H413" s="303"/>
      <c r="I413" s="303"/>
      <c r="J413" s="303"/>
      <c r="K413" s="303"/>
      <c r="L413" s="379"/>
      <c r="M413" s="377" t="s">
        <v>63</v>
      </c>
      <c r="N413" s="331"/>
      <c r="O413" s="331"/>
      <c r="P413" s="331"/>
      <c r="Q413" s="331"/>
      <c r="R413" s="331"/>
      <c r="S413" s="332"/>
      <c r="T413" s="38" t="s">
        <v>64</v>
      </c>
      <c r="U413" s="297">
        <f>IFERROR(U411/H411,"0")+IFERROR(U412/H412,"0")</f>
        <v>0</v>
      </c>
      <c r="V413" s="297">
        <f>IFERROR(V411/H411,"0")+IFERROR(V412/H412,"0")</f>
        <v>0</v>
      </c>
      <c r="W413" s="297">
        <f>IFERROR(IF(W411="",0,W411),"0")+IFERROR(IF(W412="",0,W412),"0")</f>
        <v>0</v>
      </c>
      <c r="X413" s="298"/>
      <c r="Y413" s="298"/>
    </row>
    <row r="414" spans="1:29" x14ac:dyDescent="0.2">
      <c r="A414" s="303"/>
      <c r="B414" s="303"/>
      <c r="C414" s="303"/>
      <c r="D414" s="303"/>
      <c r="E414" s="303"/>
      <c r="F414" s="303"/>
      <c r="G414" s="303"/>
      <c r="H414" s="303"/>
      <c r="I414" s="303"/>
      <c r="J414" s="303"/>
      <c r="K414" s="303"/>
      <c r="L414" s="379"/>
      <c r="M414" s="377" t="s">
        <v>63</v>
      </c>
      <c r="N414" s="331"/>
      <c r="O414" s="331"/>
      <c r="P414" s="331"/>
      <c r="Q414" s="331"/>
      <c r="R414" s="331"/>
      <c r="S414" s="332"/>
      <c r="T414" s="38" t="s">
        <v>62</v>
      </c>
      <c r="U414" s="297">
        <f>IFERROR(SUM(U411:U412),"0")</f>
        <v>0</v>
      </c>
      <c r="V414" s="297">
        <f>IFERROR(SUM(V411:V412),"0")</f>
        <v>0</v>
      </c>
      <c r="W414" s="38"/>
      <c r="X414" s="298"/>
      <c r="Y414" s="298"/>
    </row>
    <row r="415" spans="1:29" ht="14.25" customHeight="1" x14ac:dyDescent="0.25">
      <c r="A415" s="373" t="s">
        <v>65</v>
      </c>
      <c r="B415" s="303"/>
      <c r="C415" s="303"/>
      <c r="D415" s="303"/>
      <c r="E415" s="303"/>
      <c r="F415" s="303"/>
      <c r="G415" s="303"/>
      <c r="H415" s="303"/>
      <c r="I415" s="303"/>
      <c r="J415" s="303"/>
      <c r="K415" s="303"/>
      <c r="L415" s="303"/>
      <c r="M415" s="303"/>
      <c r="N415" s="303"/>
      <c r="O415" s="303"/>
      <c r="P415" s="303"/>
      <c r="Q415" s="303"/>
      <c r="R415" s="303"/>
      <c r="S415" s="303"/>
      <c r="T415" s="303"/>
      <c r="U415" s="303"/>
      <c r="V415" s="303"/>
      <c r="W415" s="303"/>
      <c r="X415" s="290"/>
      <c r="Y415" s="290"/>
    </row>
    <row r="416" spans="1:29" ht="27" customHeight="1" x14ac:dyDescent="0.25">
      <c r="A416" s="55" t="s">
        <v>620</v>
      </c>
      <c r="B416" s="55" t="s">
        <v>621</v>
      </c>
      <c r="C416" s="32">
        <v>4301051383</v>
      </c>
      <c r="D416" s="374">
        <v>4680115881143</v>
      </c>
      <c r="E416" s="319"/>
      <c r="F416" s="294">
        <v>1.3</v>
      </c>
      <c r="G416" s="33">
        <v>6</v>
      </c>
      <c r="H416" s="294">
        <v>7.8</v>
      </c>
      <c r="I416" s="294">
        <v>8.3640000000000008</v>
      </c>
      <c r="J416" s="33">
        <v>56</v>
      </c>
      <c r="K416" s="34" t="s">
        <v>60</v>
      </c>
      <c r="L416" s="33">
        <v>40</v>
      </c>
      <c r="M416" s="606" t="s">
        <v>622</v>
      </c>
      <c r="N416" s="376"/>
      <c r="O416" s="376"/>
      <c r="P416" s="376"/>
      <c r="Q416" s="319"/>
      <c r="R416" s="35"/>
      <c r="S416" s="35"/>
      <c r="T416" s="36" t="s">
        <v>62</v>
      </c>
      <c r="U416" s="295">
        <v>0</v>
      </c>
      <c r="V416" s="296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86" t="s">
        <v>1</v>
      </c>
    </row>
    <row r="417" spans="1:29" ht="27" customHeight="1" x14ac:dyDescent="0.25">
      <c r="A417" s="55" t="s">
        <v>623</v>
      </c>
      <c r="B417" s="55" t="s">
        <v>624</v>
      </c>
      <c r="C417" s="32">
        <v>4301051381</v>
      </c>
      <c r="D417" s="374">
        <v>4680115881068</v>
      </c>
      <c r="E417" s="319"/>
      <c r="F417" s="294">
        <v>1.3</v>
      </c>
      <c r="G417" s="33">
        <v>6</v>
      </c>
      <c r="H417" s="294">
        <v>7.8</v>
      </c>
      <c r="I417" s="294">
        <v>8.2799999999999994</v>
      </c>
      <c r="J417" s="33">
        <v>56</v>
      </c>
      <c r="K417" s="34" t="s">
        <v>60</v>
      </c>
      <c r="L417" s="33">
        <v>30</v>
      </c>
      <c r="M417" s="607" t="s">
        <v>625</v>
      </c>
      <c r="N417" s="376"/>
      <c r="O417" s="376"/>
      <c r="P417" s="376"/>
      <c r="Q417" s="319"/>
      <c r="R417" s="35"/>
      <c r="S417" s="35"/>
      <c r="T417" s="36" t="s">
        <v>62</v>
      </c>
      <c r="U417" s="295">
        <v>0</v>
      </c>
      <c r="V417" s="296">
        <f>IFERROR(IF(U417="",0,CEILING((U417/$H417),1)*$H417),"")</f>
        <v>0</v>
      </c>
      <c r="W417" s="37" t="str">
        <f>IFERROR(IF(V417=0,"",ROUNDUP(V417/H417,0)*0.02175),"")</f>
        <v/>
      </c>
      <c r="X417" s="57"/>
      <c r="Y417" s="58"/>
      <c r="AC417" s="287" t="s">
        <v>1</v>
      </c>
    </row>
    <row r="418" spans="1:29" ht="27" customHeight="1" x14ac:dyDescent="0.25">
      <c r="A418" s="55" t="s">
        <v>626</v>
      </c>
      <c r="B418" s="55" t="s">
        <v>627</v>
      </c>
      <c r="C418" s="32">
        <v>4301051382</v>
      </c>
      <c r="D418" s="374">
        <v>4680115881075</v>
      </c>
      <c r="E418" s="319"/>
      <c r="F418" s="294">
        <v>0.5</v>
      </c>
      <c r="G418" s="33">
        <v>6</v>
      </c>
      <c r="H418" s="294">
        <v>3</v>
      </c>
      <c r="I418" s="294">
        <v>3.2</v>
      </c>
      <c r="J418" s="33">
        <v>156</v>
      </c>
      <c r="K418" s="34" t="s">
        <v>60</v>
      </c>
      <c r="L418" s="33">
        <v>30</v>
      </c>
      <c r="M418" s="608" t="s">
        <v>628</v>
      </c>
      <c r="N418" s="376"/>
      <c r="O418" s="376"/>
      <c r="P418" s="376"/>
      <c r="Q418" s="319"/>
      <c r="R418" s="35"/>
      <c r="S418" s="35"/>
      <c r="T418" s="36" t="s">
        <v>62</v>
      </c>
      <c r="U418" s="295">
        <v>0</v>
      </c>
      <c r="V418" s="296">
        <f>IFERROR(IF(U418="",0,CEILING((U418/$H418),1)*$H418),"")</f>
        <v>0</v>
      </c>
      <c r="W418" s="37" t="str">
        <f>IFERROR(IF(V418=0,"",ROUNDUP(V418/H418,0)*0.00753),"")</f>
        <v/>
      </c>
      <c r="X418" s="57"/>
      <c r="Y418" s="58"/>
      <c r="AC418" s="288" t="s">
        <v>1</v>
      </c>
    </row>
    <row r="419" spans="1:29" x14ac:dyDescent="0.2">
      <c r="A419" s="378"/>
      <c r="B419" s="303"/>
      <c r="C419" s="303"/>
      <c r="D419" s="303"/>
      <c r="E419" s="303"/>
      <c r="F419" s="303"/>
      <c r="G419" s="303"/>
      <c r="H419" s="303"/>
      <c r="I419" s="303"/>
      <c r="J419" s="303"/>
      <c r="K419" s="303"/>
      <c r="L419" s="379"/>
      <c r="M419" s="377" t="s">
        <v>63</v>
      </c>
      <c r="N419" s="331"/>
      <c r="O419" s="331"/>
      <c r="P419" s="331"/>
      <c r="Q419" s="331"/>
      <c r="R419" s="331"/>
      <c r="S419" s="332"/>
      <c r="T419" s="38" t="s">
        <v>64</v>
      </c>
      <c r="U419" s="297">
        <f>IFERROR(U416/H416,"0")+IFERROR(U417/H417,"0")+IFERROR(U418/H418,"0")</f>
        <v>0</v>
      </c>
      <c r="V419" s="297">
        <f>IFERROR(V416/H416,"0")+IFERROR(V417/H417,"0")+IFERROR(V418/H418,"0")</f>
        <v>0</v>
      </c>
      <c r="W419" s="297">
        <f>IFERROR(IF(W416="",0,W416),"0")+IFERROR(IF(W417="",0,W417),"0")+IFERROR(IF(W418="",0,W418),"0")</f>
        <v>0</v>
      </c>
      <c r="X419" s="298"/>
      <c r="Y419" s="298"/>
    </row>
    <row r="420" spans="1:29" x14ac:dyDescent="0.2">
      <c r="A420" s="303"/>
      <c r="B420" s="303"/>
      <c r="C420" s="303"/>
      <c r="D420" s="303"/>
      <c r="E420" s="303"/>
      <c r="F420" s="303"/>
      <c r="G420" s="303"/>
      <c r="H420" s="303"/>
      <c r="I420" s="303"/>
      <c r="J420" s="303"/>
      <c r="K420" s="303"/>
      <c r="L420" s="379"/>
      <c r="M420" s="377" t="s">
        <v>63</v>
      </c>
      <c r="N420" s="331"/>
      <c r="O420" s="331"/>
      <c r="P420" s="331"/>
      <c r="Q420" s="331"/>
      <c r="R420" s="331"/>
      <c r="S420" s="332"/>
      <c r="T420" s="38" t="s">
        <v>62</v>
      </c>
      <c r="U420" s="297">
        <f>IFERROR(SUM(U416:U418),"0")</f>
        <v>0</v>
      </c>
      <c r="V420" s="297">
        <f>IFERROR(SUM(V416:V418),"0")</f>
        <v>0</v>
      </c>
      <c r="W420" s="38"/>
      <c r="X420" s="298"/>
      <c r="Y420" s="298"/>
    </row>
    <row r="421" spans="1:29" ht="15" customHeight="1" x14ac:dyDescent="0.2">
      <c r="A421" s="610"/>
      <c r="B421" s="303"/>
      <c r="C421" s="303"/>
      <c r="D421" s="303"/>
      <c r="E421" s="303"/>
      <c r="F421" s="303"/>
      <c r="G421" s="303"/>
      <c r="H421" s="303"/>
      <c r="I421" s="303"/>
      <c r="J421" s="303"/>
      <c r="K421" s="303"/>
      <c r="L421" s="314"/>
      <c r="M421" s="609" t="s">
        <v>629</v>
      </c>
      <c r="N421" s="305"/>
      <c r="O421" s="305"/>
      <c r="P421" s="305"/>
      <c r="Q421" s="305"/>
      <c r="R421" s="305"/>
      <c r="S421" s="306"/>
      <c r="T421" s="38" t="s">
        <v>62</v>
      </c>
      <c r="U421" s="297">
        <f>IFERROR(U24+U33+U38+U42+U46+U53+U60+U80+U89+U101+U111+U118+U126+U134+U155+U160+U179+U205+U214+U220+U227+U238+U243+U249+U255+U259+U263+U276+U281+U285+U289+U293+U301+U306+U313+U317+U324+U338+U345+U349+U355+U363+U378+U383+U392+U397+U404+U409+U414+U420,"0")</f>
        <v>5473</v>
      </c>
      <c r="V421" s="297">
        <f>IFERROR(V24+V33+V38+V42+V46+V53+V60+V80+V89+V101+V111+V118+V126+V134+V155+V160+V179+V205+V214+V220+V227+V238+V243+V249+V255+V259+V263+V276+V281+V285+V289+V293+V301+V306+V313+V317+V324+V338+V345+V349+V355+V363+V378+V383+V392+V397+V404+V409+V414+V420,"0")</f>
        <v>5533.62</v>
      </c>
      <c r="W421" s="38"/>
      <c r="X421" s="298"/>
      <c r="Y421" s="298"/>
    </row>
    <row r="422" spans="1:29" x14ac:dyDescent="0.2">
      <c r="A422" s="303"/>
      <c r="B422" s="303"/>
      <c r="C422" s="303"/>
      <c r="D422" s="303"/>
      <c r="E422" s="303"/>
      <c r="F422" s="303"/>
      <c r="G422" s="303"/>
      <c r="H422" s="303"/>
      <c r="I422" s="303"/>
      <c r="J422" s="303"/>
      <c r="K422" s="303"/>
      <c r="L422" s="314"/>
      <c r="M422" s="609" t="s">
        <v>630</v>
      </c>
      <c r="N422" s="305"/>
      <c r="O422" s="305"/>
      <c r="P422" s="305"/>
      <c r="Q422" s="305"/>
      <c r="R422" s="305"/>
      <c r="S422" s="306"/>
      <c r="T422" s="38" t="s">
        <v>62</v>
      </c>
      <c r="U422" s="29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157*I157/H157,"0")+IFERROR(U158*I158/H158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208*I208/H208,"0")+IFERROR(U209*I209/H209,"0")+IFERROR(U210*I210/H210,"0")+IFERROR(U211*I211/H211,"0")+IFERROR(U212*I212/H212,"0")+IFERROR(U216*I216/H216,"0")+IFERROR(U217*I217/H217,"0")+IFERROR(U218*I218/H218,"0")+IFERROR(U222*I222/H222,"0")+IFERROR(U223*I223/H223,"0")+IFERROR(U224*I224/H224,"0")+IFERROR(U225*I225/H225,"0")+IFERROR(U230*I230/H230,"0")+IFERROR(U231*I231/H231,"0")+IFERROR(U232*I232/H232,"0")+IFERROR(U233*I233/H233,"0")+IFERROR(U234*I234/H234,"0")+IFERROR(U235*I235/H235,"0")+IFERROR(U236*I236/H236,"0")+IFERROR(U240*I240/H240,"0")+IFERROR(U241*I241/H241,"0")+IFERROR(U246*I246/H246,"0")+IFERROR(U247*I247/H247,"0")+IFERROR(U251*I251/H251,"0")+IFERROR(U252*I252/H252,"0")+IFERROR(U253*I253/H253,"0")+IFERROR(U257*I257/H257,"0")+IFERROR(U261*I261/H261,"0")+IFERROR(U267*I267/H267,"0")+IFERROR(U268*I268/H268,"0")+IFERROR(U269*I269/H269,"0")+IFERROR(U270*I270/H270,"0")+IFERROR(U271*I271/H271,"0")+IFERROR(U272*I272/H272,"0")+IFERROR(U273*I273/H273,"0")+IFERROR(U274*I274/H274,"0")+IFERROR(U278*I278/H278,"0")+IFERROR(U279*I279/H279,"0")+IFERROR(U283*I283/H283,"0")+IFERROR(U287*I287/H287,"0")+IFERROR(U291*I291/H291,"0")+IFERROR(U296*I296/H296,"0")+IFERROR(U297*I297/H297,"0")+IFERROR(U298*I298/H298,"0")+IFERROR(U299*I299/H299,"0")+IFERROR(U303*I303/H303,"0")+IFERROR(U304*I304/H304,"0")+IFERROR(U308*I308/H308,"0")+IFERROR(U309*I309/H309,"0")+IFERROR(U310*I310/H310,"0")+IFERROR(U311*I311/H311,"0")+IFERROR(U315*I315/H315,"0")+IFERROR(U321*I321/H321,"0")+IFERROR(U322*I322/H322,"0")+IFERROR(U326*I326/H326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340*I340/H340,"0")+IFERROR(U341*I341/H341,"0")+IFERROR(U342*I342/H342,"0")+IFERROR(U343*I343/H343,"0")+IFERROR(U347*I347/H347,"0")+IFERROR(U352*I352/H352,"0")+IFERROR(U353*I353/H353,"0")+IFERROR(U357*I357/H357,"0")+IFERROR(U358*I358/H358,"0")+IFERROR(U359*I359/H359,"0")+IFERROR(U360*I360/H360,"0")+IFERROR(U361*I361/H361,"0")+IFERROR(U367*I367/H367,"0")+IFERROR(U368*I368/H368,"0")+IFERROR(U369*I369/H369,"0")+IFERROR(U370*I370/H370,"0")+IFERROR(U371*I371/H371,"0")+IFERROR(U372*I372/H372,"0")+IFERROR(U373*I373/H373,"0")+IFERROR(U374*I374/H374,"0")+IFERROR(U375*I375/H375,"0")+IFERROR(U376*I376/H376,"0")+IFERROR(U380*I380/H380,"0")+IFERROR(U381*I381/H381,"0")+IFERROR(U385*I385/H385,"0")+IFERROR(U386*I386/H386,"0")+IFERROR(U387*I387/H387,"0")+IFERROR(U388*I388/H388,"0")+IFERROR(U389*I389/H389,"0")+IFERROR(U390*I390/H390,"0")+IFERROR(U394*I394/H394,"0")+IFERROR(U395*I395/H395,"0")+IFERROR(U401*I401/H401,"0")+IFERROR(U402*I402/H402,"0")+IFERROR(U406*I406/H406,"0")+IFERROR(U407*I407/H407,"0")+IFERROR(U411*I411/H411,"0")+IFERROR(U412*I412/H412,"0")+IFERROR(U416*I416/H416,"0")+IFERROR(U417*I417/H417,"0")+IFERROR(U418*I418/H418,"0"),"0")</f>
        <v>5749.6671831871845</v>
      </c>
      <c r="V422" s="29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157*I157/H157,"0")+IFERROR(V158*I158/H158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208*I208/H208,"0")+IFERROR(V209*I209/H209,"0")+IFERROR(V210*I210/H210,"0")+IFERROR(V211*I211/H211,"0")+IFERROR(V212*I212/H212,"0")+IFERROR(V216*I216/H216,"0")+IFERROR(V217*I217/H217,"0")+IFERROR(V218*I218/H218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240*I240/H240,"0")+IFERROR(V241*I241/H241,"0")+IFERROR(V246*I246/H246,"0")+IFERROR(V247*I247/H247,"0")+IFERROR(V251*I251/H251,"0")+IFERROR(V252*I252/H252,"0")+IFERROR(V253*I253/H253,"0")+IFERROR(V257*I257/H257,"0")+IFERROR(V261*I261/H261,"0")+IFERROR(V267*I267/H267,"0")+IFERROR(V268*I268/H268,"0")+IFERROR(V269*I269/H269,"0")+IFERROR(V270*I270/H270,"0")+IFERROR(V271*I271/H271,"0")+IFERROR(V272*I272/H272,"0")+IFERROR(V273*I273/H273,"0")+IFERROR(V274*I274/H274,"0")+IFERROR(V278*I278/H278,"0")+IFERROR(V279*I279/H279,"0")+IFERROR(V283*I283/H283,"0")+IFERROR(V287*I287/H287,"0")+IFERROR(V291*I291/H291,"0")+IFERROR(V296*I296/H296,"0")+IFERROR(V297*I297/H297,"0")+IFERROR(V298*I298/H298,"0")+IFERROR(V299*I299/H299,"0")+IFERROR(V303*I303/H303,"0")+IFERROR(V304*I304/H304,"0")+IFERROR(V308*I308/H308,"0")+IFERROR(V309*I309/H309,"0")+IFERROR(V310*I310/H310,"0")+IFERROR(V311*I311/H311,"0")+IFERROR(V315*I315/H315,"0")+IFERROR(V321*I321/H321,"0")+IFERROR(V322*I322/H322,"0")+IFERROR(V326*I326/H326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343*I343/H343,"0")+IFERROR(V347*I347/H347,"0")+IFERROR(V352*I352/H352,"0")+IFERROR(V353*I353/H353,"0")+IFERROR(V357*I357/H357,"0")+IFERROR(V358*I358/H358,"0")+IFERROR(V359*I359/H359,"0")+IFERROR(V360*I360/H360,"0")+IFERROR(V361*I361/H361,"0")+IFERROR(V367*I367/H367,"0")+IFERROR(V368*I368/H368,"0")+IFERROR(V369*I369/H369,"0")+IFERROR(V370*I370/H370,"0")+IFERROR(V371*I371/H371,"0")+IFERROR(V372*I372/H372,"0")+IFERROR(V373*I373/H373,"0")+IFERROR(V374*I374/H374,"0")+IFERROR(V375*I375/H375,"0")+IFERROR(V376*I376/H376,"0")+IFERROR(V380*I380/H380,"0")+IFERROR(V381*I381/H381,"0")+IFERROR(V385*I385/H385,"0")+IFERROR(V386*I386/H386,"0")+IFERROR(V387*I387/H387,"0")+IFERROR(V388*I388/H388,"0")+IFERROR(V389*I389/H389,"0")+IFERROR(V390*I390/H390,"0")+IFERROR(V394*I394/H394,"0")+IFERROR(V395*I395/H395,"0")+IFERROR(V401*I401/H401,"0")+IFERROR(V402*I402/H402,"0")+IFERROR(V406*I406/H406,"0")+IFERROR(V407*I407/H407,"0")+IFERROR(V411*I411/H411,"0")+IFERROR(V412*I412/H412,"0")+IFERROR(V416*I416/H416,"0")+IFERROR(V417*I417/H417,"0")+IFERROR(V418*I418/H418,"0"),"0")</f>
        <v>5813.4579999999996</v>
      </c>
      <c r="W422" s="38"/>
      <c r="X422" s="298"/>
      <c r="Y422" s="298"/>
    </row>
    <row r="423" spans="1:29" x14ac:dyDescent="0.2">
      <c r="A423" s="303"/>
      <c r="B423" s="303"/>
      <c r="C423" s="303"/>
      <c r="D423" s="303"/>
      <c r="E423" s="303"/>
      <c r="F423" s="303"/>
      <c r="G423" s="303"/>
      <c r="H423" s="303"/>
      <c r="I423" s="303"/>
      <c r="J423" s="303"/>
      <c r="K423" s="303"/>
      <c r="L423" s="314"/>
      <c r="M423" s="609" t="s">
        <v>631</v>
      </c>
      <c r="N423" s="305"/>
      <c r="O423" s="305"/>
      <c r="P423" s="305"/>
      <c r="Q423" s="305"/>
      <c r="R423" s="305"/>
      <c r="S423" s="306"/>
      <c r="T423" s="38" t="s">
        <v>632</v>
      </c>
      <c r="U423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153*(U137:U153/H137:H153)),"0")+IFERROR(SUMPRODUCT(1/J157:J158*(U157:U158/H157:H158)),"0")+IFERROR(SUMPRODUCT(1/J162:J177*(U162:U177/H162:H177)),"0")+IFERROR(SUMPRODUCT(1/J181:J203*(U181:U203/H181:H203)),"0")+IFERROR(SUMPRODUCT(1/J207:J212*(U207:U212/H207:H212)),"0")+IFERROR(SUMPRODUCT(1/J216:J218*(U216:U218/H216:H218)),"0")+IFERROR(SUMPRODUCT(1/J222:J225*(U222:U225/H222:H225)),"0")+IFERROR(SUMPRODUCT(1/J230:J236*(U230:U236/H230:H236)),"0")+IFERROR(SUMPRODUCT(1/J240:J241*(U240:U241/H240:H241)),"0")+IFERROR(SUMPRODUCT(1/J246:J247*(U246:U247/H246:H247)),"0")+IFERROR(SUMPRODUCT(1/J251:J253*(U251:U253/H251:H253)),"0")+IFERROR(SUMPRODUCT(1/J257:J257*(U257:U257/H257:H257)),"0")+IFERROR(SUMPRODUCT(1/J261:J261*(U261:U261/H261:H261)),"0")+IFERROR(SUMPRODUCT(1/J267:J274*(U267:U274/H267:H274)),"0")+IFERROR(SUMPRODUCT(1/J278:J279*(U278:U279/H278:H279)),"0")+IFERROR(SUMPRODUCT(1/J283:J283*(U283:U283/H283:H283)),"0")+IFERROR(SUMPRODUCT(1/J287:J287*(U287:U287/H287:H287)),"0")+IFERROR(SUMPRODUCT(1/J291:J291*(U291:U291/H291:H291)),"0")+IFERROR(SUMPRODUCT(1/J296:J299*(U296:U299/H296:H299)),"0")+IFERROR(SUMPRODUCT(1/J303:J304*(U303:U304/H303:H304)),"0")+IFERROR(SUMPRODUCT(1/J308:J311*(U308:U311/H308:H311)),"0")+IFERROR(SUMPRODUCT(1/J315:J315*(U315:U315/H315:H315)),"0")+IFERROR(SUMPRODUCT(1/J321:J322*(U321:U322/H321:H322)),"0")+IFERROR(SUMPRODUCT(1/J326:J336*(U326:U336/H326:H336)),"0")+IFERROR(SUMPRODUCT(1/J340:J343*(U340:U343/H340:H343)),"0")+IFERROR(SUMPRODUCT(1/J347:J347*(U347:U347/H347:H347)),"0")+IFERROR(SUMPRODUCT(1/J352:J353*(U352:U353/H352:H353)),"0")+IFERROR(SUMPRODUCT(1/J357:J361*(U357:U361/H357:H361)),"0")+IFERROR(SUMPRODUCT(1/J367:J376*(U367:U376/H367:H376)),"0")+IFERROR(SUMPRODUCT(1/J380:J381*(U380:U381/H380:H381)),"0")+IFERROR(SUMPRODUCT(1/J385:J390*(U385:U390/H385:H390)),"0")+IFERROR(SUMPRODUCT(1/J394:J395*(U394:U395/H394:H395)),"0")+IFERROR(SUMPRODUCT(1/J401:J402*(U401:U402/H401:H402)),"0")+IFERROR(SUMPRODUCT(1/J406:J407*(U406:U407/H406:H407)),"0")+IFERROR(SUMPRODUCT(1/J411:J412*(U411:U412/H411:H412)),"0")+IFERROR(SUMPRODUCT(1/J416:J418*(U416:U418/H416:H418)),"0"),0)</f>
        <v>10</v>
      </c>
      <c r="V423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153*(V137:V153/H137:H153)),"0")+IFERROR(SUMPRODUCT(1/J157:J158*(V157:V158/H157:H158)),"0")+IFERROR(SUMPRODUCT(1/J162:J177*(V162:V177/H162:H177)),"0")+IFERROR(SUMPRODUCT(1/J181:J203*(V181:V203/H181:H203)),"0")+IFERROR(SUMPRODUCT(1/J207:J212*(V207:V212/H207:H212)),"0")+IFERROR(SUMPRODUCT(1/J216:J218*(V216:V218/H216:H218)),"0")+IFERROR(SUMPRODUCT(1/J222:J225*(V222:V225/H222:H225)),"0")+IFERROR(SUMPRODUCT(1/J230:J236*(V230:V236/H230:H236)),"0")+IFERROR(SUMPRODUCT(1/J240:J241*(V240:V241/H240:H241)),"0")+IFERROR(SUMPRODUCT(1/J246:J247*(V246:V247/H246:H247)),"0")+IFERROR(SUMPRODUCT(1/J251:J253*(V251:V253/H251:H253)),"0")+IFERROR(SUMPRODUCT(1/J257:J257*(V257:V257/H257:H257)),"0")+IFERROR(SUMPRODUCT(1/J261:J261*(V261:V261/H261:H261)),"0")+IFERROR(SUMPRODUCT(1/J267:J274*(V267:V274/H267:H274)),"0")+IFERROR(SUMPRODUCT(1/J278:J279*(V278:V279/H278:H279)),"0")+IFERROR(SUMPRODUCT(1/J283:J283*(V283:V283/H283:H283)),"0")+IFERROR(SUMPRODUCT(1/J287:J287*(V287:V287/H287:H287)),"0")+IFERROR(SUMPRODUCT(1/J291:J291*(V291:V291/H291:H291)),"0")+IFERROR(SUMPRODUCT(1/J296:J299*(V296:V299/H296:H299)),"0")+IFERROR(SUMPRODUCT(1/J303:J304*(V303:V304/H303:H304)),"0")+IFERROR(SUMPRODUCT(1/J308:J311*(V308:V311/H308:H311)),"0")+IFERROR(SUMPRODUCT(1/J315:J315*(V315:V315/H315:H315)),"0")+IFERROR(SUMPRODUCT(1/J321:J322*(V321:V322/H321:H322)),"0")+IFERROR(SUMPRODUCT(1/J326:J336*(V326:V336/H326:H336)),"0")+IFERROR(SUMPRODUCT(1/J340:J343*(V340:V343/H340:H343)),"0")+IFERROR(SUMPRODUCT(1/J347:J347*(V347:V347/H347:H347)),"0")+IFERROR(SUMPRODUCT(1/J352:J353*(V352:V353/H352:H353)),"0")+IFERROR(SUMPRODUCT(1/J357:J361*(V357:V361/H357:H361)),"0")+IFERROR(SUMPRODUCT(1/J367:J376*(V367:V376/H367:H376)),"0")+IFERROR(SUMPRODUCT(1/J380:J381*(V380:V381/H380:H381)),"0")+IFERROR(SUMPRODUCT(1/J385:J390*(V385:V390/H385:H390)),"0")+IFERROR(SUMPRODUCT(1/J394:J395*(V394:V395/H394:H395)),"0")+IFERROR(SUMPRODUCT(1/J401:J402*(V401:V402/H401:H402)),"0")+IFERROR(SUMPRODUCT(1/J406:J407*(V406:V407/H406:H407)),"0")+IFERROR(SUMPRODUCT(1/J411:J412*(V411:V412/H411:H412)),"0")+IFERROR(SUMPRODUCT(1/J416:J418*(V416:V418/H416:H418)),"0"),0)</f>
        <v>10</v>
      </c>
      <c r="W423" s="38"/>
      <c r="X423" s="298"/>
      <c r="Y423" s="298"/>
    </row>
    <row r="424" spans="1:29" x14ac:dyDescent="0.2">
      <c r="A424" s="303"/>
      <c r="B424" s="303"/>
      <c r="C424" s="303"/>
      <c r="D424" s="303"/>
      <c r="E424" s="303"/>
      <c r="F424" s="303"/>
      <c r="G424" s="303"/>
      <c r="H424" s="303"/>
      <c r="I424" s="303"/>
      <c r="J424" s="303"/>
      <c r="K424" s="303"/>
      <c r="L424" s="314"/>
      <c r="M424" s="609" t="s">
        <v>633</v>
      </c>
      <c r="N424" s="305"/>
      <c r="O424" s="305"/>
      <c r="P424" s="305"/>
      <c r="Q424" s="305"/>
      <c r="R424" s="305"/>
      <c r="S424" s="306"/>
      <c r="T424" s="38" t="s">
        <v>62</v>
      </c>
      <c r="U424" s="297">
        <f>GrossWeightTotal+PalletQtyTotal*25</f>
        <v>5999.6671831871845</v>
      </c>
      <c r="V424" s="297">
        <f>GrossWeightTotalR+PalletQtyTotalR*25</f>
        <v>6063.4579999999996</v>
      </c>
      <c r="W424" s="38"/>
      <c r="X424" s="298"/>
      <c r="Y424" s="298"/>
    </row>
    <row r="425" spans="1:29" x14ac:dyDescent="0.2">
      <c r="A425" s="303"/>
      <c r="B425" s="303"/>
      <c r="C425" s="303"/>
      <c r="D425" s="303"/>
      <c r="E425" s="303"/>
      <c r="F425" s="303"/>
      <c r="G425" s="303"/>
      <c r="H425" s="303"/>
      <c r="I425" s="303"/>
      <c r="J425" s="303"/>
      <c r="K425" s="303"/>
      <c r="L425" s="314"/>
      <c r="M425" s="609" t="s">
        <v>634</v>
      </c>
      <c r="N425" s="305"/>
      <c r="O425" s="305"/>
      <c r="P425" s="305"/>
      <c r="Q425" s="305"/>
      <c r="R425" s="305"/>
      <c r="S425" s="306"/>
      <c r="T425" s="38" t="s">
        <v>632</v>
      </c>
      <c r="U425" s="297">
        <f>IFERROR(U23+U32+U37+U41+U45+U52+U59+U79+U88+U100+U110+U117+U125+U133+U154+U159+U178+U204+U213+U219+U226+U237+U242+U248+U254+U258+U262+U275+U280+U284+U288+U292+U300+U305+U312+U316+U323+U337+U344+U348+U354+U362+U377+U382+U391+U396+U403+U408+U413+U419,"0")</f>
        <v>828.32769082769096</v>
      </c>
      <c r="V425" s="297">
        <f>IFERROR(V23+V32+V37+V41+V45+V52+V59+V79+V88+V100+V110+V117+V125+V133+V154+V159+V178+V204+V213+V219+V226+V237+V242+V248+V254+V258+V262+V275+V280+V284+V288+V292+V300+V305+V312+V316+V323+V337+V344+V348+V354+V362+V377+V382+V391+V396+V403+V408+V413+V419,"0")</f>
        <v>837</v>
      </c>
      <c r="W425" s="38"/>
      <c r="X425" s="298"/>
      <c r="Y425" s="298"/>
    </row>
    <row r="426" spans="1:29" ht="14.25" customHeight="1" x14ac:dyDescent="0.2">
      <c r="A426" s="303"/>
      <c r="B426" s="303"/>
      <c r="C426" s="303"/>
      <c r="D426" s="303"/>
      <c r="E426" s="303"/>
      <c r="F426" s="303"/>
      <c r="G426" s="303"/>
      <c r="H426" s="303"/>
      <c r="I426" s="303"/>
      <c r="J426" s="303"/>
      <c r="K426" s="303"/>
      <c r="L426" s="314"/>
      <c r="M426" s="609" t="s">
        <v>635</v>
      </c>
      <c r="N426" s="305"/>
      <c r="O426" s="305"/>
      <c r="P426" s="305"/>
      <c r="Q426" s="305"/>
      <c r="R426" s="305"/>
      <c r="S426" s="306"/>
      <c r="T426" s="40" t="s">
        <v>636</v>
      </c>
      <c r="U426" s="38"/>
      <c r="V426" s="38"/>
      <c r="W426" s="38">
        <f>IFERROR(W23+W32+W37+W41+W45+W52+W59+W79+W88+W100+W110+W117+W125+W133+W154+W159+W178+W204+W213+W219+W226+W237+W242+W248+W254+W258+W262+W275+W280+W284+W288+W292+W300+W305+W312+W316+W323+W337+W344+W348+W354+W362+W377+W382+W391+W396+W403+W408+W413+W419,"0")</f>
        <v>10.585720000000002</v>
      </c>
      <c r="X426" s="298"/>
      <c r="Y426" s="298"/>
    </row>
    <row r="427" spans="1:29" ht="13.5" customHeight="1" thickBot="1" x14ac:dyDescent="0.25"/>
    <row r="428" spans="1:29" ht="27" customHeight="1" thickTop="1" thickBot="1" x14ac:dyDescent="0.25">
      <c r="A428" s="41" t="s">
        <v>637</v>
      </c>
      <c r="B428" s="289" t="s">
        <v>56</v>
      </c>
      <c r="C428" s="611" t="s">
        <v>94</v>
      </c>
      <c r="D428" s="612"/>
      <c r="E428" s="612"/>
      <c r="F428" s="613"/>
      <c r="G428" s="611" t="s">
        <v>216</v>
      </c>
      <c r="H428" s="612"/>
      <c r="I428" s="612"/>
      <c r="J428" s="613"/>
      <c r="K428" s="611" t="s">
        <v>435</v>
      </c>
      <c r="L428" s="613"/>
      <c r="M428" s="611" t="s">
        <v>488</v>
      </c>
      <c r="N428" s="613"/>
      <c r="O428" s="289" t="s">
        <v>550</v>
      </c>
      <c r="P428" s="289" t="s">
        <v>600</v>
      </c>
      <c r="Q428" s="1"/>
      <c r="R428" s="1"/>
      <c r="S428" s="1"/>
      <c r="T428" s="1"/>
      <c r="Y428" s="53"/>
      <c r="AB428" s="1"/>
    </row>
    <row r="429" spans="1:29" ht="14.25" customHeight="1" thickTop="1" x14ac:dyDescent="0.2">
      <c r="A429" s="615" t="s">
        <v>638</v>
      </c>
      <c r="B429" s="611" t="s">
        <v>56</v>
      </c>
      <c r="C429" s="611" t="s">
        <v>95</v>
      </c>
      <c r="D429" s="611" t="s">
        <v>102</v>
      </c>
      <c r="E429" s="611" t="s">
        <v>94</v>
      </c>
      <c r="F429" s="611" t="s">
        <v>207</v>
      </c>
      <c r="G429" s="611" t="s">
        <v>217</v>
      </c>
      <c r="H429" s="611" t="s">
        <v>224</v>
      </c>
      <c r="I429" s="611" t="s">
        <v>403</v>
      </c>
      <c r="J429" s="611" t="s">
        <v>420</v>
      </c>
      <c r="K429" s="611" t="s">
        <v>436</v>
      </c>
      <c r="L429" s="611" t="s">
        <v>461</v>
      </c>
      <c r="M429" s="611" t="s">
        <v>489</v>
      </c>
      <c r="N429" s="611" t="s">
        <v>534</v>
      </c>
      <c r="O429" s="611" t="s">
        <v>550</v>
      </c>
      <c r="P429" s="611" t="s">
        <v>601</v>
      </c>
      <c r="Q429" s="1"/>
      <c r="R429" s="1"/>
      <c r="S429" s="1"/>
      <c r="T429" s="1"/>
      <c r="Y429" s="53"/>
      <c r="AB429" s="1"/>
    </row>
    <row r="430" spans="1:29" ht="13.5" customHeight="1" thickBot="1" x14ac:dyDescent="0.25">
      <c r="A430" s="616"/>
      <c r="B430" s="614"/>
      <c r="C430" s="614"/>
      <c r="D430" s="614"/>
      <c r="E430" s="614"/>
      <c r="F430" s="614"/>
      <c r="G430" s="614"/>
      <c r="H430" s="614"/>
      <c r="I430" s="614"/>
      <c r="J430" s="614"/>
      <c r="K430" s="614"/>
      <c r="L430" s="614"/>
      <c r="M430" s="614"/>
      <c r="N430" s="614"/>
      <c r="O430" s="614"/>
      <c r="P430" s="614"/>
      <c r="Q430" s="1"/>
      <c r="R430" s="1"/>
      <c r="S430" s="1"/>
      <c r="T430" s="1"/>
      <c r="Y430" s="53"/>
      <c r="AB430" s="1"/>
    </row>
    <row r="431" spans="1:29" ht="18" customHeight="1" thickTop="1" thickBot="1" x14ac:dyDescent="0.25">
      <c r="A431" s="41" t="s">
        <v>639</v>
      </c>
      <c r="B431" s="47">
        <f>IFERROR(V22*1,"0")+IFERROR(V26*1,"0")+IFERROR(V27*1,"0")+IFERROR(V28*1,"0")+IFERROR(V29*1,"0")+IFERROR(V30*1,"0")+IFERROR(V31*1,"0")+IFERROR(V35*1,"0")+IFERROR(V36*1,"0")+IFERROR(V40*1,"0")+IFERROR(V44*1,"0")</f>
        <v>0</v>
      </c>
      <c r="C431" s="47">
        <f>IFERROR(V50*1,"0")+IFERROR(V51*1,"0")</f>
        <v>0</v>
      </c>
      <c r="D431" s="47">
        <f>IFERROR(V56*1,"0")+IFERROR(V57*1,"0")+IFERROR(V58*1,"0")</f>
        <v>0</v>
      </c>
      <c r="E431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27</v>
      </c>
      <c r="F431" s="47">
        <f>IFERROR(V121*1,"0")+IFERROR(V122*1,"0")+IFERROR(V123*1,"0")+IFERROR(V124*1,"0")</f>
        <v>45.900000000000006</v>
      </c>
      <c r="G431" s="47">
        <f>IFERROR(V130*1,"0")+IFERROR(V131*1,"0")+IFERROR(V132*1,"0")</f>
        <v>0</v>
      </c>
      <c r="H431" s="47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157*1,"0")+IFERROR(V158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208*1,"0")+IFERROR(V209*1,"0")+IFERROR(V210*1,"0")+IFERROR(V211*1,"0")+IFERROR(V212*1,"0")+IFERROR(V216*1,"0")+IFERROR(V217*1,"0")+IFERROR(V218*1,"0")+IFERROR(V222*1,"0")+IFERROR(V223*1,"0")+IFERROR(V224*1,"0")+IFERROR(V225*1,"0")</f>
        <v>792</v>
      </c>
      <c r="I431" s="47">
        <f>IFERROR(V230*1,"0")+IFERROR(V231*1,"0")+IFERROR(V232*1,"0")+IFERROR(V233*1,"0")+IFERROR(V234*1,"0")+IFERROR(V235*1,"0")+IFERROR(V236*1,"0")+IFERROR(V240*1,"0")+IFERROR(V241*1,"0")</f>
        <v>0</v>
      </c>
      <c r="J431" s="47">
        <f>IFERROR(V246*1,"0")+IFERROR(V247*1,"0")+IFERROR(V251*1,"0")+IFERROR(V252*1,"0")+IFERROR(V253*1,"0")+IFERROR(V257*1,"0")+IFERROR(V261*1,"0")</f>
        <v>148.68</v>
      </c>
      <c r="K431" s="47">
        <f>IFERROR(V267*1,"0")+IFERROR(V268*1,"0")+IFERROR(V269*1,"0")+IFERROR(V270*1,"0")+IFERROR(V271*1,"0")+IFERROR(V272*1,"0")+IFERROR(V273*1,"0")+IFERROR(V274*1,"0")+IFERROR(V278*1,"0")+IFERROR(V279*1,"0")+IFERROR(V283*1,"0")+IFERROR(V287*1,"0")+IFERROR(V291*1,"0")</f>
        <v>3692.4</v>
      </c>
      <c r="L431" s="47">
        <f>IFERROR(V296*1,"0")+IFERROR(V297*1,"0")+IFERROR(V298*1,"0")+IFERROR(V299*1,"0")+IFERROR(V303*1,"0")+IFERROR(V304*1,"0")+IFERROR(V308*1,"0")+IFERROR(V309*1,"0")+IFERROR(V310*1,"0")+IFERROR(V311*1,"0")+IFERROR(V315*1,"0")</f>
        <v>0</v>
      </c>
      <c r="M431" s="47">
        <f>IFERROR(V321*1,"0")+IFERROR(V322*1,"0")+IFERROR(V326*1,"0")+IFERROR(V327*1,"0")+IFERROR(V328*1,"0")+IFERROR(V329*1,"0")+IFERROR(V330*1,"0")+IFERROR(V331*1,"0")+IFERROR(V332*1,"0")+IFERROR(V333*1,"0")+IFERROR(V334*1,"0")+IFERROR(V335*1,"0")+IFERROR(V336*1,"0")+IFERROR(V340*1,"0")+IFERROR(V341*1,"0")+IFERROR(V342*1,"0")+IFERROR(V343*1,"0")+IFERROR(V347*1,"0")</f>
        <v>50.400000000000006</v>
      </c>
      <c r="N431" s="47">
        <f>IFERROR(V352*1,"0")+IFERROR(V353*1,"0")+IFERROR(V357*1,"0")+IFERROR(V358*1,"0")+IFERROR(V359*1,"0")+IFERROR(V360*1,"0")+IFERROR(V361*1,"0")</f>
        <v>180.6</v>
      </c>
      <c r="O431" s="47">
        <f>IFERROR(V367*1,"0")+IFERROR(V368*1,"0")+IFERROR(V369*1,"0")+IFERROR(V370*1,"0")+IFERROR(V371*1,"0")+IFERROR(V372*1,"0")+IFERROR(V373*1,"0")+IFERROR(V374*1,"0")+IFERROR(V375*1,"0")+IFERROR(V376*1,"0")+IFERROR(V380*1,"0")+IFERROR(V381*1,"0")+IFERROR(V385*1,"0")+IFERROR(V386*1,"0")+IFERROR(V387*1,"0")+IFERROR(V388*1,"0")+IFERROR(V389*1,"0")+IFERROR(V390*1,"0")+IFERROR(V394*1,"0")+IFERROR(V395*1,"0")</f>
        <v>596.6400000000001</v>
      </c>
      <c r="P431" s="47">
        <f>IFERROR(V401*1,"0")+IFERROR(V402*1,"0")+IFERROR(V406*1,"0")+IFERROR(V407*1,"0")+IFERROR(V411*1,"0")+IFERROR(V412*1,"0")+IFERROR(V416*1,"0")+IFERROR(V417*1,"0")+IFERROR(V418*1,"0")</f>
        <v>0</v>
      </c>
      <c r="Q431" s="1"/>
      <c r="R431" s="1"/>
      <c r="S431" s="1"/>
      <c r="T431" s="1"/>
      <c r="Y431" s="53"/>
      <c r="AB431" s="1"/>
    </row>
  </sheetData>
  <sheetProtection algorithmName="SHA-512" hashValue="6M9fcsy7iRa6renMFmpx2JuBs3KX4RmOz6ObKP0HKGpdsD1NMZ2pa7o+s2ga8mJqVRiqNbPfchhy7zDDlC5Q4A==" saltValue="jFqPYBBTC+x8fAQgszbcX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772">
    <mergeCell ref="J429:J430"/>
    <mergeCell ref="K429:K430"/>
    <mergeCell ref="L429:L430"/>
    <mergeCell ref="M429:M430"/>
    <mergeCell ref="N429:N430"/>
    <mergeCell ref="O429:O430"/>
    <mergeCell ref="P429:P430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M421:S421"/>
    <mergeCell ref="A421:L426"/>
    <mergeCell ref="M422:S422"/>
    <mergeCell ref="M423:S423"/>
    <mergeCell ref="M424:S424"/>
    <mergeCell ref="M425:S425"/>
    <mergeCell ref="M426:S426"/>
    <mergeCell ref="C428:F428"/>
    <mergeCell ref="G428:J428"/>
    <mergeCell ref="K428:L428"/>
    <mergeCell ref="M428:N428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10:W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M403:S403"/>
    <mergeCell ref="A403:L404"/>
    <mergeCell ref="M404:S404"/>
    <mergeCell ref="A405:W405"/>
    <mergeCell ref="D406:E406"/>
    <mergeCell ref="M406:Q406"/>
    <mergeCell ref="D407:E407"/>
    <mergeCell ref="M407:Q407"/>
    <mergeCell ref="M408:S408"/>
    <mergeCell ref="A408:L409"/>
    <mergeCell ref="M409:S409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390:E390"/>
    <mergeCell ref="M390:Q390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D380:E380"/>
    <mergeCell ref="M380:Q380"/>
    <mergeCell ref="D381:E381"/>
    <mergeCell ref="M381:Q381"/>
    <mergeCell ref="M382:S382"/>
    <mergeCell ref="A382:L383"/>
    <mergeCell ref="M383:S383"/>
    <mergeCell ref="A384:W384"/>
    <mergeCell ref="D373:E373"/>
    <mergeCell ref="M373:Q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61:E361"/>
    <mergeCell ref="M361:Q361"/>
    <mergeCell ref="M362:S362"/>
    <mergeCell ref="A362:L363"/>
    <mergeCell ref="M363:S363"/>
    <mergeCell ref="A364:W364"/>
    <mergeCell ref="A365:W365"/>
    <mergeCell ref="A366:W366"/>
    <mergeCell ref="D367:E367"/>
    <mergeCell ref="M367:Q367"/>
    <mergeCell ref="A356:W356"/>
    <mergeCell ref="D357:E357"/>
    <mergeCell ref="M357:Q357"/>
    <mergeCell ref="D358:E358"/>
    <mergeCell ref="M358:Q358"/>
    <mergeCell ref="D359:E359"/>
    <mergeCell ref="M359:Q359"/>
    <mergeCell ref="D360:E360"/>
    <mergeCell ref="M360:Q360"/>
    <mergeCell ref="A350:W350"/>
    <mergeCell ref="A351:W351"/>
    <mergeCell ref="D352:E352"/>
    <mergeCell ref="M352:Q352"/>
    <mergeCell ref="D353:E353"/>
    <mergeCell ref="M353:Q353"/>
    <mergeCell ref="M354:S354"/>
    <mergeCell ref="A354:L355"/>
    <mergeCell ref="M355:S355"/>
    <mergeCell ref="M344:S344"/>
    <mergeCell ref="A344:L345"/>
    <mergeCell ref="M345:S345"/>
    <mergeCell ref="A346:W346"/>
    <mergeCell ref="D347:E347"/>
    <mergeCell ref="M347:Q347"/>
    <mergeCell ref="M348:S348"/>
    <mergeCell ref="A348:L349"/>
    <mergeCell ref="M349:S349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34:E334"/>
    <mergeCell ref="M334:Q334"/>
    <mergeCell ref="D335:E335"/>
    <mergeCell ref="M335:Q335"/>
    <mergeCell ref="D336:E336"/>
    <mergeCell ref="M336:Q336"/>
    <mergeCell ref="M337:S337"/>
    <mergeCell ref="A337:L338"/>
    <mergeCell ref="M338:S33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M323:S323"/>
    <mergeCell ref="A323:L324"/>
    <mergeCell ref="M324:S324"/>
    <mergeCell ref="A325:W325"/>
    <mergeCell ref="D326:E326"/>
    <mergeCell ref="M326:Q326"/>
    <mergeCell ref="D327:E327"/>
    <mergeCell ref="M327:Q327"/>
    <mergeCell ref="D328:E328"/>
    <mergeCell ref="M328:Q328"/>
    <mergeCell ref="M316:S316"/>
    <mergeCell ref="A316:L317"/>
    <mergeCell ref="M317:S317"/>
    <mergeCell ref="A318:W318"/>
    <mergeCell ref="A319:W319"/>
    <mergeCell ref="A320:W320"/>
    <mergeCell ref="D321:E321"/>
    <mergeCell ref="M321:Q321"/>
    <mergeCell ref="D322:E322"/>
    <mergeCell ref="M322:Q322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D309:E309"/>
    <mergeCell ref="M309:Q309"/>
    <mergeCell ref="D298:E298"/>
    <mergeCell ref="M298:Q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292:S292"/>
    <mergeCell ref="A292:L293"/>
    <mergeCell ref="M293:S293"/>
    <mergeCell ref="A294:W294"/>
    <mergeCell ref="A295:W295"/>
    <mergeCell ref="D296:E296"/>
    <mergeCell ref="M296:Q296"/>
    <mergeCell ref="D297:E297"/>
    <mergeCell ref="M297:Q297"/>
    <mergeCell ref="A286:W286"/>
    <mergeCell ref="D287:E287"/>
    <mergeCell ref="M287:Q287"/>
    <mergeCell ref="M288:S288"/>
    <mergeCell ref="A288:L289"/>
    <mergeCell ref="M289:S289"/>
    <mergeCell ref="A290:W290"/>
    <mergeCell ref="D291:E291"/>
    <mergeCell ref="M291:Q291"/>
    <mergeCell ref="M280:S280"/>
    <mergeCell ref="A280:L281"/>
    <mergeCell ref="M281:S281"/>
    <mergeCell ref="A282:W282"/>
    <mergeCell ref="D283:E283"/>
    <mergeCell ref="M283:Q283"/>
    <mergeCell ref="M284:S284"/>
    <mergeCell ref="A284:L285"/>
    <mergeCell ref="M285:S285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D279:E279"/>
    <mergeCell ref="M279:Q279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M262:S262"/>
    <mergeCell ref="A262:L263"/>
    <mergeCell ref="M263:S263"/>
    <mergeCell ref="A264:W264"/>
    <mergeCell ref="A265:W265"/>
    <mergeCell ref="A266:W266"/>
    <mergeCell ref="D267:E267"/>
    <mergeCell ref="M267:Q267"/>
    <mergeCell ref="D268:E268"/>
    <mergeCell ref="M268:Q268"/>
    <mergeCell ref="A256:W256"/>
    <mergeCell ref="D257:E257"/>
    <mergeCell ref="M257:Q257"/>
    <mergeCell ref="M258:S258"/>
    <mergeCell ref="A258:L259"/>
    <mergeCell ref="M259:S259"/>
    <mergeCell ref="A260:W260"/>
    <mergeCell ref="D261:E261"/>
    <mergeCell ref="M261:Q261"/>
    <mergeCell ref="A250:W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44:W244"/>
    <mergeCell ref="A245:W245"/>
    <mergeCell ref="D246:E246"/>
    <mergeCell ref="M246:Q246"/>
    <mergeCell ref="D247:E247"/>
    <mergeCell ref="M247:Q247"/>
    <mergeCell ref="M248:S248"/>
    <mergeCell ref="A248:L249"/>
    <mergeCell ref="M249:S249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M242:S242"/>
    <mergeCell ref="A242:L243"/>
    <mergeCell ref="M243:S243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M226:S226"/>
    <mergeCell ref="A226:L227"/>
    <mergeCell ref="M227:S227"/>
    <mergeCell ref="A228:W228"/>
    <mergeCell ref="A229:W229"/>
    <mergeCell ref="D230:E230"/>
    <mergeCell ref="M230:Q230"/>
    <mergeCell ref="D231:E231"/>
    <mergeCell ref="M231:Q231"/>
    <mergeCell ref="A221:W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A215:W215"/>
    <mergeCell ref="D216:E216"/>
    <mergeCell ref="M216:Q216"/>
    <mergeCell ref="D217:E217"/>
    <mergeCell ref="M217:Q217"/>
    <mergeCell ref="D218:E218"/>
    <mergeCell ref="M218:Q218"/>
    <mergeCell ref="M219:S219"/>
    <mergeCell ref="A219:L220"/>
    <mergeCell ref="M220:S220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D208:E208"/>
    <mergeCell ref="M208:Q208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77:E177"/>
    <mergeCell ref="M177:Q177"/>
    <mergeCell ref="M178:S178"/>
    <mergeCell ref="A178:L179"/>
    <mergeCell ref="M179:S179"/>
    <mergeCell ref="A180:W180"/>
    <mergeCell ref="D181:E181"/>
    <mergeCell ref="M181:Q181"/>
    <mergeCell ref="D182:E182"/>
    <mergeCell ref="M182:Q182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A156:W156"/>
    <mergeCell ref="D157:E157"/>
    <mergeCell ref="M157:Q157"/>
    <mergeCell ref="D158:E158"/>
    <mergeCell ref="M158:Q158"/>
    <mergeCell ref="M159:S159"/>
    <mergeCell ref="A159:L160"/>
    <mergeCell ref="M160:S160"/>
    <mergeCell ref="A161:W161"/>
    <mergeCell ref="D151:E151"/>
    <mergeCell ref="M151:Q151"/>
    <mergeCell ref="D152:E152"/>
    <mergeCell ref="M152:Q152"/>
    <mergeCell ref="D153:E153"/>
    <mergeCell ref="M153:Q153"/>
    <mergeCell ref="M154:S154"/>
    <mergeCell ref="A154:L155"/>
    <mergeCell ref="M155:S15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640</v>
      </c>
      <c r="H1" s="53"/>
    </row>
    <row r="3" spans="2:8" x14ac:dyDescent="0.2">
      <c r="B3" s="48" t="s">
        <v>641</v>
      </c>
      <c r="C3" s="48"/>
      <c r="D3" s="48"/>
      <c r="E3" s="48"/>
    </row>
    <row r="4" spans="2:8" x14ac:dyDescent="0.2">
      <c r="B4" s="48" t="s">
        <v>642</v>
      </c>
      <c r="C4" s="48"/>
      <c r="D4" s="48"/>
      <c r="E4" s="48"/>
    </row>
    <row r="6" spans="2:8" x14ac:dyDescent="0.2">
      <c r="B6" s="48" t="s">
        <v>643</v>
      </c>
      <c r="C6" s="48" t="s">
        <v>644</v>
      </c>
      <c r="D6" s="48" t="s">
        <v>645</v>
      </c>
      <c r="E6" s="48"/>
    </row>
    <row r="7" spans="2:8" x14ac:dyDescent="0.2">
      <c r="B7" s="48" t="s">
        <v>646</v>
      </c>
      <c r="C7" s="48" t="s">
        <v>647</v>
      </c>
      <c r="D7" s="48" t="s">
        <v>648</v>
      </c>
      <c r="E7" s="48"/>
    </row>
    <row r="8" spans="2:8" x14ac:dyDescent="0.2">
      <c r="B8" s="48" t="s">
        <v>649</v>
      </c>
      <c r="C8" s="48" t="s">
        <v>650</v>
      </c>
      <c r="D8" s="48" t="s">
        <v>651</v>
      </c>
      <c r="E8" s="48"/>
    </row>
    <row r="9" spans="2:8" x14ac:dyDescent="0.2">
      <c r="B9" s="48" t="s">
        <v>652</v>
      </c>
      <c r="C9" s="48" t="s">
        <v>653</v>
      </c>
      <c r="D9" s="48" t="s">
        <v>654</v>
      </c>
      <c r="E9" s="48"/>
    </row>
    <row r="10" spans="2:8" x14ac:dyDescent="0.2">
      <c r="B10" s="48" t="s">
        <v>655</v>
      </c>
      <c r="C10" s="48" t="s">
        <v>656</v>
      </c>
      <c r="D10" s="48" t="s">
        <v>657</v>
      </c>
      <c r="E10" s="48"/>
    </row>
    <row r="11" spans="2:8" x14ac:dyDescent="0.2">
      <c r="B11" s="48" t="s">
        <v>658</v>
      </c>
      <c r="C11" s="48" t="s">
        <v>659</v>
      </c>
      <c r="D11" s="48" t="s">
        <v>660</v>
      </c>
      <c r="E11" s="48"/>
    </row>
    <row r="12" spans="2:8" x14ac:dyDescent="0.2">
      <c r="B12" s="48" t="s">
        <v>661</v>
      </c>
      <c r="C12" s="48" t="s">
        <v>662</v>
      </c>
      <c r="D12" s="48" t="s">
        <v>663</v>
      </c>
      <c r="E12" s="48"/>
    </row>
    <row r="13" spans="2:8" x14ac:dyDescent="0.2">
      <c r="B13" s="48" t="s">
        <v>664</v>
      </c>
      <c r="C13" s="48" t="s">
        <v>665</v>
      </c>
      <c r="D13" s="48" t="s">
        <v>666</v>
      </c>
      <c r="E13" s="48"/>
    </row>
    <row r="15" spans="2:8" x14ac:dyDescent="0.2">
      <c r="B15" s="48" t="s">
        <v>667</v>
      </c>
      <c r="C15" s="48" t="s">
        <v>644</v>
      </c>
      <c r="D15" s="48"/>
      <c r="E15" s="48"/>
    </row>
    <row r="17" spans="2:5" x14ac:dyDescent="0.2">
      <c r="B17" s="48" t="s">
        <v>668</v>
      </c>
      <c r="C17" s="48" t="s">
        <v>647</v>
      </c>
      <c r="D17" s="48"/>
      <c r="E17" s="48"/>
    </row>
    <row r="19" spans="2:5" x14ac:dyDescent="0.2">
      <c r="B19" s="48" t="s">
        <v>669</v>
      </c>
      <c r="C19" s="48" t="s">
        <v>650</v>
      </c>
      <c r="D19" s="48"/>
      <c r="E19" s="48"/>
    </row>
    <row r="21" spans="2:5" x14ac:dyDescent="0.2">
      <c r="B21" s="48" t="s">
        <v>670</v>
      </c>
      <c r="C21" s="48" t="s">
        <v>653</v>
      </c>
      <c r="D21" s="48"/>
      <c r="E21" s="48"/>
    </row>
    <row r="23" spans="2:5" x14ac:dyDescent="0.2">
      <c r="B23" s="48" t="s">
        <v>671</v>
      </c>
      <c r="C23" s="48" t="s">
        <v>656</v>
      </c>
      <c r="D23" s="48"/>
      <c r="E23" s="48"/>
    </row>
    <row r="25" spans="2:5" x14ac:dyDescent="0.2">
      <c r="B25" s="48" t="s">
        <v>672</v>
      </c>
      <c r="C25" s="48" t="s">
        <v>659</v>
      </c>
      <c r="D25" s="48"/>
      <c r="E25" s="48"/>
    </row>
    <row r="27" spans="2:5" x14ac:dyDescent="0.2">
      <c r="B27" s="48" t="s">
        <v>673</v>
      </c>
      <c r="C27" s="48" t="s">
        <v>662</v>
      </c>
      <c r="D27" s="48"/>
      <c r="E27" s="48"/>
    </row>
    <row r="29" spans="2:5" x14ac:dyDescent="0.2">
      <c r="B29" s="48" t="s">
        <v>674</v>
      </c>
      <c r="C29" s="48" t="s">
        <v>665</v>
      </c>
      <c r="D29" s="48"/>
      <c r="E29" s="48"/>
    </row>
    <row r="31" spans="2:5" x14ac:dyDescent="0.2">
      <c r="B31" s="48" t="s">
        <v>675</v>
      </c>
      <c r="C31" s="48"/>
      <c r="D31" s="48"/>
      <c r="E31" s="48"/>
    </row>
    <row r="32" spans="2:5" x14ac:dyDescent="0.2">
      <c r="B32" s="48" t="s">
        <v>676</v>
      </c>
      <c r="C32" s="48"/>
      <c r="D32" s="48"/>
      <c r="E32" s="48"/>
    </row>
    <row r="33" spans="2:5" x14ac:dyDescent="0.2">
      <c r="B33" s="48" t="s">
        <v>677</v>
      </c>
      <c r="C33" s="48"/>
      <c r="D33" s="48"/>
      <c r="E33" s="48"/>
    </row>
    <row r="34" spans="2:5" x14ac:dyDescent="0.2">
      <c r="B34" s="48" t="s">
        <v>678</v>
      </c>
      <c r="C34" s="48"/>
      <c r="D34" s="48"/>
      <c r="E34" s="48"/>
    </row>
    <row r="35" spans="2:5" x14ac:dyDescent="0.2">
      <c r="B35" s="48" t="s">
        <v>679</v>
      </c>
      <c r="C35" s="48"/>
      <c r="D35" s="48"/>
      <c r="E35" s="48"/>
    </row>
    <row r="36" spans="2:5" x14ac:dyDescent="0.2">
      <c r="B36" s="48" t="s">
        <v>680</v>
      </c>
      <c r="C36" s="48"/>
      <c r="D36" s="48"/>
      <c r="E36" s="48"/>
    </row>
    <row r="37" spans="2:5" x14ac:dyDescent="0.2">
      <c r="B37" s="48" t="s">
        <v>681</v>
      </c>
      <c r="C37" s="48"/>
      <c r="D37" s="48"/>
      <c r="E37" s="48"/>
    </row>
    <row r="38" spans="2:5" x14ac:dyDescent="0.2">
      <c r="B38" s="48" t="s">
        <v>682</v>
      </c>
      <c r="C38" s="48"/>
      <c r="D38" s="48"/>
      <c r="E38" s="48"/>
    </row>
    <row r="39" spans="2:5" x14ac:dyDescent="0.2">
      <c r="B39" s="48" t="s">
        <v>683</v>
      </c>
      <c r="C39" s="48"/>
      <c r="D39" s="48"/>
      <c r="E39" s="48"/>
    </row>
    <row r="40" spans="2:5" x14ac:dyDescent="0.2">
      <c r="B40" s="48" t="s">
        <v>684</v>
      </c>
      <c r="C40" s="48"/>
      <c r="D40" s="48"/>
      <c r="E40" s="48"/>
    </row>
    <row r="41" spans="2:5" x14ac:dyDescent="0.2">
      <c r="B41" s="48" t="s">
        <v>685</v>
      </c>
      <c r="C41" s="48"/>
      <c r="D41" s="48"/>
      <c r="E41" s="48"/>
    </row>
  </sheetData>
  <sheetProtection algorithmName="SHA-512" hashValue="GZLqGyLRewSr3RilfHhNqcmP5jQCtnIuQ7+Vq2jaBY3xueq323f2UmaAIcuYAm/E+hiF9zzeeXkv1Q1mAFBg/g==" saltValue="YBb6IDQFDzlgAgpOyH9c1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975</vt:i4>
      </vt:variant>
    </vt:vector>
  </HeadingPairs>
  <TitlesOfParts>
    <vt:vector size="9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2023-08-03T11:12:09Z</dcterms:modified>
</cp:coreProperties>
</file>